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cascadiainc.sharepoint.com/sites/ORDEQRecycling2019/Shared Documents/869(13) Exemption 2024-25/Content_869(13)/"/>
    </mc:Choice>
  </mc:AlternateContent>
  <xr:revisionPtr revIDLastSave="12689" documentId="13_ncr:1_{E3C81A8D-5F82-41D5-8732-56D7FE7C7F16}" xr6:coauthVersionLast="47" xr6:coauthVersionMax="47" xr10:uidLastSave="{53AAF647-BC57-4D7E-A068-5B8CF2EE3990}"/>
  <workbookProtection workbookAlgorithmName="SHA-512" workbookHashValue="5aI6gkIKuvfVedTsY+tOaIrShry7DrCFAq0doBntpzlUnbqcgNUM38r20tR/N8Dk4EwsfA9fQ7bMuRxBIs9qxg==" workbookSaltValue="TRt7KAtpdljRjQyBFQSIMA==" workbookSpinCount="100000" lockStructure="1"/>
  <bookViews>
    <workbookView xWindow="-120" yWindow="-120" windowWidth="29040" windowHeight="17520" tabRatio="666" xr2:uid="{164299BB-C0C9-497E-B502-C39FC703700D}"/>
  </bookViews>
  <sheets>
    <sheet name="0 Start Here" sheetId="25" r:id="rId1"/>
    <sheet name="1A Producer" sheetId="23" r:id="rId2"/>
    <sheet name="1B Producer" sheetId="24" r:id="rId3"/>
    <sheet name="2A Supply" sheetId="19" r:id="rId4"/>
    <sheet name="2B Supply" sheetId="2" r:id="rId5"/>
    <sheet name="3A Collector" sheetId="18" r:id="rId6"/>
    <sheet name="3B Collector" sheetId="5" r:id="rId7"/>
    <sheet name="4A End Market" sheetId="20" r:id="rId8"/>
    <sheet name="4B End Market" sheetId="6" r:id="rId9"/>
    <sheet name="5A Exemption" sheetId="21" r:id="rId10"/>
    <sheet name="5B Exemption" sheetId="3" r:id="rId11"/>
    <sheet name="6A Arranger" sheetId="22" r:id="rId12"/>
    <sheet name="6B Arranger" sheetId="15" r:id="rId13"/>
    <sheet name="7 Summary" sheetId="9" r:id="rId14"/>
    <sheet name="Lookups" sheetId="4" state="hidden" r:id="rId15"/>
  </sheets>
  <definedNames>
    <definedName name="A_Backhaul_or_self_haul">Lookups!$K$12</definedName>
    <definedName name="A_CRPF">Lookups!$J$12</definedName>
    <definedName name="A_Full_Active">Lookups!$L$13</definedName>
    <definedName name="A_Limited_Active">Lookups!$L$12</definedName>
    <definedName name="A_No">Lookups!$H$13</definedName>
    <definedName name="A_Non_OTR_Service_Provider">Lookups!$K$14</definedName>
    <definedName name="A_Not_a_CRPF">Lookups!$J$13</definedName>
    <definedName name="A_Other_Printed_Materials">Lookups!$I$13</definedName>
    <definedName name="A_OTR_Service_Provider">Lookups!$K$13</definedName>
    <definedName name="A_Paper_for_General_Use">Lookups!$I$12</definedName>
    <definedName name="A_Yes">Lookups!$H$12</definedName>
    <definedName name="DL_ClaimType">Lookups!$L$12:$L$13</definedName>
    <definedName name="DL_CollectorType">Lookups!$K$12:$K$14</definedName>
    <definedName name="DL_CRPFs">TL_CRPFs[CRPFs]</definedName>
    <definedName name="DL_Markets_MainList">INDEX(TL_KnownEndMarkets[],0,MATCH(INDEX(TR_4EndMarkets[#This Row],COLUMN()-COLUMN(TR_4EndMarkets[])),TL_KnownEndMarkets[#Headers],0))</definedName>
    <definedName name="DL_Markets_ReportingCategory">INDEX(TL_KnownEndMarkets[Reporting Category],1,1):INDEX(TL_KnownEndMarkets[Reporting Category],COUNTA(TL_KnownEndMarkets[Reporting Category]))</definedName>
    <definedName name="DL_Markets_UseList">INDEX(DL_Markets_MainList,1,1):INDEX(DL_Markets_MainList,COUNTA(DL_Markets_MainList))</definedName>
    <definedName name="DL_PaperTypes">Lookups!$I$12:$I$13</definedName>
    <definedName name="DL_ReportingCategory">TL_Materials[Reporting Category]</definedName>
    <definedName name="DL_YesOrNo">Lookups!$H$12:$H$13</definedName>
    <definedName name="DR_CollectionProvider">TR_3Collectors[Collection or Transportation Service Provider Name]</definedName>
    <definedName name="DR_EndMarket">TR_4EndMarkets[End Market Name]</definedName>
    <definedName name="DR_ID_R_Discarder">TR_5ExemptionClaim[Lookup: for arranger tab]</definedName>
    <definedName name="DR_MaterialsSupplied">TR_2SuppliedPounds[Material Reporting Category]</definedName>
    <definedName name="DR_ProducerID">'1B Producer'!$C$6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F8" i="3"/>
  <c r="F9" i="3"/>
  <c r="F11"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N9" i="15" l="1"/>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B15" i="23"/>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O254" i="15"/>
  <c r="O255" i="15"/>
  <c r="O256" i="15"/>
  <c r="O257" i="15"/>
  <c r="O258" i="15"/>
  <c r="O259" i="15"/>
  <c r="O260" i="15"/>
  <c r="O261" i="15"/>
  <c r="O262" i="15"/>
  <c r="O263" i="15"/>
  <c r="O264" i="15"/>
  <c r="O265" i="15"/>
  <c r="O266" i="15"/>
  <c r="O267" i="15"/>
  <c r="O268" i="15"/>
  <c r="O269" i="15"/>
  <c r="O270" i="15"/>
  <c r="O271" i="15"/>
  <c r="O272" i="15"/>
  <c r="O273" i="15"/>
  <c r="O274" i="15"/>
  <c r="O275" i="15"/>
  <c r="O276" i="15"/>
  <c r="O277" i="15"/>
  <c r="O278" i="15"/>
  <c r="O279" i="15"/>
  <c r="O280" i="15"/>
  <c r="O281" i="15"/>
  <c r="O282" i="15"/>
  <c r="O283" i="15"/>
  <c r="O284" i="15"/>
  <c r="O285" i="15"/>
  <c r="O286" i="15"/>
  <c r="O287" i="15"/>
  <c r="O288" i="15"/>
  <c r="O289" i="15"/>
  <c r="O290" i="15"/>
  <c r="O291" i="15"/>
  <c r="O292" i="15"/>
  <c r="O293" i="15"/>
  <c r="O294" i="15"/>
  <c r="O295" i="15"/>
  <c r="O296" i="15"/>
  <c r="O297" i="15"/>
  <c r="O298" i="15"/>
  <c r="O299" i="15"/>
  <c r="O300" i="15"/>
  <c r="O301" i="15"/>
  <c r="O302" i="15"/>
  <c r="O303" i="15"/>
  <c r="O304" i="15"/>
  <c r="O305" i="15"/>
  <c r="O306" i="15"/>
  <c r="O307" i="15"/>
  <c r="O308" i="15"/>
  <c r="O309" i="15"/>
  <c r="O310" i="15"/>
  <c r="O311" i="15"/>
  <c r="O312" i="15"/>
  <c r="O313" i="15"/>
  <c r="O314" i="15"/>
  <c r="O315" i="15"/>
  <c r="O316" i="15"/>
  <c r="O317" i="15"/>
  <c r="O318" i="15"/>
  <c r="O319" i="15"/>
  <c r="O320" i="15"/>
  <c r="O321" i="15"/>
  <c r="O322" i="15"/>
  <c r="O323" i="15"/>
  <c r="O324" i="15"/>
  <c r="O325" i="15"/>
  <c r="O326" i="15"/>
  <c r="O327" i="15"/>
  <c r="O328" i="15"/>
  <c r="O329" i="15"/>
  <c r="O330" i="15"/>
  <c r="O331" i="15"/>
  <c r="O332" i="15"/>
  <c r="O333" i="15"/>
  <c r="O334" i="15"/>
  <c r="O335" i="15"/>
  <c r="O336" i="15"/>
  <c r="O337" i="15"/>
  <c r="O338" i="15"/>
  <c r="O339" i="15"/>
  <c r="O340" i="15"/>
  <c r="O341" i="15"/>
  <c r="O342" i="15"/>
  <c r="O343" i="15"/>
  <c r="O344" i="15"/>
  <c r="O345" i="15"/>
  <c r="O346" i="15"/>
  <c r="O347" i="15"/>
  <c r="O348" i="15"/>
  <c r="O349" i="15"/>
  <c r="O350" i="15"/>
  <c r="O351" i="15"/>
  <c r="O352" i="15"/>
  <c r="O353" i="15"/>
  <c r="O354" i="15"/>
  <c r="O355" i="15"/>
  <c r="N6" i="15"/>
  <c r="N7" i="15"/>
  <c r="N8"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103" i="15"/>
  <c r="N104" i="15"/>
  <c r="N105" i="15"/>
  <c r="N106" i="15"/>
  <c r="N107" i="15"/>
  <c r="N108" i="15"/>
  <c r="N109" i="15"/>
  <c r="N110" i="15"/>
  <c r="N111" i="15"/>
  <c r="N112" i="15"/>
  <c r="N113" i="15"/>
  <c r="N114" i="15"/>
  <c r="N115" i="15"/>
  <c r="N116" i="15"/>
  <c r="N117" i="15"/>
  <c r="N118" i="15"/>
  <c r="N119" i="15"/>
  <c r="N120" i="15"/>
  <c r="N121" i="15"/>
  <c r="N122" i="15"/>
  <c r="N123" i="15"/>
  <c r="N124" i="15"/>
  <c r="N125" i="15"/>
  <c r="N126" i="15"/>
  <c r="N127" i="15"/>
  <c r="N128" i="15"/>
  <c r="N129" i="15"/>
  <c r="N130" i="15"/>
  <c r="N131" i="15"/>
  <c r="N132" i="15"/>
  <c r="N133" i="15"/>
  <c r="N134" i="15"/>
  <c r="N135" i="15"/>
  <c r="N136" i="15"/>
  <c r="N137" i="15"/>
  <c r="N138" i="15"/>
  <c r="N139" i="15"/>
  <c r="N140" i="15"/>
  <c r="N141" i="15"/>
  <c r="N142" i="15"/>
  <c r="N143" i="15"/>
  <c r="N144" i="15"/>
  <c r="N145" i="15"/>
  <c r="N146" i="15"/>
  <c r="N147" i="15"/>
  <c r="N148" i="15"/>
  <c r="N149" i="15"/>
  <c r="N150" i="15"/>
  <c r="N151" i="15"/>
  <c r="N152" i="15"/>
  <c r="N153" i="15"/>
  <c r="N154" i="15"/>
  <c r="N155" i="15"/>
  <c r="N156" i="15"/>
  <c r="N157" i="15"/>
  <c r="N158" i="15"/>
  <c r="N159" i="15"/>
  <c r="N160" i="15"/>
  <c r="N161" i="15"/>
  <c r="N162" i="15"/>
  <c r="N163" i="15"/>
  <c r="N164" i="15"/>
  <c r="N165" i="15"/>
  <c r="N166" i="15"/>
  <c r="N167" i="15"/>
  <c r="N168" i="15"/>
  <c r="N169" i="15"/>
  <c r="N170" i="15"/>
  <c r="N171" i="15"/>
  <c r="N172" i="15"/>
  <c r="N173" i="15"/>
  <c r="N174" i="15"/>
  <c r="N175" i="15"/>
  <c r="N176" i="15"/>
  <c r="N177" i="15"/>
  <c r="N178" i="15"/>
  <c r="N179" i="15"/>
  <c r="N180" i="15"/>
  <c r="N181" i="15"/>
  <c r="N182" i="15"/>
  <c r="N183" i="15"/>
  <c r="N184" i="15"/>
  <c r="N185" i="15"/>
  <c r="N186" i="15"/>
  <c r="N187" i="15"/>
  <c r="N188" i="15"/>
  <c r="N189" i="15"/>
  <c r="N190" i="15"/>
  <c r="N191" i="15"/>
  <c r="N192" i="15"/>
  <c r="N193" i="15"/>
  <c r="N194" i="15"/>
  <c r="N195" i="15"/>
  <c r="N196" i="15"/>
  <c r="N197" i="15"/>
  <c r="N198" i="15"/>
  <c r="N199" i="15"/>
  <c r="N200" i="15"/>
  <c r="N201" i="15"/>
  <c r="N202" i="15"/>
  <c r="N203" i="15"/>
  <c r="N204" i="15"/>
  <c r="N205" i="15"/>
  <c r="N206" i="15"/>
  <c r="N207" i="15"/>
  <c r="N208" i="15"/>
  <c r="N209" i="15"/>
  <c r="N210" i="15"/>
  <c r="N211" i="15"/>
  <c r="N212" i="15"/>
  <c r="N213" i="15"/>
  <c r="N214" i="15"/>
  <c r="N215" i="15"/>
  <c r="N216" i="15"/>
  <c r="N217" i="15"/>
  <c r="N218" i="15"/>
  <c r="N219" i="15"/>
  <c r="N220" i="15"/>
  <c r="N221" i="15"/>
  <c r="N222" i="15"/>
  <c r="N223" i="15"/>
  <c r="N224" i="15"/>
  <c r="N225" i="15"/>
  <c r="N226" i="15"/>
  <c r="N227" i="15"/>
  <c r="N228" i="15"/>
  <c r="N229" i="15"/>
  <c r="N230" i="15"/>
  <c r="N231" i="15"/>
  <c r="N232" i="15"/>
  <c r="N233" i="15"/>
  <c r="N234" i="15"/>
  <c r="N235" i="15"/>
  <c r="N236" i="15"/>
  <c r="N237" i="15"/>
  <c r="N238" i="15"/>
  <c r="N239" i="15"/>
  <c r="N240" i="15"/>
  <c r="N241" i="15"/>
  <c r="N242" i="15"/>
  <c r="N243" i="15"/>
  <c r="N244" i="15"/>
  <c r="N245" i="15"/>
  <c r="N246" i="15"/>
  <c r="N247" i="15"/>
  <c r="N248" i="15"/>
  <c r="N249" i="15"/>
  <c r="N250" i="15"/>
  <c r="N251" i="15"/>
  <c r="N252" i="15"/>
  <c r="N253" i="15"/>
  <c r="N254" i="15"/>
  <c r="N255" i="15"/>
  <c r="N256" i="15"/>
  <c r="N257" i="15"/>
  <c r="N258" i="15"/>
  <c r="N259" i="15"/>
  <c r="N260" i="15"/>
  <c r="N261" i="15"/>
  <c r="N262" i="15"/>
  <c r="N263" i="15"/>
  <c r="N264" i="15"/>
  <c r="N265" i="15"/>
  <c r="N266" i="15"/>
  <c r="N267" i="15"/>
  <c r="N268" i="15"/>
  <c r="N269" i="15"/>
  <c r="N270" i="15"/>
  <c r="N271" i="15"/>
  <c r="N272" i="15"/>
  <c r="N273" i="15"/>
  <c r="N274" i="15"/>
  <c r="N275" i="15"/>
  <c r="N276" i="15"/>
  <c r="N277" i="15"/>
  <c r="N278" i="15"/>
  <c r="N279" i="15"/>
  <c r="N280" i="15"/>
  <c r="N281" i="15"/>
  <c r="N282" i="15"/>
  <c r="N283" i="15"/>
  <c r="N284" i="15"/>
  <c r="N285" i="15"/>
  <c r="N286" i="15"/>
  <c r="N287" i="15"/>
  <c r="N288" i="15"/>
  <c r="N289" i="15"/>
  <c r="N290" i="15"/>
  <c r="N291" i="15"/>
  <c r="N292" i="15"/>
  <c r="N293" i="15"/>
  <c r="N294" i="15"/>
  <c r="N295" i="15"/>
  <c r="N296" i="15"/>
  <c r="N297" i="15"/>
  <c r="N298" i="15"/>
  <c r="N299" i="15"/>
  <c r="N300" i="15"/>
  <c r="N301" i="15"/>
  <c r="N302" i="15"/>
  <c r="N303" i="15"/>
  <c r="N304" i="15"/>
  <c r="N305" i="15"/>
  <c r="N306" i="15"/>
  <c r="N307" i="15"/>
  <c r="N308" i="15"/>
  <c r="N309" i="15"/>
  <c r="N310" i="15"/>
  <c r="N311" i="15"/>
  <c r="N312" i="15"/>
  <c r="N313" i="15"/>
  <c r="N314" i="15"/>
  <c r="N315" i="15"/>
  <c r="N316" i="15"/>
  <c r="N317" i="15"/>
  <c r="N318" i="15"/>
  <c r="N319" i="15"/>
  <c r="N320" i="15"/>
  <c r="N321" i="15"/>
  <c r="N322" i="15"/>
  <c r="N323" i="15"/>
  <c r="N324" i="15"/>
  <c r="N325" i="15"/>
  <c r="N326" i="15"/>
  <c r="N327" i="15"/>
  <c r="N328" i="15"/>
  <c r="N329" i="15"/>
  <c r="N330" i="15"/>
  <c r="N331" i="15"/>
  <c r="N332" i="15"/>
  <c r="N333" i="15"/>
  <c r="N334" i="15"/>
  <c r="N335" i="15"/>
  <c r="N336" i="15"/>
  <c r="N337" i="15"/>
  <c r="N338" i="15"/>
  <c r="N339" i="15"/>
  <c r="N340" i="15"/>
  <c r="N341" i="15"/>
  <c r="N342" i="15"/>
  <c r="N343" i="15"/>
  <c r="N344" i="15"/>
  <c r="N345" i="15"/>
  <c r="N346" i="15"/>
  <c r="N347" i="15"/>
  <c r="N348" i="15"/>
  <c r="N349" i="15"/>
  <c r="N350" i="15"/>
  <c r="N351" i="15"/>
  <c r="N352" i="15"/>
  <c r="N353" i="15"/>
  <c r="N354" i="15"/>
  <c r="N355" i="15"/>
  <c r="A21" i="20"/>
  <c r="D12" i="5" l="1"/>
  <c r="D10" i="5"/>
  <c r="B37" i="9"/>
  <c r="B36" i="9"/>
  <c r="B35" i="9"/>
  <c r="B34" i="9"/>
  <c r="B59" i="9"/>
  <c r="B58" i="9"/>
  <c r="B57" i="9"/>
  <c r="B56" i="9"/>
  <c r="B41" i="9"/>
  <c r="B40" i="9"/>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M265" i="15"/>
  <c r="M266" i="15"/>
  <c r="M267" i="15"/>
  <c r="M268" i="15"/>
  <c r="M269" i="15"/>
  <c r="M270" i="15"/>
  <c r="M271" i="15"/>
  <c r="M272" i="15"/>
  <c r="M273" i="15"/>
  <c r="M274" i="15"/>
  <c r="M275" i="15"/>
  <c r="M276" i="15"/>
  <c r="M277" i="15"/>
  <c r="M278" i="15"/>
  <c r="M279" i="15"/>
  <c r="M280" i="15"/>
  <c r="M281" i="15"/>
  <c r="M282" i="15"/>
  <c r="M283" i="15"/>
  <c r="M284" i="15"/>
  <c r="M285" i="15"/>
  <c r="M286" i="15"/>
  <c r="M287" i="15"/>
  <c r="M288" i="15"/>
  <c r="M289" i="15"/>
  <c r="M290" i="15"/>
  <c r="M291" i="15"/>
  <c r="M292" i="15"/>
  <c r="M293" i="15"/>
  <c r="M294" i="15"/>
  <c r="M295" i="15"/>
  <c r="M296" i="15"/>
  <c r="M297" i="15"/>
  <c r="M298" i="15"/>
  <c r="M299" i="15"/>
  <c r="M300" i="15"/>
  <c r="M301" i="15"/>
  <c r="M302" i="15"/>
  <c r="M303" i="15"/>
  <c r="M304" i="15"/>
  <c r="M305" i="15"/>
  <c r="M306" i="15"/>
  <c r="M307" i="15"/>
  <c r="M308" i="15"/>
  <c r="M309" i="15"/>
  <c r="M310" i="15"/>
  <c r="M311" i="15"/>
  <c r="M312" i="15"/>
  <c r="M313" i="15"/>
  <c r="M314" i="15"/>
  <c r="M315" i="15"/>
  <c r="M316" i="15"/>
  <c r="M317" i="15"/>
  <c r="M318" i="15"/>
  <c r="M319" i="15"/>
  <c r="M320" i="15"/>
  <c r="M321" i="15"/>
  <c r="M322" i="15"/>
  <c r="M323" i="15"/>
  <c r="M324" i="15"/>
  <c r="M325" i="15"/>
  <c r="M326" i="15"/>
  <c r="M327" i="15"/>
  <c r="M328" i="15"/>
  <c r="M329" i="15"/>
  <c r="M330" i="15"/>
  <c r="M331" i="15"/>
  <c r="M332" i="15"/>
  <c r="M333" i="15"/>
  <c r="M334" i="15"/>
  <c r="M335" i="15"/>
  <c r="M336" i="15"/>
  <c r="M337" i="15"/>
  <c r="M338" i="15"/>
  <c r="M339" i="15"/>
  <c r="M340" i="15"/>
  <c r="M341" i="15"/>
  <c r="M342" i="15"/>
  <c r="M343" i="15"/>
  <c r="M344" i="15"/>
  <c r="M345" i="15"/>
  <c r="M346" i="15"/>
  <c r="M347" i="15"/>
  <c r="M348" i="15"/>
  <c r="M349" i="15"/>
  <c r="M350" i="15"/>
  <c r="M351" i="15"/>
  <c r="M352" i="15"/>
  <c r="M353" i="15"/>
  <c r="M354" i="15"/>
  <c r="M355" i="15"/>
  <c r="L6" i="6"/>
  <c r="L10" i="6"/>
  <c r="L11" i="6"/>
  <c r="L12" i="6"/>
  <c r="L13" i="6"/>
  <c r="L14" i="6"/>
  <c r="L15"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C77" i="9"/>
  <c r="C78" i="9"/>
  <c r="C79" i="9"/>
  <c r="C80" i="9"/>
  <c r="C82" i="9"/>
  <c r="C83" i="9"/>
  <c r="C84" i="9"/>
  <c r="C85" i="9"/>
  <c r="C86" i="9"/>
  <c r="C87" i="9"/>
  <c r="C88" i="9"/>
  <c r="C89" i="9"/>
  <c r="C90" i="9"/>
  <c r="C91" i="9"/>
  <c r="C92" i="9"/>
  <c r="C93" i="9"/>
  <c r="B69" i="9"/>
  <c r="E69" i="9" s="1"/>
  <c r="B70" i="9"/>
  <c r="E70" i="9" s="1"/>
  <c r="B71" i="9"/>
  <c r="B72" i="9"/>
  <c r="B73" i="9"/>
  <c r="E73" i="9" s="1"/>
  <c r="B74" i="9"/>
  <c r="B75" i="9"/>
  <c r="B76" i="9"/>
  <c r="B77" i="9"/>
  <c r="B78" i="9"/>
  <c r="B79" i="9"/>
  <c r="B80" i="9"/>
  <c r="B81" i="9"/>
  <c r="B82" i="9"/>
  <c r="B83" i="9"/>
  <c r="B84" i="9"/>
  <c r="B85" i="9"/>
  <c r="B86" i="9"/>
  <c r="B87" i="9"/>
  <c r="B88" i="9"/>
  <c r="B89" i="9"/>
  <c r="B90" i="9"/>
  <c r="B91" i="9"/>
  <c r="B92" i="9"/>
  <c r="B93" i="9"/>
  <c r="A10" i="19"/>
  <c r="D6" i="5"/>
  <c r="D7" i="5"/>
  <c r="D8" i="5"/>
  <c r="D9" i="5"/>
  <c r="D11"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68" i="3"/>
  <c r="AQ69" i="3"/>
  <c r="AQ70" i="3"/>
  <c r="AQ71" i="3"/>
  <c r="AQ72" i="3"/>
  <c r="AQ73" i="3"/>
  <c r="AQ74" i="3"/>
  <c r="AQ75" i="3"/>
  <c r="AQ76" i="3"/>
  <c r="AQ77" i="3"/>
  <c r="AQ78" i="3"/>
  <c r="AQ79" i="3"/>
  <c r="AQ80" i="3"/>
  <c r="AQ81" i="3"/>
  <c r="AQ82" i="3"/>
  <c r="AQ83" i="3"/>
  <c r="AQ84" i="3"/>
  <c r="AQ85" i="3"/>
  <c r="AQ86" i="3"/>
  <c r="AQ87" i="3"/>
  <c r="AQ88" i="3"/>
  <c r="AQ89" i="3"/>
  <c r="AQ90" i="3"/>
  <c r="AQ91" i="3"/>
  <c r="AQ92" i="3"/>
  <c r="AQ93" i="3"/>
  <c r="AQ94" i="3"/>
  <c r="AQ95" i="3"/>
  <c r="AQ96" i="3"/>
  <c r="AQ97" i="3"/>
  <c r="AQ98" i="3"/>
  <c r="AQ99" i="3"/>
  <c r="AQ100" i="3"/>
  <c r="AQ101" i="3"/>
  <c r="AQ102" i="3"/>
  <c r="AQ103" i="3"/>
  <c r="AQ104" i="3"/>
  <c r="AQ105" i="3"/>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P37" i="3"/>
  <c r="AP38" i="3"/>
  <c r="AP39" i="3"/>
  <c r="AP40" i="3"/>
  <c r="AP41" i="3"/>
  <c r="AP42" i="3"/>
  <c r="AP43" i="3"/>
  <c r="AP44" i="3"/>
  <c r="AP45" i="3"/>
  <c r="AP46" i="3"/>
  <c r="AP47" i="3"/>
  <c r="AP48" i="3"/>
  <c r="AP49" i="3"/>
  <c r="AP50" i="3"/>
  <c r="AP51" i="3"/>
  <c r="AP52" i="3"/>
  <c r="AP53" i="3"/>
  <c r="AP54" i="3"/>
  <c r="AP55" i="3"/>
  <c r="AP56" i="3"/>
  <c r="AP57" i="3"/>
  <c r="AP58" i="3"/>
  <c r="AP59" i="3"/>
  <c r="AP60" i="3"/>
  <c r="AP61" i="3"/>
  <c r="AP62" i="3"/>
  <c r="AP63" i="3"/>
  <c r="AP64" i="3"/>
  <c r="AP65" i="3"/>
  <c r="AP66" i="3"/>
  <c r="AP67" i="3"/>
  <c r="AP68" i="3"/>
  <c r="AP69" i="3"/>
  <c r="AP70" i="3"/>
  <c r="AP71" i="3"/>
  <c r="AP72" i="3"/>
  <c r="AP73" i="3"/>
  <c r="AP74" i="3"/>
  <c r="AP75" i="3"/>
  <c r="AP76" i="3"/>
  <c r="AP77" i="3"/>
  <c r="AP78" i="3"/>
  <c r="AP79" i="3"/>
  <c r="AP80" i="3"/>
  <c r="AP81" i="3"/>
  <c r="AP82" i="3"/>
  <c r="AP83" i="3"/>
  <c r="AP84" i="3"/>
  <c r="AP85" i="3"/>
  <c r="AP86" i="3"/>
  <c r="AP87" i="3"/>
  <c r="AP88" i="3"/>
  <c r="AP89" i="3"/>
  <c r="AP90" i="3"/>
  <c r="AP91" i="3"/>
  <c r="AP92" i="3"/>
  <c r="AP93" i="3"/>
  <c r="AP94" i="3"/>
  <c r="AP95" i="3"/>
  <c r="AP96" i="3"/>
  <c r="AP97" i="3"/>
  <c r="AP98" i="3"/>
  <c r="AP99" i="3"/>
  <c r="AP100" i="3"/>
  <c r="AP101" i="3"/>
  <c r="AP102" i="3"/>
  <c r="AP103" i="3"/>
  <c r="AP104" i="3"/>
  <c r="AP105" i="3"/>
  <c r="AN6" i="3"/>
  <c r="AN7" i="3"/>
  <c r="AN8" i="3"/>
  <c r="AN9" i="3"/>
  <c r="AN10" i="3"/>
  <c r="AN11" i="3"/>
  <c r="AN12" i="3"/>
  <c r="AN13" i="3"/>
  <c r="AN14" i="3"/>
  <c r="AN15" i="3"/>
  <c r="AN16" i="3"/>
  <c r="AN17" i="3"/>
  <c r="AN18" i="3"/>
  <c r="AN19" i="3"/>
  <c r="AN20" i="3"/>
  <c r="AN21" i="3"/>
  <c r="AN22" i="3"/>
  <c r="AN23" i="3"/>
  <c r="AN24" i="3"/>
  <c r="AN25" i="3"/>
  <c r="AN26" i="3"/>
  <c r="AN27" i="3"/>
  <c r="AN28" i="3"/>
  <c r="AN29" i="3"/>
  <c r="AN30" i="3"/>
  <c r="AN31" i="3"/>
  <c r="AN32" i="3"/>
  <c r="AN33" i="3"/>
  <c r="AN34" i="3"/>
  <c r="AN35" i="3"/>
  <c r="AN36" i="3"/>
  <c r="AN37" i="3"/>
  <c r="AN38" i="3"/>
  <c r="AN39" i="3"/>
  <c r="AN40" i="3"/>
  <c r="AN41" i="3"/>
  <c r="AN42" i="3"/>
  <c r="AN43" i="3"/>
  <c r="AN44" i="3"/>
  <c r="AN45" i="3"/>
  <c r="AN46" i="3"/>
  <c r="AN47" i="3"/>
  <c r="AN48" i="3"/>
  <c r="AN49" i="3"/>
  <c r="AN50" i="3"/>
  <c r="AN51" i="3"/>
  <c r="AN52" i="3"/>
  <c r="AN53" i="3"/>
  <c r="AN54" i="3"/>
  <c r="AN55" i="3"/>
  <c r="AN56" i="3"/>
  <c r="AN57" i="3"/>
  <c r="AN58" i="3"/>
  <c r="AN59" i="3"/>
  <c r="AN60" i="3"/>
  <c r="AN61" i="3"/>
  <c r="AN62" i="3"/>
  <c r="AN63" i="3"/>
  <c r="AN64" i="3"/>
  <c r="AN65" i="3"/>
  <c r="AN66" i="3"/>
  <c r="AN67" i="3"/>
  <c r="AN68" i="3"/>
  <c r="AN69" i="3"/>
  <c r="AN70" i="3"/>
  <c r="AN71" i="3"/>
  <c r="AN72" i="3"/>
  <c r="AN73" i="3"/>
  <c r="AN74" i="3"/>
  <c r="AN75" i="3"/>
  <c r="AN76" i="3"/>
  <c r="AN77" i="3"/>
  <c r="AN78" i="3"/>
  <c r="AN79" i="3"/>
  <c r="AN80" i="3"/>
  <c r="AN81" i="3"/>
  <c r="AN82" i="3"/>
  <c r="AN83" i="3"/>
  <c r="AN84" i="3"/>
  <c r="AN85" i="3"/>
  <c r="AN86" i="3"/>
  <c r="AN87" i="3"/>
  <c r="AN88" i="3"/>
  <c r="AN89" i="3"/>
  <c r="AN90" i="3"/>
  <c r="AN91" i="3"/>
  <c r="AN92" i="3"/>
  <c r="AN93" i="3"/>
  <c r="AN94" i="3"/>
  <c r="AN95" i="3"/>
  <c r="AN96" i="3"/>
  <c r="AN97" i="3"/>
  <c r="AN98" i="3"/>
  <c r="AN99" i="3"/>
  <c r="AN100" i="3"/>
  <c r="AN101" i="3"/>
  <c r="AN102" i="3"/>
  <c r="AN103" i="3"/>
  <c r="AN104" i="3"/>
  <c r="AN105" i="3"/>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68" i="3"/>
  <c r="AM69" i="3"/>
  <c r="AM70" i="3"/>
  <c r="AM71" i="3"/>
  <c r="AM72" i="3"/>
  <c r="AM73" i="3"/>
  <c r="AM74" i="3"/>
  <c r="AM75" i="3"/>
  <c r="AM76" i="3"/>
  <c r="AM77" i="3"/>
  <c r="AM78" i="3"/>
  <c r="AM79" i="3"/>
  <c r="AM80" i="3"/>
  <c r="AM81" i="3"/>
  <c r="AM82" i="3"/>
  <c r="AM83" i="3"/>
  <c r="AM84" i="3"/>
  <c r="AM85" i="3"/>
  <c r="AM86" i="3"/>
  <c r="AM87" i="3"/>
  <c r="AM88" i="3"/>
  <c r="AM89" i="3"/>
  <c r="AM90" i="3"/>
  <c r="AM91" i="3"/>
  <c r="AM92" i="3"/>
  <c r="AM93" i="3"/>
  <c r="AM94" i="3"/>
  <c r="AM95" i="3"/>
  <c r="AM96" i="3"/>
  <c r="AM97" i="3"/>
  <c r="AM98" i="3"/>
  <c r="AM99" i="3"/>
  <c r="AM100" i="3"/>
  <c r="AM101" i="3"/>
  <c r="AM102" i="3"/>
  <c r="AM103" i="3"/>
  <c r="AM104" i="3"/>
  <c r="AM105" i="3"/>
  <c r="B44" i="21" l="1"/>
  <c r="A40" i="9" s="1"/>
  <c r="B29" i="22"/>
  <c r="A58" i="9" s="1"/>
  <c r="E93" i="9"/>
  <c r="E91" i="9"/>
  <c r="E90" i="9"/>
  <c r="E89" i="9"/>
  <c r="E77" i="9"/>
  <c r="E76" i="9"/>
  <c r="E92" i="9"/>
  <c r="E88" i="9"/>
  <c r="E78" i="9"/>
  <c r="E81" i="9"/>
  <c r="E80" i="9"/>
  <c r="E79" i="9"/>
  <c r="E87" i="9"/>
  <c r="E75" i="9"/>
  <c r="E86" i="9"/>
  <c r="E74" i="9"/>
  <c r="E85" i="9"/>
  <c r="E84" i="9"/>
  <c r="E72" i="9"/>
  <c r="E83" i="9"/>
  <c r="E71" i="9"/>
  <c r="E82" i="9"/>
  <c r="A13" i="22"/>
  <c r="R350" i="15"/>
  <c r="R349" i="15"/>
  <c r="R348" i="15"/>
  <c r="R347" i="15"/>
  <c r="R346" i="15"/>
  <c r="R345" i="15"/>
  <c r="R344" i="15"/>
  <c r="R343" i="15"/>
  <c r="R342" i="15"/>
  <c r="R341" i="15"/>
  <c r="R340" i="15"/>
  <c r="R339" i="15"/>
  <c r="R338" i="15"/>
  <c r="R337" i="15"/>
  <c r="R336" i="15"/>
  <c r="R335" i="15"/>
  <c r="R334" i="15"/>
  <c r="R333" i="15"/>
  <c r="R332" i="15"/>
  <c r="R331" i="15"/>
  <c r="R330" i="15"/>
  <c r="R329" i="15"/>
  <c r="R328" i="15"/>
  <c r="R327" i="15"/>
  <c r="R326" i="15"/>
  <c r="R325" i="15"/>
  <c r="R324" i="15"/>
  <c r="R323" i="15"/>
  <c r="R322" i="15"/>
  <c r="R321" i="15"/>
  <c r="R320" i="15"/>
  <c r="R319" i="15"/>
  <c r="R318" i="15"/>
  <c r="R317" i="15"/>
  <c r="R316" i="15"/>
  <c r="R315" i="15"/>
  <c r="R314" i="15"/>
  <c r="R313" i="15"/>
  <c r="R312" i="15"/>
  <c r="R311" i="15"/>
  <c r="R310" i="15"/>
  <c r="R309" i="15"/>
  <c r="R308" i="15"/>
  <c r="R307" i="15"/>
  <c r="R306" i="15"/>
  <c r="R305" i="15"/>
  <c r="R304" i="15"/>
  <c r="R303" i="15"/>
  <c r="R302" i="15"/>
  <c r="R301" i="15"/>
  <c r="R300" i="15"/>
  <c r="R299" i="15"/>
  <c r="R298" i="15"/>
  <c r="R297" i="15"/>
  <c r="R296" i="15"/>
  <c r="R295" i="15"/>
  <c r="R294" i="15"/>
  <c r="R293" i="15"/>
  <c r="R292" i="15"/>
  <c r="R291" i="15"/>
  <c r="R290" i="15"/>
  <c r="R289" i="15"/>
  <c r="R288" i="15"/>
  <c r="R287" i="15"/>
  <c r="R286" i="15"/>
  <c r="R285" i="15"/>
  <c r="R284" i="15"/>
  <c r="R283" i="15"/>
  <c r="R282" i="15"/>
  <c r="R281" i="15"/>
  <c r="R280" i="15"/>
  <c r="R279" i="15"/>
  <c r="R278" i="15"/>
  <c r="R277" i="15"/>
  <c r="R276" i="15"/>
  <c r="R275" i="15"/>
  <c r="R274" i="15"/>
  <c r="R273" i="15"/>
  <c r="R272" i="15"/>
  <c r="R271" i="15"/>
  <c r="R270" i="15"/>
  <c r="R269" i="15"/>
  <c r="R268" i="15"/>
  <c r="R267" i="15"/>
  <c r="R266" i="15"/>
  <c r="R265" i="15"/>
  <c r="R264" i="15"/>
  <c r="R263" i="15"/>
  <c r="R262" i="15"/>
  <c r="R261" i="15"/>
  <c r="R260" i="15"/>
  <c r="R259" i="15"/>
  <c r="R258" i="15"/>
  <c r="R257" i="15"/>
  <c r="R256" i="15"/>
  <c r="R255" i="15"/>
  <c r="R254" i="15"/>
  <c r="R253" i="15"/>
  <c r="R252" i="15"/>
  <c r="R251" i="15"/>
  <c r="R250" i="15"/>
  <c r="R249" i="15"/>
  <c r="R248" i="15"/>
  <c r="R247" i="15"/>
  <c r="R246" i="15"/>
  <c r="R245" i="15"/>
  <c r="R244" i="15"/>
  <c r="R243" i="15"/>
  <c r="R242" i="15"/>
  <c r="R241" i="15"/>
  <c r="R240" i="15"/>
  <c r="R239" i="15"/>
  <c r="R238" i="15"/>
  <c r="R237" i="15"/>
  <c r="R236" i="15"/>
  <c r="R235" i="15"/>
  <c r="R234" i="15"/>
  <c r="R233" i="15"/>
  <c r="R232" i="15"/>
  <c r="R231" i="15"/>
  <c r="R230" i="15"/>
  <c r="R229" i="15"/>
  <c r="R228" i="15"/>
  <c r="R227" i="15"/>
  <c r="R226" i="15"/>
  <c r="R225" i="15"/>
  <c r="R224" i="15"/>
  <c r="R223" i="15"/>
  <c r="R222" i="15"/>
  <c r="R221" i="15"/>
  <c r="R220" i="15"/>
  <c r="R219" i="15"/>
  <c r="R218" i="15"/>
  <c r="R217" i="15"/>
  <c r="R216" i="15"/>
  <c r="R215" i="15"/>
  <c r="R214" i="15"/>
  <c r="R213" i="15"/>
  <c r="R212" i="15"/>
  <c r="R211" i="15"/>
  <c r="R210" i="15"/>
  <c r="R209" i="15"/>
  <c r="R208" i="15"/>
  <c r="R207" i="15"/>
  <c r="R206" i="15"/>
  <c r="R205" i="15"/>
  <c r="R204" i="15"/>
  <c r="R203" i="15"/>
  <c r="R202" i="15"/>
  <c r="R201" i="15"/>
  <c r="R200" i="15"/>
  <c r="R199" i="15"/>
  <c r="R198" i="15"/>
  <c r="R197" i="15"/>
  <c r="R196" i="15"/>
  <c r="R195" i="15"/>
  <c r="R194" i="15"/>
  <c r="R193" i="15"/>
  <c r="R192" i="15"/>
  <c r="R191" i="15"/>
  <c r="R190" i="15"/>
  <c r="R189" i="15"/>
  <c r="R188" i="15"/>
  <c r="R187" i="15"/>
  <c r="R186" i="15"/>
  <c r="R185" i="15"/>
  <c r="R184" i="15"/>
  <c r="R183" i="15"/>
  <c r="R182" i="15"/>
  <c r="R181" i="15"/>
  <c r="R180" i="15"/>
  <c r="R179" i="15"/>
  <c r="R178" i="15"/>
  <c r="R177" i="15"/>
  <c r="R176" i="15"/>
  <c r="R175" i="15"/>
  <c r="R174" i="15"/>
  <c r="R173" i="15"/>
  <c r="R172" i="15"/>
  <c r="R171" i="15"/>
  <c r="R170" i="15"/>
  <c r="R169" i="15"/>
  <c r="R168" i="15"/>
  <c r="R167" i="15"/>
  <c r="R166" i="15"/>
  <c r="R165" i="15"/>
  <c r="R164" i="15"/>
  <c r="R163" i="15"/>
  <c r="R162" i="15"/>
  <c r="R161" i="15"/>
  <c r="R160" i="15"/>
  <c r="R159" i="15"/>
  <c r="R158" i="15"/>
  <c r="R157" i="15"/>
  <c r="R156" i="15"/>
  <c r="R155" i="15"/>
  <c r="R154" i="15"/>
  <c r="R153" i="15"/>
  <c r="R152" i="15"/>
  <c r="R151" i="15"/>
  <c r="R150" i="15"/>
  <c r="R149" i="15"/>
  <c r="R148" i="15"/>
  <c r="R147" i="15"/>
  <c r="R146" i="15"/>
  <c r="R145" i="15"/>
  <c r="R144" i="15"/>
  <c r="R143" i="15"/>
  <c r="R142" i="15"/>
  <c r="R141" i="15"/>
  <c r="R140" i="15"/>
  <c r="R139" i="15"/>
  <c r="R138" i="15"/>
  <c r="R137" i="15"/>
  <c r="R136" i="15"/>
  <c r="R135" i="15"/>
  <c r="R134" i="15"/>
  <c r="R133" i="15"/>
  <c r="R132" i="15"/>
  <c r="R131" i="15"/>
  <c r="R130" i="15"/>
  <c r="R129" i="15"/>
  <c r="R128" i="15"/>
  <c r="R127" i="15"/>
  <c r="R126" i="15"/>
  <c r="R125" i="15"/>
  <c r="R124" i="15"/>
  <c r="R123" i="15"/>
  <c r="R122" i="15"/>
  <c r="R121" i="15"/>
  <c r="R120" i="15"/>
  <c r="R119" i="15"/>
  <c r="R118" i="15"/>
  <c r="R117" i="15"/>
  <c r="R116" i="15"/>
  <c r="R115" i="15"/>
  <c r="R114" i="15"/>
  <c r="R113" i="15"/>
  <c r="R112" i="15"/>
  <c r="R111" i="15"/>
  <c r="R110" i="15"/>
  <c r="R109" i="15"/>
  <c r="R108" i="15"/>
  <c r="R107" i="15"/>
  <c r="R106" i="15"/>
  <c r="R105" i="15"/>
  <c r="R104" i="15"/>
  <c r="R103" i="15"/>
  <c r="R102" i="15"/>
  <c r="R101" i="15"/>
  <c r="R100" i="15"/>
  <c r="R99" i="15"/>
  <c r="R98" i="15"/>
  <c r="R97" i="15"/>
  <c r="R96" i="15"/>
  <c r="R95" i="15"/>
  <c r="R94" i="15"/>
  <c r="R93" i="15"/>
  <c r="R92" i="15"/>
  <c r="R91" i="15"/>
  <c r="R90" i="15"/>
  <c r="R89" i="15"/>
  <c r="R88" i="15"/>
  <c r="R87" i="15"/>
  <c r="R86" i="15"/>
  <c r="R85" i="15"/>
  <c r="R84" i="15"/>
  <c r="R83" i="15"/>
  <c r="R82" i="15"/>
  <c r="R81" i="15"/>
  <c r="R80" i="15"/>
  <c r="R79" i="15"/>
  <c r="R78" i="15"/>
  <c r="R77" i="15"/>
  <c r="R76" i="15"/>
  <c r="R75" i="15"/>
  <c r="R74" i="15"/>
  <c r="R73" i="15"/>
  <c r="R72" i="15"/>
  <c r="R71" i="15"/>
  <c r="R70" i="15"/>
  <c r="R69" i="15"/>
  <c r="R68" i="15"/>
  <c r="R67" i="15"/>
  <c r="R66" i="15"/>
  <c r="R65" i="15"/>
  <c r="R64" i="15"/>
  <c r="R63" i="15"/>
  <c r="R62" i="15"/>
  <c r="R61" i="15"/>
  <c r="R60" i="15"/>
  <c r="R59" i="15"/>
  <c r="R58" i="15"/>
  <c r="R57" i="15"/>
  <c r="R56" i="15"/>
  <c r="R55" i="15"/>
  <c r="R54" i="15"/>
  <c r="R53" i="15"/>
  <c r="R52" i="15"/>
  <c r="R51" i="15"/>
  <c r="R50" i="15"/>
  <c r="R49" i="15"/>
  <c r="R48" i="15"/>
  <c r="R47" i="15"/>
  <c r="R46" i="15"/>
  <c r="R45" i="15"/>
  <c r="R44"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R14" i="15"/>
  <c r="R13" i="15"/>
  <c r="R12" i="15"/>
  <c r="R11" i="15"/>
  <c r="R10" i="15"/>
  <c r="R9" i="15"/>
  <c r="R8" i="15"/>
  <c r="R7" i="15"/>
  <c r="R6" i="15"/>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05" i="3"/>
  <c r="U104" i="3"/>
  <c r="U103" i="3"/>
  <c r="U102" i="3"/>
  <c r="R355" i="15"/>
  <c r="R354" i="15"/>
  <c r="R353" i="15"/>
  <c r="R352" i="15"/>
  <c r="R351" i="15"/>
  <c r="Q6" i="15"/>
  <c r="L6" i="15"/>
  <c r="A9" i="23"/>
  <c r="A8" i="23"/>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350" i="15"/>
  <c r="F351" i="15"/>
  <c r="F352" i="15"/>
  <c r="F353" i="15"/>
  <c r="F354" i="15"/>
  <c r="F355" i="15"/>
  <c r="B55" i="9"/>
  <c r="B51" i="9"/>
  <c r="B50" i="9"/>
  <c r="B49" i="9"/>
  <c r="B48" i="9"/>
  <c r="B47" i="9"/>
  <c r="B46" i="9"/>
  <c r="B45" i="9"/>
  <c r="B44" i="9"/>
  <c r="B43" i="9"/>
  <c r="B42" i="9"/>
  <c r="B28" i="22" l="1"/>
  <c r="A57" i="9" s="1"/>
  <c r="P6" i="15"/>
  <c r="B33" i="9"/>
  <c r="B30" i="9"/>
  <c r="B29" i="9"/>
  <c r="B28" i="9"/>
  <c r="B25" i="9"/>
  <c r="B24" i="9"/>
  <c r="B23" i="9"/>
  <c r="B22" i="9"/>
  <c r="B19" i="9"/>
  <c r="AF7" i="3" l="1"/>
  <c r="AF8"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19" i="9"/>
  <c r="A11" i="19"/>
  <c r="A9" i="19"/>
  <c r="A8" i="19"/>
  <c r="A7" i="19"/>
  <c r="A21" i="22"/>
  <c r="A20" i="22"/>
  <c r="A19" i="22"/>
  <c r="A18" i="22"/>
  <c r="A17" i="22"/>
  <c r="A16" i="22"/>
  <c r="A15" i="22"/>
  <c r="A14" i="22"/>
  <c r="A12" i="22"/>
  <c r="A11" i="22"/>
  <c r="A31" i="21"/>
  <c r="A30" i="21"/>
  <c r="A29" i="21"/>
  <c r="A28" i="21"/>
  <c r="A27" i="21"/>
  <c r="A26" i="21"/>
  <c r="A25" i="21"/>
  <c r="A24" i="21"/>
  <c r="A23" i="21"/>
  <c r="A22" i="21"/>
  <c r="A21" i="21"/>
  <c r="A20" i="21"/>
  <c r="A19" i="21"/>
  <c r="A18" i="21"/>
  <c r="A17" i="21"/>
  <c r="A16" i="21"/>
  <c r="A15" i="21"/>
  <c r="A14" i="21"/>
  <c r="A13" i="21"/>
  <c r="A12" i="21"/>
  <c r="A11" i="21"/>
  <c r="A10" i="21"/>
  <c r="A9" i="21"/>
  <c r="A20" i="20"/>
  <c r="A19" i="20"/>
  <c r="A18" i="20"/>
  <c r="A17" i="20"/>
  <c r="A16" i="20"/>
  <c r="A15" i="20"/>
  <c r="A14" i="20"/>
  <c r="A13" i="20"/>
  <c r="A12" i="20"/>
  <c r="A11" i="20"/>
  <c r="A10" i="20"/>
  <c r="A9" i="20"/>
  <c r="A8" i="20"/>
  <c r="A7" i="18"/>
  <c r="A8" i="18"/>
  <c r="A9" i="18"/>
  <c r="A10" i="18"/>
  <c r="A11" i="18"/>
  <c r="A12" i="18"/>
  <c r="A13" i="18"/>
  <c r="A14" i="18"/>
  <c r="A15" i="18"/>
  <c r="A16" i="18"/>
  <c r="A17" i="18"/>
  <c r="A18" i="18"/>
  <c r="A19" i="18"/>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O6" i="3"/>
  <c r="AF6" i="3" s="1"/>
  <c r="O7" i="3"/>
  <c r="O8" i="3"/>
  <c r="O9" i="3"/>
  <c r="AF9" i="3" s="1"/>
  <c r="O10" i="3"/>
  <c r="AF10" i="3" s="1"/>
  <c r="O11" i="3"/>
  <c r="AF11" i="3" s="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AK6" i="3"/>
  <c r="AB6" i="3" s="1"/>
  <c r="F6" i="3" s="1"/>
  <c r="AK7" i="3"/>
  <c r="AK8" i="3"/>
  <c r="AB8" i="3" s="1"/>
  <c r="AK9" i="3"/>
  <c r="AB9" i="3" s="1"/>
  <c r="AK10" i="3"/>
  <c r="AB10" i="3" s="1"/>
  <c r="F10" i="3" s="1"/>
  <c r="AK11" i="3"/>
  <c r="AB11" i="3" s="1"/>
  <c r="AK12" i="3"/>
  <c r="AB12" i="3" s="1"/>
  <c r="F12" i="3" s="1"/>
  <c r="AK13" i="3"/>
  <c r="AB13" i="3" s="1"/>
  <c r="AK14" i="3"/>
  <c r="AB14" i="3" s="1"/>
  <c r="AK15" i="3"/>
  <c r="AB15" i="3" s="1"/>
  <c r="AK16" i="3"/>
  <c r="AB16" i="3" s="1"/>
  <c r="AK17" i="3"/>
  <c r="AB17" i="3" s="1"/>
  <c r="AK18" i="3"/>
  <c r="AB18" i="3" s="1"/>
  <c r="AK19" i="3"/>
  <c r="AB19" i="3" s="1"/>
  <c r="AK20" i="3"/>
  <c r="AB20" i="3" s="1"/>
  <c r="AK21" i="3"/>
  <c r="AB21" i="3" s="1"/>
  <c r="AK22" i="3"/>
  <c r="AB22" i="3" s="1"/>
  <c r="AK23" i="3"/>
  <c r="AB23" i="3" s="1"/>
  <c r="AK24" i="3"/>
  <c r="AB24" i="3" s="1"/>
  <c r="AK25" i="3"/>
  <c r="AB25" i="3" s="1"/>
  <c r="AK26" i="3"/>
  <c r="AB26" i="3" s="1"/>
  <c r="AK27" i="3"/>
  <c r="AB27" i="3" s="1"/>
  <c r="AK28" i="3"/>
  <c r="AB28" i="3" s="1"/>
  <c r="AK29" i="3"/>
  <c r="AB29" i="3" s="1"/>
  <c r="AK30" i="3"/>
  <c r="AB30" i="3" s="1"/>
  <c r="AK31" i="3"/>
  <c r="AB31" i="3" s="1"/>
  <c r="AK32" i="3"/>
  <c r="AB32" i="3" s="1"/>
  <c r="AK33" i="3"/>
  <c r="AB33" i="3" s="1"/>
  <c r="AK34" i="3"/>
  <c r="AB34" i="3" s="1"/>
  <c r="AK35" i="3"/>
  <c r="AB35" i="3" s="1"/>
  <c r="AK36" i="3"/>
  <c r="AB36" i="3" s="1"/>
  <c r="AK37" i="3"/>
  <c r="AB37" i="3" s="1"/>
  <c r="AK38" i="3"/>
  <c r="AB38" i="3" s="1"/>
  <c r="AK39" i="3"/>
  <c r="AB39" i="3" s="1"/>
  <c r="AK40" i="3"/>
  <c r="AB40" i="3" s="1"/>
  <c r="AK41" i="3"/>
  <c r="AB41" i="3" s="1"/>
  <c r="AK42" i="3"/>
  <c r="AB42" i="3" s="1"/>
  <c r="AK43" i="3"/>
  <c r="AB43" i="3" s="1"/>
  <c r="AK44" i="3"/>
  <c r="AB44" i="3" s="1"/>
  <c r="AK45" i="3"/>
  <c r="AB45" i="3" s="1"/>
  <c r="AK46" i="3"/>
  <c r="AB46" i="3" s="1"/>
  <c r="AK47" i="3"/>
  <c r="AB47" i="3" s="1"/>
  <c r="AK48" i="3"/>
  <c r="AB48" i="3" s="1"/>
  <c r="AK49" i="3"/>
  <c r="AB49" i="3" s="1"/>
  <c r="AK50" i="3"/>
  <c r="AB50" i="3" s="1"/>
  <c r="AK51" i="3"/>
  <c r="AB51" i="3" s="1"/>
  <c r="AK52" i="3"/>
  <c r="AB52" i="3" s="1"/>
  <c r="AK53" i="3"/>
  <c r="AB53" i="3" s="1"/>
  <c r="AK54" i="3"/>
  <c r="AB54" i="3" s="1"/>
  <c r="AK55" i="3"/>
  <c r="AB55" i="3" s="1"/>
  <c r="AK56" i="3"/>
  <c r="AB56" i="3" s="1"/>
  <c r="AK57" i="3"/>
  <c r="AB57" i="3" s="1"/>
  <c r="AK58" i="3"/>
  <c r="AB58" i="3" s="1"/>
  <c r="AK59" i="3"/>
  <c r="AB59" i="3" s="1"/>
  <c r="AK60" i="3"/>
  <c r="AB60" i="3" s="1"/>
  <c r="AK61" i="3"/>
  <c r="AB61" i="3" s="1"/>
  <c r="AK62" i="3"/>
  <c r="AB62" i="3" s="1"/>
  <c r="AK63" i="3"/>
  <c r="AB63" i="3" s="1"/>
  <c r="AK64" i="3"/>
  <c r="AB64" i="3" s="1"/>
  <c r="AK65" i="3"/>
  <c r="AB65" i="3" s="1"/>
  <c r="AK66" i="3"/>
  <c r="AB66" i="3" s="1"/>
  <c r="AK67" i="3"/>
  <c r="AB67" i="3" s="1"/>
  <c r="AK68" i="3"/>
  <c r="AB68" i="3" s="1"/>
  <c r="AK69" i="3"/>
  <c r="AB69" i="3" s="1"/>
  <c r="AK70" i="3"/>
  <c r="AB70" i="3" s="1"/>
  <c r="AK71" i="3"/>
  <c r="AB71" i="3" s="1"/>
  <c r="AK72" i="3"/>
  <c r="AB72" i="3" s="1"/>
  <c r="AK73" i="3"/>
  <c r="AB73" i="3" s="1"/>
  <c r="AK74" i="3"/>
  <c r="AB74" i="3" s="1"/>
  <c r="AK75" i="3"/>
  <c r="AB75" i="3" s="1"/>
  <c r="AK76" i="3"/>
  <c r="AB76" i="3" s="1"/>
  <c r="AK77" i="3"/>
  <c r="AB77" i="3" s="1"/>
  <c r="AK78" i="3"/>
  <c r="AB78" i="3" s="1"/>
  <c r="AK79" i="3"/>
  <c r="AB79" i="3" s="1"/>
  <c r="AK80" i="3"/>
  <c r="AB80" i="3" s="1"/>
  <c r="AK81" i="3"/>
  <c r="AB81" i="3" s="1"/>
  <c r="AK82" i="3"/>
  <c r="AB82" i="3" s="1"/>
  <c r="AK83" i="3"/>
  <c r="AB83" i="3" s="1"/>
  <c r="AK84" i="3"/>
  <c r="AB84" i="3" s="1"/>
  <c r="AK85" i="3"/>
  <c r="AB85" i="3" s="1"/>
  <c r="AK86" i="3"/>
  <c r="AB86" i="3" s="1"/>
  <c r="AK87" i="3"/>
  <c r="AB87" i="3" s="1"/>
  <c r="AK88" i="3"/>
  <c r="AB88" i="3" s="1"/>
  <c r="AK89" i="3"/>
  <c r="AB89" i="3" s="1"/>
  <c r="AK90" i="3"/>
  <c r="AB90" i="3" s="1"/>
  <c r="AK91" i="3"/>
  <c r="AB91" i="3" s="1"/>
  <c r="AK92" i="3"/>
  <c r="AB92" i="3" s="1"/>
  <c r="AK93" i="3"/>
  <c r="AB93" i="3" s="1"/>
  <c r="AK94" i="3"/>
  <c r="AB94" i="3" s="1"/>
  <c r="AK95" i="3"/>
  <c r="AB95" i="3" s="1"/>
  <c r="AK96" i="3"/>
  <c r="AB96" i="3" s="1"/>
  <c r="AK97" i="3"/>
  <c r="AB97" i="3" s="1"/>
  <c r="AK98" i="3"/>
  <c r="AB98" i="3" s="1"/>
  <c r="AK99" i="3"/>
  <c r="AB99" i="3" s="1"/>
  <c r="AK100" i="3"/>
  <c r="AB100" i="3" s="1"/>
  <c r="AK101" i="3"/>
  <c r="AB101" i="3" s="1"/>
  <c r="AK102" i="3"/>
  <c r="AB102" i="3" s="1"/>
  <c r="AK103" i="3"/>
  <c r="AB103" i="3" s="1"/>
  <c r="AK104" i="3"/>
  <c r="AB104" i="3" s="1"/>
  <c r="AK105" i="3"/>
  <c r="AB105" i="3" s="1"/>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AA13"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I6" i="2"/>
  <c r="I7" i="2"/>
  <c r="I8" i="2"/>
  <c r="I9" i="2"/>
  <c r="I10" i="2"/>
  <c r="I11" i="2"/>
  <c r="I12" i="2"/>
  <c r="I13" i="2"/>
  <c r="I14" i="2"/>
  <c r="I15" i="2"/>
  <c r="I16" i="2"/>
  <c r="I17" i="2"/>
  <c r="I18" i="2"/>
  <c r="I19" i="2"/>
  <c r="I20" i="2"/>
  <c r="I21" i="2"/>
  <c r="I22" i="2"/>
  <c r="I23" i="2"/>
  <c r="I24" i="2"/>
  <c r="I25" i="2"/>
  <c r="I26" i="2"/>
  <c r="I27" i="2"/>
  <c r="I28" i="2"/>
  <c r="I29" i="2"/>
  <c r="I30" i="2"/>
  <c r="H6" i="2"/>
  <c r="H7" i="2"/>
  <c r="H8" i="2"/>
  <c r="H9" i="2"/>
  <c r="H10" i="2"/>
  <c r="H11" i="2"/>
  <c r="H12" i="2"/>
  <c r="H13" i="2"/>
  <c r="H14" i="2"/>
  <c r="H15" i="2"/>
  <c r="H16" i="2"/>
  <c r="H17" i="2"/>
  <c r="H18" i="2"/>
  <c r="H19" i="2"/>
  <c r="H20" i="2"/>
  <c r="H21" i="2"/>
  <c r="H22" i="2"/>
  <c r="H23" i="2"/>
  <c r="H24" i="2"/>
  <c r="H25" i="2"/>
  <c r="H26" i="2"/>
  <c r="H27" i="2"/>
  <c r="H28" i="2"/>
  <c r="H29" i="2"/>
  <c r="H30" i="2"/>
  <c r="G6" i="2"/>
  <c r="G7" i="2"/>
  <c r="G8" i="2"/>
  <c r="G9" i="2"/>
  <c r="G10" i="2"/>
  <c r="G11" i="2"/>
  <c r="G12" i="2"/>
  <c r="G13" i="2"/>
  <c r="G14" i="2"/>
  <c r="G15" i="2"/>
  <c r="G16" i="2"/>
  <c r="G17" i="2"/>
  <c r="G18" i="2"/>
  <c r="G19" i="2"/>
  <c r="G20" i="2"/>
  <c r="G21" i="2"/>
  <c r="G22" i="2"/>
  <c r="G23" i="2"/>
  <c r="G24" i="2"/>
  <c r="G25" i="2"/>
  <c r="G26" i="2"/>
  <c r="G27" i="2"/>
  <c r="G28" i="2"/>
  <c r="G29" i="2"/>
  <c r="G30" i="2"/>
  <c r="J7" i="2"/>
  <c r="J8" i="2"/>
  <c r="C71" i="9" s="1"/>
  <c r="J9" i="2"/>
  <c r="C72" i="9" s="1"/>
  <c r="J10" i="2"/>
  <c r="C73" i="9" s="1"/>
  <c r="J11" i="2"/>
  <c r="C74" i="9" s="1"/>
  <c r="J12" i="2"/>
  <c r="C75" i="9" s="1"/>
  <c r="J13" i="2"/>
  <c r="C76" i="9" s="1"/>
  <c r="J14" i="2"/>
  <c r="J15" i="2"/>
  <c r="J16" i="2"/>
  <c r="J17" i="2"/>
  <c r="J18" i="2"/>
  <c r="C81" i="9" s="1"/>
  <c r="J19" i="2"/>
  <c r="J20" i="2"/>
  <c r="J21" i="2"/>
  <c r="J22" i="2"/>
  <c r="J23" i="2"/>
  <c r="J24" i="2"/>
  <c r="J25" i="2"/>
  <c r="J26" i="2"/>
  <c r="J27" i="2"/>
  <c r="J28" i="2"/>
  <c r="J29" i="2"/>
  <c r="J30" i="2"/>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AG8" i="3"/>
  <c r="AI8" i="3" s="1"/>
  <c r="AG6" i="3"/>
  <c r="AI6" i="3" s="1"/>
  <c r="AG7" i="3"/>
  <c r="AH7" i="3" s="1"/>
  <c r="AG9" i="3"/>
  <c r="AH9" i="3" s="1"/>
  <c r="AG10" i="3"/>
  <c r="AH10" i="3" s="1"/>
  <c r="AG11" i="3"/>
  <c r="AH11" i="3" s="1"/>
  <c r="AG12" i="3"/>
  <c r="AH12" i="3" s="1"/>
  <c r="AG13" i="3"/>
  <c r="AI13" i="3" s="1"/>
  <c r="AG14" i="3"/>
  <c r="AG15" i="3"/>
  <c r="AH15" i="3" s="1"/>
  <c r="AG16" i="3"/>
  <c r="AG17" i="3"/>
  <c r="AG18" i="3"/>
  <c r="AI18" i="3" s="1"/>
  <c r="AG19" i="3"/>
  <c r="AI19" i="3" s="1"/>
  <c r="AG20" i="3"/>
  <c r="V20" i="3" s="1"/>
  <c r="AG21" i="3"/>
  <c r="AH21" i="3" s="1"/>
  <c r="AG22" i="3"/>
  <c r="AH22" i="3" s="1"/>
  <c r="AG23" i="3"/>
  <c r="V23" i="3" s="1"/>
  <c r="AG24" i="3"/>
  <c r="V24" i="3" s="1"/>
  <c r="AG25" i="3"/>
  <c r="V25" i="3" s="1"/>
  <c r="AG26" i="3"/>
  <c r="V26" i="3" s="1"/>
  <c r="AG27" i="3"/>
  <c r="AH27" i="3" s="1"/>
  <c r="AG28" i="3"/>
  <c r="AG29" i="3"/>
  <c r="AG30" i="3"/>
  <c r="AI30" i="3" s="1"/>
  <c r="AG31" i="3"/>
  <c r="AG32" i="3"/>
  <c r="AI32" i="3" s="1"/>
  <c r="AG33" i="3"/>
  <c r="AH33" i="3" s="1"/>
  <c r="AG34" i="3"/>
  <c r="AH34" i="3" s="1"/>
  <c r="AG35" i="3"/>
  <c r="V35" i="3" s="1"/>
  <c r="AG36" i="3"/>
  <c r="V36" i="3" s="1"/>
  <c r="AG37" i="3"/>
  <c r="V37" i="3" s="1"/>
  <c r="AG38" i="3"/>
  <c r="V38" i="3" s="1"/>
  <c r="AG39" i="3"/>
  <c r="AH39" i="3" s="1"/>
  <c r="AG40" i="3"/>
  <c r="AG41" i="3"/>
  <c r="AG42" i="3"/>
  <c r="AI42" i="3" s="1"/>
  <c r="AG43" i="3"/>
  <c r="AH43" i="3" s="1"/>
  <c r="AG44" i="3"/>
  <c r="V44" i="3" s="1"/>
  <c r="AG45" i="3"/>
  <c r="AH45" i="3" s="1"/>
  <c r="AG46" i="3"/>
  <c r="AH46" i="3" s="1"/>
  <c r="AG47" i="3"/>
  <c r="V47" i="3" s="1"/>
  <c r="AG48" i="3"/>
  <c r="V48" i="3" s="1"/>
  <c r="AG49" i="3"/>
  <c r="V49" i="3" s="1"/>
  <c r="AG50" i="3"/>
  <c r="V50" i="3" s="1"/>
  <c r="AG51" i="3"/>
  <c r="AH51" i="3" s="1"/>
  <c r="AG52" i="3"/>
  <c r="AG53" i="3"/>
  <c r="AG54" i="3"/>
  <c r="AI54" i="3" s="1"/>
  <c r="AG55" i="3"/>
  <c r="AI55" i="3" s="1"/>
  <c r="AG56" i="3"/>
  <c r="V56" i="3" s="1"/>
  <c r="AG57" i="3"/>
  <c r="AH57" i="3" s="1"/>
  <c r="AG58" i="3"/>
  <c r="AH58" i="3" s="1"/>
  <c r="AG59" i="3"/>
  <c r="V59" i="3" s="1"/>
  <c r="AG60" i="3"/>
  <c r="V60" i="3" s="1"/>
  <c r="AG61" i="3"/>
  <c r="V61" i="3" s="1"/>
  <c r="AG62" i="3"/>
  <c r="V62" i="3" s="1"/>
  <c r="AG63" i="3"/>
  <c r="AH63" i="3" s="1"/>
  <c r="AG64" i="3"/>
  <c r="AG65" i="3"/>
  <c r="AG66" i="3"/>
  <c r="AI66" i="3" s="1"/>
  <c r="AG67" i="3"/>
  <c r="AG68" i="3"/>
  <c r="V68" i="3" s="1"/>
  <c r="AG69" i="3"/>
  <c r="AH69" i="3" s="1"/>
  <c r="AG70" i="3"/>
  <c r="AH70" i="3" s="1"/>
  <c r="AG71" i="3"/>
  <c r="V71" i="3" s="1"/>
  <c r="AG72" i="3"/>
  <c r="V72" i="3" s="1"/>
  <c r="AG73" i="3"/>
  <c r="V73" i="3" s="1"/>
  <c r="AG74" i="3"/>
  <c r="V74" i="3" s="1"/>
  <c r="AG75" i="3"/>
  <c r="AH75" i="3" s="1"/>
  <c r="AG76" i="3"/>
  <c r="AG77" i="3"/>
  <c r="AG78" i="3"/>
  <c r="AI78" i="3" s="1"/>
  <c r="AG79" i="3"/>
  <c r="AG80" i="3"/>
  <c r="AI80" i="3" s="1"/>
  <c r="AG81" i="3"/>
  <c r="AH81" i="3" s="1"/>
  <c r="AG82" i="3"/>
  <c r="AH82" i="3" s="1"/>
  <c r="AG83" i="3"/>
  <c r="V83" i="3" s="1"/>
  <c r="AG84" i="3"/>
  <c r="V84" i="3" s="1"/>
  <c r="AG85" i="3"/>
  <c r="V85" i="3" s="1"/>
  <c r="AG86" i="3"/>
  <c r="V86" i="3" s="1"/>
  <c r="AG87" i="3"/>
  <c r="AH87" i="3" s="1"/>
  <c r="AG88" i="3"/>
  <c r="AG89" i="3"/>
  <c r="AG90" i="3"/>
  <c r="AI90" i="3" s="1"/>
  <c r="AG91" i="3"/>
  <c r="AI91" i="3" s="1"/>
  <c r="AG92" i="3"/>
  <c r="V92" i="3" s="1"/>
  <c r="AG93" i="3"/>
  <c r="AH93" i="3" s="1"/>
  <c r="AG94" i="3"/>
  <c r="AH94" i="3" s="1"/>
  <c r="AG95" i="3"/>
  <c r="V95" i="3" s="1"/>
  <c r="AG96" i="3"/>
  <c r="V96" i="3" s="1"/>
  <c r="AG97" i="3"/>
  <c r="V97" i="3" s="1"/>
  <c r="AG98" i="3"/>
  <c r="V98" i="3" s="1"/>
  <c r="AG99" i="3"/>
  <c r="AH99" i="3" s="1"/>
  <c r="AG100" i="3"/>
  <c r="AG101" i="3"/>
  <c r="AG102" i="3"/>
  <c r="AI102" i="3" s="1"/>
  <c r="AG103" i="3"/>
  <c r="AG104" i="3"/>
  <c r="AH104" i="3" s="1"/>
  <c r="AG105" i="3"/>
  <c r="AH105" i="3" s="1"/>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AC6" i="3"/>
  <c r="Y6" i="3" s="1"/>
  <c r="AC7" i="3"/>
  <c r="Y7" i="3" s="1"/>
  <c r="AC8" i="3"/>
  <c r="Y8" i="3" s="1"/>
  <c r="AC9" i="3"/>
  <c r="Y9" i="3" s="1"/>
  <c r="AC10" i="3"/>
  <c r="Y10" i="3" s="1"/>
  <c r="AC11" i="3"/>
  <c r="Y11" i="3" s="1"/>
  <c r="AC12" i="3"/>
  <c r="Y12" i="3" s="1"/>
  <c r="AC13" i="3"/>
  <c r="Y13" i="3" s="1"/>
  <c r="AC14" i="3"/>
  <c r="Y14" i="3" s="1"/>
  <c r="AC15" i="3"/>
  <c r="Y15" i="3" s="1"/>
  <c r="AC16" i="3"/>
  <c r="Y16" i="3" s="1"/>
  <c r="AC17" i="3"/>
  <c r="Y17" i="3" s="1"/>
  <c r="AC18" i="3"/>
  <c r="Y18" i="3" s="1"/>
  <c r="AC19" i="3"/>
  <c r="Y19" i="3" s="1"/>
  <c r="AC20" i="3"/>
  <c r="Y20" i="3" s="1"/>
  <c r="AC21" i="3"/>
  <c r="Y21" i="3" s="1"/>
  <c r="AC22" i="3"/>
  <c r="Y22" i="3" s="1"/>
  <c r="AC23" i="3"/>
  <c r="Y23" i="3" s="1"/>
  <c r="AC24" i="3"/>
  <c r="Y24" i="3" s="1"/>
  <c r="AC25" i="3"/>
  <c r="Y25" i="3" s="1"/>
  <c r="AC26" i="3"/>
  <c r="Y26" i="3" s="1"/>
  <c r="AC27" i="3"/>
  <c r="Y27" i="3" s="1"/>
  <c r="AC28" i="3"/>
  <c r="Y28" i="3" s="1"/>
  <c r="AC29" i="3"/>
  <c r="Y29" i="3" s="1"/>
  <c r="AC30" i="3"/>
  <c r="Y30" i="3" s="1"/>
  <c r="AC31" i="3"/>
  <c r="Y31" i="3" s="1"/>
  <c r="AC32" i="3"/>
  <c r="Y32" i="3" s="1"/>
  <c r="AC33" i="3"/>
  <c r="Y33" i="3" s="1"/>
  <c r="AC34" i="3"/>
  <c r="Y34" i="3" s="1"/>
  <c r="AC35" i="3"/>
  <c r="Y35" i="3" s="1"/>
  <c r="AC36" i="3"/>
  <c r="Y36" i="3" s="1"/>
  <c r="AC37" i="3"/>
  <c r="Y37" i="3" s="1"/>
  <c r="AC38" i="3"/>
  <c r="Y38" i="3" s="1"/>
  <c r="AC39" i="3"/>
  <c r="Y39" i="3" s="1"/>
  <c r="AC40" i="3"/>
  <c r="Y40" i="3" s="1"/>
  <c r="AC41" i="3"/>
  <c r="Y41" i="3" s="1"/>
  <c r="AC42" i="3"/>
  <c r="Y42" i="3" s="1"/>
  <c r="AC43" i="3"/>
  <c r="Y43" i="3" s="1"/>
  <c r="AC44" i="3"/>
  <c r="Y44" i="3" s="1"/>
  <c r="AC45" i="3"/>
  <c r="Y45" i="3" s="1"/>
  <c r="AC46" i="3"/>
  <c r="Y46" i="3" s="1"/>
  <c r="AC47" i="3"/>
  <c r="Y47" i="3" s="1"/>
  <c r="AC48" i="3"/>
  <c r="Y48" i="3" s="1"/>
  <c r="AC49" i="3"/>
  <c r="Y49" i="3" s="1"/>
  <c r="AC50" i="3"/>
  <c r="Y50" i="3" s="1"/>
  <c r="AC51" i="3"/>
  <c r="Y51" i="3" s="1"/>
  <c r="AC52" i="3"/>
  <c r="Y52" i="3" s="1"/>
  <c r="AC53" i="3"/>
  <c r="Y53" i="3" s="1"/>
  <c r="AC54" i="3"/>
  <c r="Y54" i="3" s="1"/>
  <c r="AC55" i="3"/>
  <c r="Y55" i="3" s="1"/>
  <c r="AC56" i="3"/>
  <c r="Y56" i="3" s="1"/>
  <c r="AC57" i="3"/>
  <c r="Y57" i="3" s="1"/>
  <c r="AC58" i="3"/>
  <c r="Y58" i="3" s="1"/>
  <c r="AC59" i="3"/>
  <c r="Y59" i="3" s="1"/>
  <c r="AC60" i="3"/>
  <c r="Y60" i="3" s="1"/>
  <c r="AC61" i="3"/>
  <c r="Y61" i="3" s="1"/>
  <c r="AC62" i="3"/>
  <c r="Y62" i="3" s="1"/>
  <c r="AC63" i="3"/>
  <c r="Y63" i="3" s="1"/>
  <c r="AC64" i="3"/>
  <c r="Y64" i="3" s="1"/>
  <c r="AC65" i="3"/>
  <c r="Y65" i="3" s="1"/>
  <c r="AC66" i="3"/>
  <c r="Y66" i="3" s="1"/>
  <c r="AC67" i="3"/>
  <c r="Y67" i="3" s="1"/>
  <c r="AC68" i="3"/>
  <c r="Y68" i="3" s="1"/>
  <c r="AC69" i="3"/>
  <c r="Y69" i="3" s="1"/>
  <c r="AC70" i="3"/>
  <c r="Y70" i="3" s="1"/>
  <c r="AC71" i="3"/>
  <c r="Y71" i="3" s="1"/>
  <c r="AC72" i="3"/>
  <c r="Y72" i="3" s="1"/>
  <c r="AC73" i="3"/>
  <c r="Y73" i="3" s="1"/>
  <c r="AC74" i="3"/>
  <c r="Y74" i="3" s="1"/>
  <c r="AC75" i="3"/>
  <c r="Y75" i="3" s="1"/>
  <c r="AC76" i="3"/>
  <c r="Y76" i="3" s="1"/>
  <c r="AC77" i="3"/>
  <c r="Y77" i="3" s="1"/>
  <c r="AC78" i="3"/>
  <c r="Y78" i="3" s="1"/>
  <c r="AC79" i="3"/>
  <c r="Y79" i="3" s="1"/>
  <c r="AC80" i="3"/>
  <c r="Y80" i="3" s="1"/>
  <c r="AC81" i="3"/>
  <c r="Y81" i="3" s="1"/>
  <c r="AC82" i="3"/>
  <c r="Y82" i="3" s="1"/>
  <c r="AC83" i="3"/>
  <c r="Y83" i="3" s="1"/>
  <c r="AC84" i="3"/>
  <c r="Y84" i="3" s="1"/>
  <c r="AC85" i="3"/>
  <c r="Y85" i="3" s="1"/>
  <c r="AC86" i="3"/>
  <c r="Y86" i="3" s="1"/>
  <c r="AC87" i="3"/>
  <c r="Y87" i="3" s="1"/>
  <c r="AC88" i="3"/>
  <c r="Y88" i="3" s="1"/>
  <c r="AC89" i="3"/>
  <c r="Y89" i="3" s="1"/>
  <c r="AC90" i="3"/>
  <c r="Y90" i="3" s="1"/>
  <c r="AC91" i="3"/>
  <c r="Y91" i="3" s="1"/>
  <c r="AC92" i="3"/>
  <c r="Y92" i="3" s="1"/>
  <c r="AC93" i="3"/>
  <c r="Y93" i="3" s="1"/>
  <c r="AC94" i="3"/>
  <c r="Y94" i="3" s="1"/>
  <c r="AC95" i="3"/>
  <c r="Y95" i="3" s="1"/>
  <c r="AC96" i="3"/>
  <c r="Y96" i="3" s="1"/>
  <c r="AC97" i="3"/>
  <c r="Y97" i="3" s="1"/>
  <c r="AC98" i="3"/>
  <c r="Y98" i="3" s="1"/>
  <c r="AC99" i="3"/>
  <c r="Y99" i="3" s="1"/>
  <c r="AC100" i="3"/>
  <c r="Y100" i="3" s="1"/>
  <c r="AC101" i="3"/>
  <c r="Y101" i="3" s="1"/>
  <c r="AC102" i="3"/>
  <c r="Y102" i="3" s="1"/>
  <c r="AC103" i="3"/>
  <c r="Y103" i="3" s="1"/>
  <c r="AC104" i="3"/>
  <c r="Y104" i="3" s="1"/>
  <c r="AC105" i="3"/>
  <c r="Y105" i="3" s="1"/>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265" i="15"/>
  <c r="L266" i="15"/>
  <c r="L267" i="15"/>
  <c r="L268" i="15"/>
  <c r="L269" i="15"/>
  <c r="L270" i="15"/>
  <c r="L271" i="15"/>
  <c r="L272" i="15"/>
  <c r="L273" i="15"/>
  <c r="L274" i="15"/>
  <c r="L275" i="15"/>
  <c r="L276" i="15"/>
  <c r="L277" i="15"/>
  <c r="L278" i="15"/>
  <c r="L279" i="15"/>
  <c r="L280" i="15"/>
  <c r="L281" i="15"/>
  <c r="L282" i="15"/>
  <c r="L283" i="15"/>
  <c r="L284" i="15"/>
  <c r="L285" i="15"/>
  <c r="L286" i="15"/>
  <c r="L287" i="15"/>
  <c r="L288" i="15"/>
  <c r="L289" i="15"/>
  <c r="L290" i="15"/>
  <c r="L291" i="15"/>
  <c r="L292" i="15"/>
  <c r="L293" i="15"/>
  <c r="L294" i="15"/>
  <c r="L295" i="15"/>
  <c r="L296" i="15"/>
  <c r="L297" i="15"/>
  <c r="L298" i="15"/>
  <c r="L299" i="15"/>
  <c r="L300" i="15"/>
  <c r="L301" i="15"/>
  <c r="L302" i="15"/>
  <c r="L303" i="15"/>
  <c r="L304" i="15"/>
  <c r="L305" i="15"/>
  <c r="L306" i="15"/>
  <c r="L307" i="15"/>
  <c r="L308" i="15"/>
  <c r="L309" i="15"/>
  <c r="L310" i="15"/>
  <c r="L311" i="15"/>
  <c r="L312" i="15"/>
  <c r="L313" i="15"/>
  <c r="L314" i="15"/>
  <c r="L315" i="15"/>
  <c r="L316" i="15"/>
  <c r="L317" i="15"/>
  <c r="L318" i="15"/>
  <c r="L319" i="15"/>
  <c r="L320" i="15"/>
  <c r="L321" i="15"/>
  <c r="L322" i="15"/>
  <c r="L323" i="15"/>
  <c r="L324" i="15"/>
  <c r="L325" i="15"/>
  <c r="L326" i="15"/>
  <c r="L327" i="15"/>
  <c r="L328" i="15"/>
  <c r="L329" i="15"/>
  <c r="L330" i="15"/>
  <c r="L331" i="15"/>
  <c r="L332" i="15"/>
  <c r="L333" i="15"/>
  <c r="L334" i="15"/>
  <c r="L335" i="15"/>
  <c r="L336" i="15"/>
  <c r="L337" i="15"/>
  <c r="L338" i="15"/>
  <c r="L339" i="15"/>
  <c r="L340" i="15"/>
  <c r="L341" i="15"/>
  <c r="L342" i="15"/>
  <c r="L343" i="15"/>
  <c r="L344" i="15"/>
  <c r="L345" i="15"/>
  <c r="L346" i="15"/>
  <c r="L347" i="15"/>
  <c r="L348" i="15"/>
  <c r="L349" i="15"/>
  <c r="L350" i="15"/>
  <c r="L351" i="15"/>
  <c r="L352" i="15"/>
  <c r="L353" i="15"/>
  <c r="L354" i="15"/>
  <c r="L355" i="1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AA11" i="3" l="1"/>
  <c r="C70" i="9"/>
  <c r="L8" i="6"/>
  <c r="L16" i="6"/>
  <c r="L9" i="6"/>
  <c r="C69" i="9"/>
  <c r="L7" i="6"/>
  <c r="AB7" i="3"/>
  <c r="F7" i="3" s="1"/>
  <c r="M6" i="15"/>
  <c r="M9" i="15"/>
  <c r="M10" i="15"/>
  <c r="M7" i="15"/>
  <c r="M8" i="15"/>
  <c r="AA10" i="3"/>
  <c r="AA9" i="3"/>
  <c r="B20" i="19"/>
  <c r="A23" i="9" s="1"/>
  <c r="B21" i="19"/>
  <c r="A24" i="9" s="1"/>
  <c r="B22" i="19"/>
  <c r="A25" i="9" s="1"/>
  <c r="AA14" i="3"/>
  <c r="B26" i="22"/>
  <c r="A55" i="9" s="1"/>
  <c r="B46" i="21"/>
  <c r="A42" i="9" s="1"/>
  <c r="B49" i="21"/>
  <c r="A45" i="9" s="1"/>
  <c r="B53" i="21"/>
  <c r="A49" i="9" s="1"/>
  <c r="B52" i="21"/>
  <c r="A48" i="9" s="1"/>
  <c r="B29" i="18"/>
  <c r="A29" i="9" s="1"/>
  <c r="AA8" i="3"/>
  <c r="AA7" i="3"/>
  <c r="AA6" i="3"/>
  <c r="AA12" i="3"/>
  <c r="AI60" i="3"/>
  <c r="AH54" i="3"/>
  <c r="V80" i="3"/>
  <c r="AI94" i="3"/>
  <c r="AI95" i="3"/>
  <c r="AI58" i="3"/>
  <c r="AI82" i="3"/>
  <c r="AI46" i="3"/>
  <c r="AI59" i="3"/>
  <c r="V82" i="3"/>
  <c r="AI36" i="3"/>
  <c r="V70" i="3"/>
  <c r="AH68" i="3"/>
  <c r="AI34" i="3"/>
  <c r="AI35" i="3"/>
  <c r="V46" i="3"/>
  <c r="AI10" i="3"/>
  <c r="AH8" i="3"/>
  <c r="V104" i="3"/>
  <c r="V32" i="3"/>
  <c r="AH102" i="3"/>
  <c r="AI105" i="3"/>
  <c r="AI72" i="3"/>
  <c r="AI20" i="3"/>
  <c r="AH92" i="3"/>
  <c r="AI104" i="3"/>
  <c r="AI71" i="3"/>
  <c r="AI45" i="3"/>
  <c r="AI12" i="3"/>
  <c r="V81" i="3"/>
  <c r="AH80" i="3"/>
  <c r="AI96" i="3"/>
  <c r="AI70" i="3"/>
  <c r="AI44" i="3"/>
  <c r="AI11" i="3"/>
  <c r="AI69" i="3"/>
  <c r="AI68" i="3"/>
  <c r="AI9" i="3"/>
  <c r="V69" i="3"/>
  <c r="AI93" i="3"/>
  <c r="AH44" i="3"/>
  <c r="AI92" i="3"/>
  <c r="AI33" i="3"/>
  <c r="AI7" i="3"/>
  <c r="AH32" i="3"/>
  <c r="V45" i="3"/>
  <c r="AH20" i="3"/>
  <c r="AI83" i="3"/>
  <c r="AI57" i="3"/>
  <c r="AI24" i="3"/>
  <c r="AI56" i="3"/>
  <c r="AI23" i="3"/>
  <c r="V34" i="3"/>
  <c r="AI81" i="3"/>
  <c r="AI48" i="3"/>
  <c r="AI22" i="3"/>
  <c r="AH56" i="3"/>
  <c r="AI84" i="3"/>
  <c r="V105" i="3"/>
  <c r="V33" i="3"/>
  <c r="AH6" i="3"/>
  <c r="AI47" i="3"/>
  <c r="AI21" i="3"/>
  <c r="AI79" i="3"/>
  <c r="V79" i="3"/>
  <c r="V67" i="3"/>
  <c r="AI67" i="3"/>
  <c r="AI31" i="3"/>
  <c r="V31" i="3"/>
  <c r="AI101" i="3"/>
  <c r="AH101" i="3"/>
  <c r="AI89" i="3"/>
  <c r="AH89" i="3"/>
  <c r="AI29" i="3"/>
  <c r="AH29" i="3"/>
  <c r="AH88" i="3"/>
  <c r="AI88" i="3"/>
  <c r="AH40" i="3"/>
  <c r="AI40" i="3"/>
  <c r="AH30" i="3"/>
  <c r="AI41" i="3"/>
  <c r="AH41" i="3"/>
  <c r="AH64" i="3"/>
  <c r="AI64" i="3"/>
  <c r="V55" i="3"/>
  <c r="AH67" i="3"/>
  <c r="AH19" i="3"/>
  <c r="AI65" i="3"/>
  <c r="AH65" i="3"/>
  <c r="AH100" i="3"/>
  <c r="AI100" i="3"/>
  <c r="AI28" i="3"/>
  <c r="AH28" i="3"/>
  <c r="AH79" i="3"/>
  <c r="V91" i="3"/>
  <c r="AH66" i="3"/>
  <c r="AH18" i="3"/>
  <c r="AH53" i="3"/>
  <c r="AI53" i="3"/>
  <c r="AH90" i="3"/>
  <c r="AH42" i="3"/>
  <c r="AI52" i="3"/>
  <c r="AH52" i="3"/>
  <c r="AH31" i="3"/>
  <c r="V103" i="3"/>
  <c r="AI103" i="3"/>
  <c r="AI43" i="3"/>
  <c r="V43" i="3"/>
  <c r="AH91" i="3"/>
  <c r="AI77" i="3"/>
  <c r="AH77" i="3"/>
  <c r="AI17" i="3"/>
  <c r="AH17" i="3"/>
  <c r="AI76" i="3"/>
  <c r="AH76" i="3"/>
  <c r="AH16" i="3"/>
  <c r="AI16" i="3"/>
  <c r="AH78" i="3"/>
  <c r="V19" i="3"/>
  <c r="AH103" i="3"/>
  <c r="AH55" i="3"/>
  <c r="AH50" i="3"/>
  <c r="AH61" i="3"/>
  <c r="AH96" i="3"/>
  <c r="AH60" i="3"/>
  <c r="AH48" i="3"/>
  <c r="AH24" i="3"/>
  <c r="V94" i="3"/>
  <c r="V58" i="3"/>
  <c r="V22" i="3"/>
  <c r="AH95" i="3"/>
  <c r="AH83" i="3"/>
  <c r="AH71" i="3"/>
  <c r="AH59" i="3"/>
  <c r="AH47" i="3"/>
  <c r="AH35" i="3"/>
  <c r="AH23" i="3"/>
  <c r="AI99" i="3"/>
  <c r="AI87" i="3"/>
  <c r="AI75" i="3"/>
  <c r="AI63" i="3"/>
  <c r="AI51" i="3"/>
  <c r="AI39" i="3"/>
  <c r="AI27" i="3"/>
  <c r="AI15" i="3"/>
  <c r="AH98" i="3"/>
  <c r="AH86" i="3"/>
  <c r="AH74" i="3"/>
  <c r="AH62" i="3"/>
  <c r="AH38" i="3"/>
  <c r="AH26" i="3"/>
  <c r="AH14" i="3"/>
  <c r="AH97" i="3"/>
  <c r="AH85" i="3"/>
  <c r="AH73" i="3"/>
  <c r="AH37" i="3"/>
  <c r="AH25" i="3"/>
  <c r="AH13" i="3"/>
  <c r="AH84" i="3"/>
  <c r="V93" i="3"/>
  <c r="V57" i="3"/>
  <c r="V21" i="3"/>
  <c r="AI98" i="3"/>
  <c r="AI86" i="3"/>
  <c r="AI74" i="3"/>
  <c r="AI62" i="3"/>
  <c r="AI50" i="3"/>
  <c r="AI38" i="3"/>
  <c r="AI26" i="3"/>
  <c r="AI14" i="3"/>
  <c r="AH49" i="3"/>
  <c r="AH72" i="3"/>
  <c r="AH36" i="3"/>
  <c r="AI97" i="3"/>
  <c r="AI85" i="3"/>
  <c r="AI73" i="3"/>
  <c r="AI61" i="3"/>
  <c r="AI49" i="3"/>
  <c r="AI37" i="3"/>
  <c r="AI25" i="3"/>
  <c r="V102" i="3"/>
  <c r="V78" i="3"/>
  <c r="V54" i="3"/>
  <c r="V101" i="3"/>
  <c r="V89" i="3"/>
  <c r="V77" i="3"/>
  <c r="V65" i="3"/>
  <c r="V53" i="3"/>
  <c r="V41" i="3"/>
  <c r="V29" i="3"/>
  <c r="V17" i="3"/>
  <c r="V90" i="3"/>
  <c r="V66" i="3"/>
  <c r="V42" i="3"/>
  <c r="V30" i="3"/>
  <c r="V100" i="3"/>
  <c r="V88" i="3"/>
  <c r="V76" i="3"/>
  <c r="V64" i="3"/>
  <c r="V52" i="3"/>
  <c r="V40" i="3"/>
  <c r="V28" i="3"/>
  <c r="V99" i="3"/>
  <c r="V87" i="3"/>
  <c r="V75" i="3"/>
  <c r="V63" i="3"/>
  <c r="V51" i="3"/>
  <c r="V39" i="3"/>
  <c r="V27" i="3"/>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D344" i="15"/>
  <c r="D345" i="15"/>
  <c r="D346" i="15"/>
  <c r="D347" i="15"/>
  <c r="D348" i="15"/>
  <c r="D349" i="15"/>
  <c r="D350" i="15"/>
  <c r="D351" i="15"/>
  <c r="D352" i="15"/>
  <c r="D353" i="15"/>
  <c r="D354" i="15"/>
  <c r="D35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F6" i="2"/>
  <c r="F7" i="2"/>
  <c r="F8" i="2"/>
  <c r="F9" i="2"/>
  <c r="F10" i="2"/>
  <c r="F11" i="2"/>
  <c r="F12" i="2"/>
  <c r="F13" i="2"/>
  <c r="F14" i="2"/>
  <c r="F15" i="2"/>
  <c r="F16" i="2"/>
  <c r="F17" i="2"/>
  <c r="F18" i="2"/>
  <c r="F19" i="2"/>
  <c r="F20" i="2"/>
  <c r="F21" i="2"/>
  <c r="F22" i="2"/>
  <c r="F23" i="2"/>
  <c r="F24" i="2"/>
  <c r="F25" i="2"/>
  <c r="F26" i="2"/>
  <c r="F27" i="2"/>
  <c r="F28" i="2"/>
  <c r="F29" i="2"/>
  <c r="F30" i="2"/>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265" i="15"/>
  <c r="Q266" i="15"/>
  <c r="Q267" i="15"/>
  <c r="Q268" i="15"/>
  <c r="Q269" i="15"/>
  <c r="Q270" i="15"/>
  <c r="Q271" i="15"/>
  <c r="Q272" i="15"/>
  <c r="Q273" i="15"/>
  <c r="Q274" i="15"/>
  <c r="Q275" i="15"/>
  <c r="Q276" i="15"/>
  <c r="Q277" i="15"/>
  <c r="Q278" i="15"/>
  <c r="Q279" i="15"/>
  <c r="Q280" i="15"/>
  <c r="Q281" i="15"/>
  <c r="Q282" i="15"/>
  <c r="Q283" i="15"/>
  <c r="Q284" i="15"/>
  <c r="Q285" i="15"/>
  <c r="Q286" i="15"/>
  <c r="Q287" i="15"/>
  <c r="Q288" i="15"/>
  <c r="Q289" i="15"/>
  <c r="Q290" i="15"/>
  <c r="Q291" i="15"/>
  <c r="Q292" i="15"/>
  <c r="Q293" i="15"/>
  <c r="Q294" i="15"/>
  <c r="Q295" i="15"/>
  <c r="Q296" i="15"/>
  <c r="Q297" i="15"/>
  <c r="Q298" i="15"/>
  <c r="Q299" i="15"/>
  <c r="Q300" i="15"/>
  <c r="Q301" i="15"/>
  <c r="Q302" i="15"/>
  <c r="Q303" i="15"/>
  <c r="Q304" i="15"/>
  <c r="Q305" i="15"/>
  <c r="Q306" i="15"/>
  <c r="Q307" i="15"/>
  <c r="Q308" i="15"/>
  <c r="Q309" i="15"/>
  <c r="Q310" i="15"/>
  <c r="Q311" i="15"/>
  <c r="Q312" i="15"/>
  <c r="Q313" i="15"/>
  <c r="Q314" i="15"/>
  <c r="Q315" i="15"/>
  <c r="Q316" i="15"/>
  <c r="Q317" i="15"/>
  <c r="Q318" i="15"/>
  <c r="Q319" i="15"/>
  <c r="Q320" i="15"/>
  <c r="Q321" i="15"/>
  <c r="Q322" i="15"/>
  <c r="Q323" i="15"/>
  <c r="Q324" i="15"/>
  <c r="Q325" i="15"/>
  <c r="Q326" i="15"/>
  <c r="Q327" i="15"/>
  <c r="Q328" i="15"/>
  <c r="Q329" i="15"/>
  <c r="Q330" i="15"/>
  <c r="Q331" i="15"/>
  <c r="Q332" i="15"/>
  <c r="Q333" i="15"/>
  <c r="Q334" i="15"/>
  <c r="Q335" i="15"/>
  <c r="Q336" i="15"/>
  <c r="Q337" i="15"/>
  <c r="Q338" i="15"/>
  <c r="Q339" i="15"/>
  <c r="Q340" i="15"/>
  <c r="Q341" i="15"/>
  <c r="Q342" i="15"/>
  <c r="Q343" i="15"/>
  <c r="Q344" i="15"/>
  <c r="Q345" i="15"/>
  <c r="Q346" i="15"/>
  <c r="Q347" i="15"/>
  <c r="Q348" i="15"/>
  <c r="Q349" i="15"/>
  <c r="Q350" i="15"/>
  <c r="Q351" i="15"/>
  <c r="Q352" i="15"/>
  <c r="Q353" i="15"/>
  <c r="Q354" i="15"/>
  <c r="Q355" i="15"/>
  <c r="S206" i="15"/>
  <c r="S207" i="15"/>
  <c r="S208" i="15"/>
  <c r="S209" i="15"/>
  <c r="S210" i="15"/>
  <c r="S211" i="15"/>
  <c r="S212" i="15"/>
  <c r="S213" i="15"/>
  <c r="S214" i="15"/>
  <c r="S215" i="15"/>
  <c r="S216" i="15"/>
  <c r="S217" i="15"/>
  <c r="S218" i="15"/>
  <c r="S219" i="15"/>
  <c r="S220" i="15"/>
  <c r="S221" i="15"/>
  <c r="S222" i="15"/>
  <c r="S223" i="15"/>
  <c r="S224" i="15"/>
  <c r="S225" i="15"/>
  <c r="S226" i="15"/>
  <c r="S227" i="15"/>
  <c r="S228" i="15"/>
  <c r="S229" i="15"/>
  <c r="S230" i="15"/>
  <c r="S231" i="15"/>
  <c r="S232" i="15"/>
  <c r="S233" i="15"/>
  <c r="S234" i="15"/>
  <c r="S235" i="15"/>
  <c r="S236" i="15"/>
  <c r="S237" i="15"/>
  <c r="S238" i="15"/>
  <c r="S239" i="15"/>
  <c r="S240" i="15"/>
  <c r="S241" i="15"/>
  <c r="S242" i="15"/>
  <c r="S243" i="15"/>
  <c r="S244" i="15"/>
  <c r="S245" i="15"/>
  <c r="S246" i="15"/>
  <c r="S247" i="15"/>
  <c r="S248" i="15"/>
  <c r="S249" i="15"/>
  <c r="S250" i="15"/>
  <c r="S251" i="15"/>
  <c r="S252" i="15"/>
  <c r="S253" i="15"/>
  <c r="S254" i="15"/>
  <c r="S255" i="15"/>
  <c r="S256" i="15"/>
  <c r="S257" i="15"/>
  <c r="S258" i="15"/>
  <c r="S259" i="15"/>
  <c r="S260" i="15"/>
  <c r="S261" i="15"/>
  <c r="S262" i="15"/>
  <c r="S263" i="15"/>
  <c r="S264" i="15"/>
  <c r="S265" i="15"/>
  <c r="S266" i="15"/>
  <c r="S267" i="15"/>
  <c r="S268" i="15"/>
  <c r="S269" i="15"/>
  <c r="S270" i="15"/>
  <c r="S271" i="15"/>
  <c r="S272" i="15"/>
  <c r="S273" i="15"/>
  <c r="S274" i="15"/>
  <c r="S275" i="15"/>
  <c r="S276" i="15"/>
  <c r="S277" i="15"/>
  <c r="S278" i="15"/>
  <c r="S279" i="15"/>
  <c r="S280" i="15"/>
  <c r="S281" i="15"/>
  <c r="S282" i="15"/>
  <c r="S283" i="15"/>
  <c r="S284" i="15"/>
  <c r="S285" i="15"/>
  <c r="S286" i="15"/>
  <c r="S287" i="15"/>
  <c r="S288" i="15"/>
  <c r="S289" i="15"/>
  <c r="S290" i="15"/>
  <c r="S291" i="15"/>
  <c r="S292" i="15"/>
  <c r="S293" i="15"/>
  <c r="S294" i="15"/>
  <c r="S295" i="15"/>
  <c r="S296" i="15"/>
  <c r="S297" i="15"/>
  <c r="S298" i="15"/>
  <c r="S299" i="15"/>
  <c r="S300" i="15"/>
  <c r="S301" i="15"/>
  <c r="S302" i="15"/>
  <c r="S303" i="15"/>
  <c r="S304" i="15"/>
  <c r="S305" i="15"/>
  <c r="S306" i="15"/>
  <c r="S307" i="15"/>
  <c r="S308" i="15"/>
  <c r="S309" i="15"/>
  <c r="S310" i="15"/>
  <c r="S311" i="15"/>
  <c r="S312" i="15"/>
  <c r="S313" i="15"/>
  <c r="S314" i="15"/>
  <c r="S315" i="15"/>
  <c r="S316" i="15"/>
  <c r="S317" i="15"/>
  <c r="S318" i="15"/>
  <c r="S319" i="15"/>
  <c r="S320" i="15"/>
  <c r="S321" i="15"/>
  <c r="S322" i="15"/>
  <c r="S323" i="15"/>
  <c r="S324" i="15"/>
  <c r="S325" i="15"/>
  <c r="S326" i="15"/>
  <c r="S327" i="15"/>
  <c r="S328" i="15"/>
  <c r="S329" i="15"/>
  <c r="S330" i="15"/>
  <c r="S331" i="15"/>
  <c r="S332" i="15"/>
  <c r="S333" i="15"/>
  <c r="S334" i="15"/>
  <c r="S335" i="15"/>
  <c r="S336" i="15"/>
  <c r="S337" i="15"/>
  <c r="S338" i="15"/>
  <c r="S339" i="15"/>
  <c r="S340" i="15"/>
  <c r="S341" i="15"/>
  <c r="S342" i="15"/>
  <c r="S343" i="15"/>
  <c r="S344" i="15"/>
  <c r="S345" i="15"/>
  <c r="S346" i="15"/>
  <c r="S347" i="15"/>
  <c r="S348" i="15"/>
  <c r="S349" i="15"/>
  <c r="S350" i="15"/>
  <c r="S351" i="15"/>
  <c r="S352" i="15"/>
  <c r="S353" i="15"/>
  <c r="S354" i="15"/>
  <c r="S35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S107" i="15"/>
  <c r="S108" i="15"/>
  <c r="S109" i="15"/>
  <c r="S110" i="15"/>
  <c r="S111" i="15"/>
  <c r="S112" i="15"/>
  <c r="S113" i="15"/>
  <c r="S114" i="15"/>
  <c r="S115" i="15"/>
  <c r="S116" i="15"/>
  <c r="S117" i="15"/>
  <c r="S118" i="15"/>
  <c r="S119" i="15"/>
  <c r="S120" i="15"/>
  <c r="S121" i="15"/>
  <c r="S122" i="15"/>
  <c r="S123" i="15"/>
  <c r="S124" i="15"/>
  <c r="S125" i="15"/>
  <c r="S126" i="15"/>
  <c r="S127" i="15"/>
  <c r="S128" i="15"/>
  <c r="S129" i="15"/>
  <c r="S130" i="15"/>
  <c r="S131" i="15"/>
  <c r="S132" i="15"/>
  <c r="S133" i="15"/>
  <c r="S134" i="15"/>
  <c r="S135" i="15"/>
  <c r="S136" i="15"/>
  <c r="S137" i="15"/>
  <c r="S138" i="15"/>
  <c r="S139" i="15"/>
  <c r="S140" i="15"/>
  <c r="S141" i="15"/>
  <c r="S142" i="15"/>
  <c r="S143" i="15"/>
  <c r="S144" i="15"/>
  <c r="S145" i="15"/>
  <c r="S146" i="15"/>
  <c r="S147" i="15"/>
  <c r="S148" i="15"/>
  <c r="S149" i="15"/>
  <c r="S150" i="15"/>
  <c r="S151" i="15"/>
  <c r="S152" i="15"/>
  <c r="S153" i="15"/>
  <c r="S154" i="15"/>
  <c r="S155" i="15"/>
  <c r="S156" i="15"/>
  <c r="S157" i="15"/>
  <c r="S158" i="15"/>
  <c r="S159" i="15"/>
  <c r="S160" i="15"/>
  <c r="S161" i="15"/>
  <c r="S162" i="15"/>
  <c r="S163" i="15"/>
  <c r="S164" i="15"/>
  <c r="S165" i="15"/>
  <c r="S166" i="15"/>
  <c r="S167" i="15"/>
  <c r="S168" i="15"/>
  <c r="S169" i="15"/>
  <c r="S170" i="15"/>
  <c r="S171" i="15"/>
  <c r="S172" i="15"/>
  <c r="S173" i="15"/>
  <c r="S174" i="15"/>
  <c r="S175" i="15"/>
  <c r="S176" i="15"/>
  <c r="S177" i="15"/>
  <c r="S178" i="15"/>
  <c r="S179" i="15"/>
  <c r="S180" i="15"/>
  <c r="S181" i="15"/>
  <c r="S182" i="15"/>
  <c r="S183" i="15"/>
  <c r="S184" i="15"/>
  <c r="S185" i="15"/>
  <c r="S186" i="15"/>
  <c r="S187" i="15"/>
  <c r="S188" i="15"/>
  <c r="S189" i="15"/>
  <c r="S190" i="15"/>
  <c r="S191" i="15"/>
  <c r="S192" i="15"/>
  <c r="S193" i="15"/>
  <c r="S194" i="15"/>
  <c r="S195" i="15"/>
  <c r="S196" i="15"/>
  <c r="S197" i="15"/>
  <c r="S198" i="15"/>
  <c r="S199" i="15"/>
  <c r="S200" i="15"/>
  <c r="S201" i="15"/>
  <c r="S202" i="15"/>
  <c r="S203" i="15"/>
  <c r="S204" i="15"/>
  <c r="S205" i="15"/>
  <c r="AL6" i="3"/>
  <c r="AL7" i="3"/>
  <c r="AL8" i="3"/>
  <c r="AL9" i="3"/>
  <c r="AL10" i="3"/>
  <c r="AL11" i="3"/>
  <c r="AL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K6" i="2"/>
  <c r="K7" i="2"/>
  <c r="K8" i="2"/>
  <c r="K9" i="2"/>
  <c r="K10" i="2"/>
  <c r="K11" i="2"/>
  <c r="K12" i="2"/>
  <c r="K13" i="2"/>
  <c r="K14" i="2"/>
  <c r="K15" i="2"/>
  <c r="K16" i="2"/>
  <c r="K17" i="2"/>
  <c r="K18" i="2"/>
  <c r="K19" i="2"/>
  <c r="K20" i="2"/>
  <c r="K21" i="2"/>
  <c r="K22" i="2"/>
  <c r="K23" i="2"/>
  <c r="K24" i="2"/>
  <c r="K25" i="2"/>
  <c r="K26" i="2"/>
  <c r="K27" i="2"/>
  <c r="K28" i="2"/>
  <c r="K29" i="2"/>
  <c r="K30" i="2"/>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I6" i="5"/>
  <c r="B30" i="20" l="1"/>
  <c r="A34" i="9" s="1"/>
  <c r="V15" i="3"/>
  <c r="B19" i="19"/>
  <c r="A22" i="9" s="1"/>
  <c r="B54" i="21"/>
  <c r="A50" i="9" s="1"/>
  <c r="B33" i="20"/>
  <c r="A37" i="9" s="1"/>
  <c r="B31" i="20"/>
  <c r="A35" i="9" s="1"/>
  <c r="B30" i="18"/>
  <c r="A30" i="9" s="1"/>
  <c r="P345" i="15"/>
  <c r="V14" i="3"/>
  <c r="P199" i="15"/>
  <c r="P187" i="15"/>
  <c r="P175" i="15"/>
  <c r="P163" i="15"/>
  <c r="P151" i="15"/>
  <c r="P139" i="15"/>
  <c r="P127" i="15"/>
  <c r="P115" i="15"/>
  <c r="P103" i="15"/>
  <c r="P91" i="15"/>
  <c r="P79" i="15"/>
  <c r="P67" i="15"/>
  <c r="P55" i="15"/>
  <c r="P43" i="15"/>
  <c r="P31" i="15"/>
  <c r="P19" i="15"/>
  <c r="P7" i="15"/>
  <c r="P201" i="15"/>
  <c r="P189" i="15"/>
  <c r="P177" i="15"/>
  <c r="P165" i="15"/>
  <c r="P153" i="15"/>
  <c r="P141" i="15"/>
  <c r="P129" i="15"/>
  <c r="P117" i="15"/>
  <c r="P105" i="15"/>
  <c r="P93" i="15"/>
  <c r="P81" i="15"/>
  <c r="P69" i="15"/>
  <c r="P57" i="15"/>
  <c r="P45" i="15"/>
  <c r="P33" i="15"/>
  <c r="P21" i="15"/>
  <c r="P9" i="15"/>
  <c r="P200" i="15"/>
  <c r="P188" i="15"/>
  <c r="P176" i="15"/>
  <c r="P164" i="15"/>
  <c r="P152" i="15"/>
  <c r="P140" i="15"/>
  <c r="P128" i="15"/>
  <c r="P116" i="15"/>
  <c r="P104" i="15"/>
  <c r="P92" i="15"/>
  <c r="P80" i="15"/>
  <c r="P68" i="15"/>
  <c r="P56" i="15"/>
  <c r="P44" i="15"/>
  <c r="P32" i="15"/>
  <c r="P20" i="15"/>
  <c r="P8" i="15"/>
  <c r="P347" i="15"/>
  <c r="P335" i="15"/>
  <c r="P323" i="15"/>
  <c r="P311" i="15"/>
  <c r="P299" i="15"/>
  <c r="P287" i="15"/>
  <c r="P275" i="15"/>
  <c r="P263" i="15"/>
  <c r="P251" i="15"/>
  <c r="P239" i="15"/>
  <c r="P227" i="15"/>
  <c r="P215" i="15"/>
  <c r="P203" i="15"/>
  <c r="P179" i="15"/>
  <c r="P167" i="15"/>
  <c r="P155" i="15"/>
  <c r="P143" i="15"/>
  <c r="P131" i="15"/>
  <c r="P119" i="15"/>
  <c r="P107" i="15"/>
  <c r="P95" i="15"/>
  <c r="P83" i="15"/>
  <c r="P71" i="15"/>
  <c r="P59" i="15"/>
  <c r="P47" i="15"/>
  <c r="P35" i="15"/>
  <c r="P23" i="15"/>
  <c r="P11" i="15"/>
  <c r="P350" i="15"/>
  <c r="P338" i="15"/>
  <c r="P326" i="15"/>
  <c r="P314" i="15"/>
  <c r="P302" i="15"/>
  <c r="P290" i="15"/>
  <c r="P278" i="15"/>
  <c r="P266" i="15"/>
  <c r="P254" i="15"/>
  <c r="P242" i="15"/>
  <c r="P230" i="15"/>
  <c r="P218" i="15"/>
  <c r="P191" i="15"/>
  <c r="P202" i="15"/>
  <c r="P190" i="15"/>
  <c r="P178" i="15"/>
  <c r="P166" i="15"/>
  <c r="P154" i="15"/>
  <c r="P142" i="15"/>
  <c r="P130" i="15"/>
  <c r="P118" i="15"/>
  <c r="P106" i="15"/>
  <c r="P94" i="15"/>
  <c r="P82" i="15"/>
  <c r="P70" i="15"/>
  <c r="P58" i="15"/>
  <c r="P46" i="15"/>
  <c r="P34" i="15"/>
  <c r="P22" i="15"/>
  <c r="P10" i="15"/>
  <c r="P349" i="15"/>
  <c r="P337" i="15"/>
  <c r="P325" i="15"/>
  <c r="P313" i="15"/>
  <c r="P301" i="15"/>
  <c r="P206" i="15"/>
  <c r="P289" i="15"/>
  <c r="P277" i="15"/>
  <c r="P265" i="15"/>
  <c r="P253" i="15"/>
  <c r="P241" i="15"/>
  <c r="P229" i="15"/>
  <c r="P217" i="15"/>
  <c r="P346" i="15"/>
  <c r="P334" i="15"/>
  <c r="P322" i="15"/>
  <c r="P310" i="15"/>
  <c r="P298" i="15"/>
  <c r="P286" i="15"/>
  <c r="P274" i="15"/>
  <c r="P262" i="15"/>
  <c r="P250" i="15"/>
  <c r="P238" i="15"/>
  <c r="P226" i="15"/>
  <c r="P214" i="15"/>
  <c r="P333" i="15"/>
  <c r="P321" i="15"/>
  <c r="P309" i="15"/>
  <c r="P297" i="15"/>
  <c r="P285" i="15"/>
  <c r="P273" i="15"/>
  <c r="P261" i="15"/>
  <c r="P249" i="15"/>
  <c r="P237" i="15"/>
  <c r="P225" i="15"/>
  <c r="P213" i="15"/>
  <c r="P348" i="15"/>
  <c r="P336" i="15"/>
  <c r="P324" i="15"/>
  <c r="P312" i="15"/>
  <c r="P300" i="15"/>
  <c r="P288" i="15"/>
  <c r="P276" i="15"/>
  <c r="P264" i="15"/>
  <c r="P252" i="15"/>
  <c r="P240" i="15"/>
  <c r="P228" i="15"/>
  <c r="P216" i="15"/>
  <c r="P205" i="15"/>
  <c r="P193" i="15"/>
  <c r="P181" i="15"/>
  <c r="P169" i="15"/>
  <c r="P157" i="15"/>
  <c r="P145" i="15"/>
  <c r="P133" i="15"/>
  <c r="P121" i="15"/>
  <c r="P109" i="15"/>
  <c r="P97" i="15"/>
  <c r="P85" i="15"/>
  <c r="P73" i="15"/>
  <c r="P61" i="15"/>
  <c r="P49" i="15"/>
  <c r="P37" i="15"/>
  <c r="P25" i="15"/>
  <c r="P13" i="15"/>
  <c r="P198" i="15"/>
  <c r="P186" i="15"/>
  <c r="P162" i="15"/>
  <c r="P150" i="15"/>
  <c r="P126" i="15"/>
  <c r="P114" i="15"/>
  <c r="P90" i="15"/>
  <c r="P78" i="15"/>
  <c r="P54" i="15"/>
  <c r="P42" i="15"/>
  <c r="P18" i="15"/>
  <c r="P197" i="15"/>
  <c r="P185" i="15"/>
  <c r="P161" i="15"/>
  <c r="P149" i="15"/>
  <c r="P125" i="15"/>
  <c r="P113" i="15"/>
  <c r="P101" i="15"/>
  <c r="P77" i="15"/>
  <c r="P65" i="15"/>
  <c r="P41" i="15"/>
  <c r="P29" i="15"/>
  <c r="P344" i="15"/>
  <c r="P320" i="15"/>
  <c r="P308" i="15"/>
  <c r="P296" i="15"/>
  <c r="P272" i="15"/>
  <c r="P260" i="15"/>
  <c r="P248" i="15"/>
  <c r="P236" i="15"/>
  <c r="P212" i="15"/>
  <c r="P184" i="15"/>
  <c r="P172" i="15"/>
  <c r="P160" i="15"/>
  <c r="P136" i="15"/>
  <c r="P124" i="15"/>
  <c r="P112" i="15"/>
  <c r="P100" i="15"/>
  <c r="P88" i="15"/>
  <c r="P76" i="15"/>
  <c r="P64" i="15"/>
  <c r="P52" i="15"/>
  <c r="P40" i="15"/>
  <c r="P28" i="15"/>
  <c r="P16" i="15"/>
  <c r="P355" i="15"/>
  <c r="P343" i="15"/>
  <c r="P331" i="15"/>
  <c r="P319" i="15"/>
  <c r="P307" i="15"/>
  <c r="P295" i="15"/>
  <c r="P283" i="15"/>
  <c r="P271" i="15"/>
  <c r="P259" i="15"/>
  <c r="P247" i="15"/>
  <c r="P235" i="15"/>
  <c r="P223" i="15"/>
  <c r="P211" i="15"/>
  <c r="P195" i="15"/>
  <c r="P183" i="15"/>
  <c r="P171" i="15"/>
  <c r="P159" i="15"/>
  <c r="P147" i="15"/>
  <c r="P135" i="15"/>
  <c r="P123" i="15"/>
  <c r="P111" i="15"/>
  <c r="P99" i="15"/>
  <c r="P87" i="15"/>
  <c r="P75" i="15"/>
  <c r="P63" i="15"/>
  <c r="P51" i="15"/>
  <c r="P39" i="15"/>
  <c r="P27" i="15"/>
  <c r="P15" i="15"/>
  <c r="P354" i="15"/>
  <c r="P342" i="15"/>
  <c r="P330" i="15"/>
  <c r="P318" i="15"/>
  <c r="P306" i="15"/>
  <c r="P294" i="15"/>
  <c r="P282" i="15"/>
  <c r="P270" i="15"/>
  <c r="P258" i="15"/>
  <c r="P246" i="15"/>
  <c r="P234" i="15"/>
  <c r="P222" i="15"/>
  <c r="P210" i="15"/>
  <c r="P174" i="15"/>
  <c r="P138" i="15"/>
  <c r="P102" i="15"/>
  <c r="P66" i="15"/>
  <c r="P30" i="15"/>
  <c r="P173" i="15"/>
  <c r="P137" i="15"/>
  <c r="P89" i="15"/>
  <c r="P53" i="15"/>
  <c r="P17" i="15"/>
  <c r="P332" i="15"/>
  <c r="P284" i="15"/>
  <c r="P224" i="15"/>
  <c r="P196" i="15"/>
  <c r="P148" i="15"/>
  <c r="P194" i="15"/>
  <c r="P182" i="15"/>
  <c r="P170" i="15"/>
  <c r="P158" i="15"/>
  <c r="P146" i="15"/>
  <c r="P134" i="15"/>
  <c r="P122" i="15"/>
  <c r="P110" i="15"/>
  <c r="P98" i="15"/>
  <c r="P86" i="15"/>
  <c r="P74" i="15"/>
  <c r="P62" i="15"/>
  <c r="P50" i="15"/>
  <c r="P38" i="15"/>
  <c r="P26" i="15"/>
  <c r="P14" i="15"/>
  <c r="P353" i="15"/>
  <c r="P341" i="15"/>
  <c r="P329" i="15"/>
  <c r="P317" i="15"/>
  <c r="P305" i="15"/>
  <c r="P293" i="15"/>
  <c r="P281" i="15"/>
  <c r="P269" i="15"/>
  <c r="P257" i="15"/>
  <c r="P245" i="15"/>
  <c r="P233" i="15"/>
  <c r="P221" i="15"/>
  <c r="P209" i="15"/>
  <c r="P352" i="15"/>
  <c r="P340" i="15"/>
  <c r="P328" i="15"/>
  <c r="P316" i="15"/>
  <c r="P304" i="15"/>
  <c r="P292" i="15"/>
  <c r="P280" i="15"/>
  <c r="P268" i="15"/>
  <c r="P256" i="15"/>
  <c r="P244" i="15"/>
  <c r="P232" i="15"/>
  <c r="P220" i="15"/>
  <c r="P208" i="15"/>
  <c r="P204" i="15"/>
  <c r="P192" i="15"/>
  <c r="P180" i="15"/>
  <c r="P168" i="15"/>
  <c r="P156" i="15"/>
  <c r="P144" i="15"/>
  <c r="P132" i="15"/>
  <c r="P120" i="15"/>
  <c r="P108" i="15"/>
  <c r="P96" i="15"/>
  <c r="P84" i="15"/>
  <c r="P72" i="15"/>
  <c r="P60" i="15"/>
  <c r="P48" i="15"/>
  <c r="P36" i="15"/>
  <c r="P24" i="15"/>
  <c r="P12" i="15"/>
  <c r="P351" i="15"/>
  <c r="P339" i="15"/>
  <c r="P327" i="15"/>
  <c r="P315" i="15"/>
  <c r="P303" i="15"/>
  <c r="P291" i="15"/>
  <c r="P279" i="15"/>
  <c r="P267" i="15"/>
  <c r="P255" i="15"/>
  <c r="P243" i="15"/>
  <c r="P231" i="15"/>
  <c r="P219" i="15"/>
  <c r="P207" i="15"/>
  <c r="V18" i="3"/>
  <c r="V16" i="3"/>
  <c r="V12" i="3"/>
  <c r="V13" i="3"/>
  <c r="V7" i="3"/>
  <c r="V10" i="3"/>
  <c r="V8" i="3"/>
  <c r="V11" i="3"/>
  <c r="V9" i="3"/>
  <c r="V6" i="3"/>
  <c r="O6" i="6"/>
  <c r="O7" i="6"/>
  <c r="O8" i="6"/>
  <c r="O9" i="6"/>
  <c r="O10" i="6"/>
  <c r="O11" i="6"/>
  <c r="O12" i="6"/>
  <c r="O13" i="6"/>
  <c r="O14" i="6"/>
  <c r="O15" i="6"/>
  <c r="O16" i="6"/>
  <c r="O17" i="6"/>
  <c r="O18" i="6"/>
  <c r="O19" i="6"/>
  <c r="J19" i="6" s="1"/>
  <c r="O20" i="6"/>
  <c r="O21" i="6"/>
  <c r="O22" i="6"/>
  <c r="J22" i="6" s="1"/>
  <c r="O23" i="6"/>
  <c r="J23" i="6" s="1"/>
  <c r="O24" i="6"/>
  <c r="J24" i="6" s="1"/>
  <c r="O25" i="6"/>
  <c r="J25" i="6" s="1"/>
  <c r="O26" i="6"/>
  <c r="J26" i="6" s="1"/>
  <c r="O27" i="6"/>
  <c r="J27" i="6" s="1"/>
  <c r="O28" i="6"/>
  <c r="J28" i="6" s="1"/>
  <c r="O29" i="6"/>
  <c r="J29" i="6" s="1"/>
  <c r="O30" i="6"/>
  <c r="J30" i="6" s="1"/>
  <c r="O31" i="6"/>
  <c r="J31" i="6" s="1"/>
  <c r="O32" i="6"/>
  <c r="J32" i="6" s="1"/>
  <c r="O33" i="6"/>
  <c r="J33" i="6" s="1"/>
  <c r="O34" i="6"/>
  <c r="J34" i="6" s="1"/>
  <c r="O35" i="6"/>
  <c r="J35" i="6" s="1"/>
  <c r="O36" i="6"/>
  <c r="J36" i="6" s="1"/>
  <c r="O37" i="6"/>
  <c r="J37" i="6" s="1"/>
  <c r="O38" i="6"/>
  <c r="J38" i="6" s="1"/>
  <c r="O39" i="6"/>
  <c r="J39" i="6" s="1"/>
  <c r="O40" i="6"/>
  <c r="J40" i="6" s="1"/>
  <c r="O41" i="6"/>
  <c r="J41" i="6" s="1"/>
  <c r="O42" i="6"/>
  <c r="J42" i="6" s="1"/>
  <c r="O43" i="6"/>
  <c r="J43" i="6" s="1"/>
  <c r="O44" i="6"/>
  <c r="J44" i="6" s="1"/>
  <c r="O45" i="6"/>
  <c r="J45" i="6" s="1"/>
  <c r="O46" i="6"/>
  <c r="J46" i="6" s="1"/>
  <c r="O47" i="6"/>
  <c r="J47" i="6" s="1"/>
  <c r="O48" i="6"/>
  <c r="J48" i="6" s="1"/>
  <c r="O49" i="6"/>
  <c r="J49" i="6" s="1"/>
  <c r="O50" i="6"/>
  <c r="J50" i="6" s="1"/>
  <c r="O51" i="6"/>
  <c r="J51" i="6" s="1"/>
  <c r="O52" i="6"/>
  <c r="J52" i="6" s="1"/>
  <c r="O53" i="6"/>
  <c r="J53" i="6" s="1"/>
  <c r="O54" i="6"/>
  <c r="J54" i="6" s="1"/>
  <c r="O55" i="6"/>
  <c r="J55" i="6" s="1"/>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AD6" i="3"/>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R6" i="3"/>
  <c r="R7" i="3"/>
  <c r="R8" i="3"/>
  <c r="R9" i="3"/>
  <c r="R10" i="3"/>
  <c r="R11" i="3"/>
  <c r="R12" i="3"/>
  <c r="R13" i="3"/>
  <c r="R14" i="3"/>
  <c r="R15" i="3"/>
  <c r="R16" i="3"/>
  <c r="R17" i="3"/>
  <c r="R18" i="3"/>
  <c r="R19" i="3"/>
  <c r="AJ19" i="3" s="1"/>
  <c r="R20" i="3"/>
  <c r="AJ20" i="3" s="1"/>
  <c r="R21" i="3"/>
  <c r="AJ21" i="3" s="1"/>
  <c r="R22" i="3"/>
  <c r="AJ22" i="3" s="1"/>
  <c r="R23" i="3"/>
  <c r="AJ23" i="3" s="1"/>
  <c r="R24" i="3"/>
  <c r="R25" i="3"/>
  <c r="R26" i="3"/>
  <c r="R27" i="3"/>
  <c r="R28" i="3"/>
  <c r="R29" i="3"/>
  <c r="R30" i="3"/>
  <c r="AJ30" i="3" s="1"/>
  <c r="R31" i="3"/>
  <c r="AJ31" i="3" s="1"/>
  <c r="R32" i="3"/>
  <c r="AJ32" i="3" s="1"/>
  <c r="R33" i="3"/>
  <c r="AJ33" i="3" s="1"/>
  <c r="R34" i="3"/>
  <c r="AJ34" i="3" s="1"/>
  <c r="R35" i="3"/>
  <c r="AJ35" i="3" s="1"/>
  <c r="R36" i="3"/>
  <c r="R37" i="3"/>
  <c r="R38" i="3"/>
  <c r="R39" i="3"/>
  <c r="R40" i="3"/>
  <c r="R41" i="3"/>
  <c r="R42" i="3"/>
  <c r="AJ42" i="3" s="1"/>
  <c r="R43" i="3"/>
  <c r="AJ43" i="3" s="1"/>
  <c r="R44" i="3"/>
  <c r="AJ44" i="3" s="1"/>
  <c r="R45" i="3"/>
  <c r="AJ45" i="3" s="1"/>
  <c r="R46" i="3"/>
  <c r="AJ46" i="3" s="1"/>
  <c r="R47" i="3"/>
  <c r="AJ47" i="3" s="1"/>
  <c r="R48" i="3"/>
  <c r="R49" i="3"/>
  <c r="R50" i="3"/>
  <c r="R51" i="3"/>
  <c r="R52" i="3"/>
  <c r="R53" i="3"/>
  <c r="R54" i="3"/>
  <c r="AJ54" i="3" s="1"/>
  <c r="R55" i="3"/>
  <c r="AJ55" i="3" s="1"/>
  <c r="R56" i="3"/>
  <c r="AJ56" i="3" s="1"/>
  <c r="R57" i="3"/>
  <c r="AJ57" i="3" s="1"/>
  <c r="R58" i="3"/>
  <c r="AJ58" i="3" s="1"/>
  <c r="R59" i="3"/>
  <c r="AJ59" i="3" s="1"/>
  <c r="R60" i="3"/>
  <c r="R61" i="3"/>
  <c r="R62" i="3"/>
  <c r="R63" i="3"/>
  <c r="R64" i="3"/>
  <c r="R65" i="3"/>
  <c r="R66" i="3"/>
  <c r="AJ66" i="3" s="1"/>
  <c r="R67" i="3"/>
  <c r="AJ67" i="3" s="1"/>
  <c r="R68" i="3"/>
  <c r="AJ68" i="3" s="1"/>
  <c r="R69" i="3"/>
  <c r="AJ69" i="3" s="1"/>
  <c r="R70" i="3"/>
  <c r="AJ70" i="3" s="1"/>
  <c r="R71" i="3"/>
  <c r="AJ71" i="3" s="1"/>
  <c r="R72" i="3"/>
  <c r="R73" i="3"/>
  <c r="R74" i="3"/>
  <c r="R75" i="3"/>
  <c r="R76" i="3"/>
  <c r="R77" i="3"/>
  <c r="R78" i="3"/>
  <c r="AJ78" i="3" s="1"/>
  <c r="R79" i="3"/>
  <c r="AJ79" i="3" s="1"/>
  <c r="R80" i="3"/>
  <c r="AJ80" i="3" s="1"/>
  <c r="R81" i="3"/>
  <c r="AJ81" i="3" s="1"/>
  <c r="R82" i="3"/>
  <c r="AJ82" i="3" s="1"/>
  <c r="R83" i="3"/>
  <c r="AJ83" i="3" s="1"/>
  <c r="R84" i="3"/>
  <c r="R85" i="3"/>
  <c r="R86" i="3"/>
  <c r="R87" i="3"/>
  <c r="R88" i="3"/>
  <c r="R89" i="3"/>
  <c r="R90" i="3"/>
  <c r="AJ90" i="3" s="1"/>
  <c r="R91" i="3"/>
  <c r="AJ91" i="3" s="1"/>
  <c r="R92" i="3"/>
  <c r="AJ92" i="3" s="1"/>
  <c r="R93" i="3"/>
  <c r="AJ93" i="3" s="1"/>
  <c r="R94" i="3"/>
  <c r="AJ94" i="3" s="1"/>
  <c r="R95" i="3"/>
  <c r="AJ95" i="3" s="1"/>
  <c r="R96" i="3"/>
  <c r="R97" i="3"/>
  <c r="R98" i="3"/>
  <c r="R99" i="3"/>
  <c r="R100" i="3"/>
  <c r="R101" i="3"/>
  <c r="R102" i="3"/>
  <c r="AJ102" i="3" s="1"/>
  <c r="R103" i="3"/>
  <c r="AJ103" i="3" s="1"/>
  <c r="R104" i="3"/>
  <c r="AJ104" i="3" s="1"/>
  <c r="R105" i="3"/>
  <c r="AJ105" i="3" s="1"/>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AJ18" i="3" l="1"/>
  <c r="X15" i="3"/>
  <c r="AJ15" i="3" s="1"/>
  <c r="AJ77" i="3"/>
  <c r="AJ52" i="3"/>
  <c r="AJ63" i="3"/>
  <c r="AJ76" i="3"/>
  <c r="AJ16" i="3"/>
  <c r="AJ87" i="3"/>
  <c r="AJ27" i="3"/>
  <c r="AJ62" i="3"/>
  <c r="AJ101" i="3"/>
  <c r="AJ89" i="3"/>
  <c r="AJ53" i="3"/>
  <c r="AJ17" i="3"/>
  <c r="AJ88" i="3"/>
  <c r="AJ64" i="3"/>
  <c r="AJ28" i="3"/>
  <c r="AJ99" i="3"/>
  <c r="AJ75" i="3"/>
  <c r="AJ51" i="3"/>
  <c r="AJ39" i="3"/>
  <c r="AJ98" i="3"/>
  <c r="AJ86" i="3"/>
  <c r="AJ74" i="3"/>
  <c r="AJ50" i="3"/>
  <c r="AJ38" i="3"/>
  <c r="AJ26" i="3"/>
  <c r="AJ97" i="3"/>
  <c r="AJ85" i="3"/>
  <c r="AJ73" i="3"/>
  <c r="AJ61" i="3"/>
  <c r="AJ49" i="3"/>
  <c r="AJ37" i="3"/>
  <c r="AJ25" i="3"/>
  <c r="AJ41" i="3"/>
  <c r="AJ100" i="3"/>
  <c r="AJ40" i="3"/>
  <c r="AJ96" i="3"/>
  <c r="AJ84" i="3"/>
  <c r="AJ72" i="3"/>
  <c r="AJ60" i="3"/>
  <c r="AJ48" i="3"/>
  <c r="AJ36" i="3"/>
  <c r="AJ24" i="3"/>
  <c r="AJ29" i="3"/>
  <c r="AJ65" i="3"/>
  <c r="AO13" i="3"/>
  <c r="AO25" i="3"/>
  <c r="AO37" i="3"/>
  <c r="AO49" i="3"/>
  <c r="AO61" i="3"/>
  <c r="AO73" i="3"/>
  <c r="AO85" i="3"/>
  <c r="AO97" i="3"/>
  <c r="AO39" i="3"/>
  <c r="AO28" i="3"/>
  <c r="AO52" i="3"/>
  <c r="AO76" i="3"/>
  <c r="AO100" i="3"/>
  <c r="AO17" i="3"/>
  <c r="AO41" i="3"/>
  <c r="AO53" i="3"/>
  <c r="AO65" i="3"/>
  <c r="AO77" i="3"/>
  <c r="AO101" i="3"/>
  <c r="AO7" i="3"/>
  <c r="AO31" i="3"/>
  <c r="AO55" i="3"/>
  <c r="AO79" i="3"/>
  <c r="AO91" i="3"/>
  <c r="AO32" i="3"/>
  <c r="AO68" i="3"/>
  <c r="AO92" i="3"/>
  <c r="AO9" i="3"/>
  <c r="AO45" i="3"/>
  <c r="AO69" i="3"/>
  <c r="AO81" i="3"/>
  <c r="AO105" i="3"/>
  <c r="AO10" i="3"/>
  <c r="AO34" i="3"/>
  <c r="AO46" i="3"/>
  <c r="AO58" i="3"/>
  <c r="AO94" i="3"/>
  <c r="AO47" i="3"/>
  <c r="AO83" i="3"/>
  <c r="AO12" i="3"/>
  <c r="AO48" i="3"/>
  <c r="AO60" i="3"/>
  <c r="AO72" i="3"/>
  <c r="AO96" i="3"/>
  <c r="AO14" i="3"/>
  <c r="AO26" i="3"/>
  <c r="AO38" i="3"/>
  <c r="AO50" i="3"/>
  <c r="AO62" i="3"/>
  <c r="AO74" i="3"/>
  <c r="AO86" i="3"/>
  <c r="AO98" i="3"/>
  <c r="AO15" i="3"/>
  <c r="AO27" i="3"/>
  <c r="AO51" i="3"/>
  <c r="AO63" i="3"/>
  <c r="AO75" i="3"/>
  <c r="AO99" i="3"/>
  <c r="AO16" i="3"/>
  <c r="AO40" i="3"/>
  <c r="AO64" i="3"/>
  <c r="AO88" i="3"/>
  <c r="AO6" i="3"/>
  <c r="AO18" i="3"/>
  <c r="AO30" i="3"/>
  <c r="AO42" i="3"/>
  <c r="AO54" i="3"/>
  <c r="AO66" i="3"/>
  <c r="AO90" i="3"/>
  <c r="AO102" i="3"/>
  <c r="AO19" i="3"/>
  <c r="AO67" i="3"/>
  <c r="AO103" i="3"/>
  <c r="AO20" i="3"/>
  <c r="AO44" i="3"/>
  <c r="AO56" i="3"/>
  <c r="AO80" i="3"/>
  <c r="AO104" i="3"/>
  <c r="AO21" i="3"/>
  <c r="AO57" i="3"/>
  <c r="AO93" i="3"/>
  <c r="AO22" i="3"/>
  <c r="AO82" i="3"/>
  <c r="AO11" i="3"/>
  <c r="AO35" i="3"/>
  <c r="AO59" i="3"/>
  <c r="AO71" i="3"/>
  <c r="AO24" i="3"/>
  <c r="AO84" i="3"/>
  <c r="AO87" i="3"/>
  <c r="AO29" i="3"/>
  <c r="AO89" i="3"/>
  <c r="AO78" i="3"/>
  <c r="AO43" i="3"/>
  <c r="AO8" i="3"/>
  <c r="AO33" i="3"/>
  <c r="AO70" i="3"/>
  <c r="AO23" i="3"/>
  <c r="AO95" i="3"/>
  <c r="AO36" i="3"/>
  <c r="U9" i="3"/>
  <c r="U7" i="3"/>
  <c r="U12" i="3"/>
  <c r="U11" i="3"/>
  <c r="U10" i="3"/>
  <c r="U8" i="3"/>
  <c r="U6" i="3"/>
  <c r="X13" i="3"/>
  <c r="AJ13" i="3" s="1"/>
  <c r="B27" i="22"/>
  <c r="A56" i="9" s="1"/>
  <c r="B30" i="22"/>
  <c r="A59" i="9" s="1"/>
  <c r="B45" i="21"/>
  <c r="A41" i="9" s="1"/>
  <c r="B50" i="21"/>
  <c r="A46" i="9" s="1"/>
  <c r="B47" i="21"/>
  <c r="A43" i="9" s="1"/>
  <c r="B32" i="20"/>
  <c r="A36" i="9" s="1"/>
  <c r="B28" i="18"/>
  <c r="A28" i="9" s="1"/>
  <c r="X14" i="3"/>
  <c r="AJ14" i="3" s="1"/>
  <c r="J18" i="6"/>
  <c r="J21" i="6"/>
  <c r="J20" i="6"/>
  <c r="J17" i="6"/>
  <c r="J16" i="6"/>
  <c r="X6" i="3"/>
  <c r="X11" i="3"/>
  <c r="X8" i="3"/>
  <c r="X10" i="3"/>
  <c r="X9" i="3"/>
  <c r="X7" i="3"/>
  <c r="X12" i="3"/>
  <c r="J15" i="6"/>
  <c r="J14" i="6"/>
  <c r="J12" i="6"/>
  <c r="J13" i="6"/>
  <c r="J11" i="6"/>
  <c r="J10" i="6"/>
  <c r="J7" i="6"/>
  <c r="J6" i="6"/>
  <c r="J9" i="6"/>
  <c r="J8" i="6"/>
  <c r="AJ7" i="3" l="1"/>
  <c r="AJ9" i="3"/>
  <c r="AJ12" i="3"/>
  <c r="AJ8" i="3"/>
  <c r="AJ10" i="3"/>
  <c r="AJ11" i="3"/>
  <c r="AJ6" i="3"/>
  <c r="B48" i="21"/>
  <c r="A44" i="9" s="1"/>
  <c r="B51" i="21"/>
  <c r="A47" i="9" s="1"/>
  <c r="B29" i="20"/>
  <c r="A33" i="9" s="1"/>
  <c r="D75" i="9" l="1"/>
  <c r="D91" i="9"/>
  <c r="D90" i="9"/>
  <c r="D71" i="9"/>
  <c r="D85" i="9"/>
  <c r="D80" i="9"/>
  <c r="D87" i="9"/>
  <c r="D76" i="9"/>
  <c r="D88" i="9"/>
  <c r="D81" i="9"/>
  <c r="D77" i="9"/>
  <c r="D78" i="9"/>
  <c r="D89" i="9"/>
  <c r="D82" i="9"/>
  <c r="D93" i="9"/>
  <c r="D83" i="9"/>
  <c r="D74" i="9"/>
  <c r="D79" i="9"/>
  <c r="D86" i="9"/>
  <c r="D84" i="9"/>
  <c r="D92" i="9"/>
  <c r="D72" i="9"/>
  <c r="D73" i="9"/>
  <c r="D70" i="9"/>
  <c r="D69" i="9"/>
  <c r="B55" i="21"/>
  <c r="A51" i="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<sst xmlns="http://schemas.openxmlformats.org/spreadsheetml/2006/main" count="2138" uniqueCount="1282">
  <si>
    <t>Street Address</t>
  </si>
  <si>
    <t>City</t>
  </si>
  <si>
    <t>State</t>
  </si>
  <si>
    <t>Covered Material List</t>
  </si>
  <si>
    <t>Instructions</t>
  </si>
  <si>
    <t>Material Class</t>
  </si>
  <si>
    <t>Printing and Writing Paper</t>
  </si>
  <si>
    <t>Newspapers</t>
  </si>
  <si>
    <t>Newsprint (inserts and circulars)</t>
  </si>
  <si>
    <t>Magazines, Catalogs and Directories</t>
  </si>
  <si>
    <t>Paper for General Use</t>
  </si>
  <si>
    <t>Other Printed Materials</t>
  </si>
  <si>
    <t>Glass and Ceramics</t>
  </si>
  <si>
    <t xml:space="preserve">Glass Bottles and Jars &amp; Other Containers </t>
  </si>
  <si>
    <t>Ceramic - All Forms</t>
  </si>
  <si>
    <t>Metal</t>
  </si>
  <si>
    <t>Aluminum Containers</t>
  </si>
  <si>
    <t>Aluminum Foil and Molded Containers</t>
  </si>
  <si>
    <t>Aluminum Aerosol Containers</t>
  </si>
  <si>
    <t>Aluminum - Other Forms</t>
  </si>
  <si>
    <t>Steel Containers</t>
  </si>
  <si>
    <t>Steel Aerosol Containers</t>
  </si>
  <si>
    <t>Steel - Other Forms</t>
  </si>
  <si>
    <t>Metal - Small Format</t>
  </si>
  <si>
    <t>Pressurized cylinders</t>
  </si>
  <si>
    <t>Paper/Fiber</t>
  </si>
  <si>
    <t>Aseptic and Gable-top Cartons</t>
  </si>
  <si>
    <t>Kraft Paper</t>
  </si>
  <si>
    <t xml:space="preserve">Corrugated Cardboard </t>
  </si>
  <si>
    <t>Corrugated Cardboard (Tertiary/transport) non-consumer</t>
  </si>
  <si>
    <t>Paperboard</t>
  </si>
  <si>
    <t>Polycoated Paperboard</t>
  </si>
  <si>
    <t>Other Paper Laminates</t>
  </si>
  <si>
    <t xml:space="preserve">Other Paper Packaging </t>
  </si>
  <si>
    <t>Paper - Small Format</t>
  </si>
  <si>
    <t>Plastic - Rigid</t>
  </si>
  <si>
    <t>PET (#1) - Bottles, Jugs, and Jars (Clear/Natural)</t>
  </si>
  <si>
    <t>PET (#1) - Bottles, Jugs, and Jars (Pigmented/Color)</t>
  </si>
  <si>
    <t>PET (#1) - Tubs</t>
  </si>
  <si>
    <t>PET (#1) - Thermoformed Containers, Cups, Plates, Trays</t>
  </si>
  <si>
    <t>PET (#1) - Lids</t>
  </si>
  <si>
    <t xml:space="preserve">PET (#1) - Other Rigid Items </t>
  </si>
  <si>
    <t>HDPE (#2) - Bottles, Jugs and Jars (Clear/Natural)</t>
  </si>
  <si>
    <t>HDPE (#2) - Bottles, Jugs and Jars (Pigmented/Color)</t>
  </si>
  <si>
    <t>HDPE (#2) - Pails &amp; Buckets</t>
  </si>
  <si>
    <t>HDPE (#2) - Tubs, Nursery (plant) pots &amp; trays</t>
  </si>
  <si>
    <t>HDPE (#2) - Package Handles, Lids</t>
  </si>
  <si>
    <t xml:space="preserve">HDPE (#2) - Other Rigid Items </t>
  </si>
  <si>
    <t>PVC (#3) - Rigid Items</t>
  </si>
  <si>
    <t>LDPE (#4) - Bottles, Jugs and Jars</t>
  </si>
  <si>
    <t>LDPE (#4) - Lids</t>
  </si>
  <si>
    <t>LDPE (#4) - Other Rigid Items</t>
  </si>
  <si>
    <t>PP (#5) - Bottles, Jugs and Jars</t>
  </si>
  <si>
    <t>PP (#5) - Tubs, Pails and Buckets, Nursery (plant) pots &amp; trays</t>
  </si>
  <si>
    <t>PP (#5) - Lids</t>
  </si>
  <si>
    <t>PP (#5) - Other Rigid Containers, Cups, Plates, Trays (non-nursery (plant))</t>
  </si>
  <si>
    <t>PP (#5) - Other Rigid Items</t>
  </si>
  <si>
    <t>PS (#6) Expanded/Foamed Hinged Containers, Plates, Cups, Tubs, Trays, and Other Foamed Containers</t>
  </si>
  <si>
    <t>PS (#6) White Expanded/Foamed Cushioning</t>
  </si>
  <si>
    <t>PS (#6) Colored Expanded/Foamed Cushioning</t>
  </si>
  <si>
    <t xml:space="preserve">PS (#6) Rigid Non-Expanded </t>
  </si>
  <si>
    <t>PLA, PHA, PHB - Rigid Items</t>
  </si>
  <si>
    <t xml:space="preserve">Other/Mixed Rigid Plastic </t>
  </si>
  <si>
    <t>Plastic - Flexible</t>
  </si>
  <si>
    <t>HDPE (#2)/LDPE (#4) Flexible and Film Items</t>
  </si>
  <si>
    <t>HDPE (#2)/LDPE (#4) (Pallet Wrap) non-consumer</t>
  </si>
  <si>
    <t>PP (#5) Flexible and Film Items</t>
  </si>
  <si>
    <t>PLA, PHA, PHB - Flexible and Film Items</t>
  </si>
  <si>
    <t>Plastic Laminates and Other Flexible Plastic Packaging</t>
  </si>
  <si>
    <t>Plastic - Other</t>
  </si>
  <si>
    <t>Plastic - Small Format</t>
  </si>
  <si>
    <t>Plastic containers for motor oil, antifreeze, or other automotive fluids, pesticides or herbicides, or other hazardous materials (flammable, corrosive, reactive, toxic)</t>
  </si>
  <si>
    <t>Wood and Other Organic Materials</t>
  </si>
  <si>
    <t>Reporting Category</t>
  </si>
  <si>
    <t>Yes</t>
  </si>
  <si>
    <t>No</t>
  </si>
  <si>
    <t>Zip Code</t>
  </si>
  <si>
    <t>A</t>
  </si>
  <si>
    <t>C</t>
  </si>
  <si>
    <t>YesOrNo</t>
  </si>
  <si>
    <t>B</t>
  </si>
  <si>
    <t>D</t>
  </si>
  <si>
    <t>E</t>
  </si>
  <si>
    <t>F</t>
  </si>
  <si>
    <t>G</t>
  </si>
  <si>
    <t>H</t>
  </si>
  <si>
    <t>I</t>
  </si>
  <si>
    <t>J</t>
  </si>
  <si>
    <t>K</t>
  </si>
  <si>
    <t>L</t>
  </si>
  <si>
    <t>M</t>
  </si>
  <si>
    <t>N</t>
  </si>
  <si>
    <t>CRPFOrNot</t>
  </si>
  <si>
    <t>CRPF</t>
  </si>
  <si>
    <t>Not a CRPF</t>
  </si>
  <si>
    <t>End Market Website</t>
  </si>
  <si>
    <t>End Market Contact Name</t>
  </si>
  <si>
    <t>End Market Contact Phone</t>
  </si>
  <si>
    <t>End Market Contact Email</t>
  </si>
  <si>
    <t>O</t>
  </si>
  <si>
    <t>No action needed. Pre-filled field.</t>
  </si>
  <si>
    <t>ID_P</t>
  </si>
  <si>
    <t>Collector Type</t>
  </si>
  <si>
    <t>Minor Look-Ups</t>
  </si>
  <si>
    <t>Known End Markets</t>
  </si>
  <si>
    <t>Material Reporting Category</t>
  </si>
  <si>
    <t>Other End Market (document)</t>
  </si>
  <si>
    <t>Check missing info</t>
  </si>
  <si>
    <t>Pioneer Recycling Services (Waste Connections) - Portland</t>
  </si>
  <si>
    <t>EFI Recycling - Portland</t>
  </si>
  <si>
    <t>Westrock - Portland</t>
  </si>
  <si>
    <t>Garten Services - Salem</t>
  </si>
  <si>
    <t xml:space="preserve">International Paper - Springfield </t>
  </si>
  <si>
    <t>Far West Recycling - Hillsboro</t>
  </si>
  <si>
    <t>Far West Recycling - Portland</t>
  </si>
  <si>
    <t>Recology - Eel River (Fortuna, CA)</t>
  </si>
  <si>
    <t>Columbia Resource Company - West Vancouver Material Company (Waste Connections; Vancouver, WA)</t>
  </si>
  <si>
    <t>CRPFs</t>
  </si>
  <si>
    <t>If a CRPF handled the material, did the material undergo separation from other materials at the CRPF?</t>
  </si>
  <si>
    <t>Collector Note</t>
  </si>
  <si>
    <t>Subcheck: minimum entry</t>
  </si>
  <si>
    <t>OTR Service Provider</t>
  </si>
  <si>
    <t>Non-OTR Service Provider</t>
  </si>
  <si>
    <t>Data entry errors</t>
  </si>
  <si>
    <t>Pre-filled</t>
  </si>
  <si>
    <t>OCC</t>
  </si>
  <si>
    <t>Pallet Wrap</t>
  </si>
  <si>
    <t>Shredded Paper</t>
  </si>
  <si>
    <t>Market Name</t>
  </si>
  <si>
    <t>Georgia Pacific (Toledo, OR)</t>
  </si>
  <si>
    <t>Westrock Longview Corrugated (Longview, WA)</t>
  </si>
  <si>
    <t>International Paper (Springfield, OR)</t>
  </si>
  <si>
    <t>NORPAC (Longview, WA)</t>
  </si>
  <si>
    <t>Hamilton Manufacturing (Twin Falls, ID)</t>
  </si>
  <si>
    <t>Port Townsend Paper Corp (Port Townsend, WA)</t>
  </si>
  <si>
    <t>Packaging Corp of America (Wallula, WA)</t>
  </si>
  <si>
    <t>Sonoco (Sumner, WA)</t>
  </si>
  <si>
    <t>Greif (Longview, WA)</t>
  </si>
  <si>
    <t>McKinley Packaging (Santa Fe Springs, CA)</t>
  </si>
  <si>
    <t>Trex (Reno, NV)</t>
  </si>
  <si>
    <t>Northwest Polymers (Molalla, OR)</t>
  </si>
  <si>
    <t>Advanced Polymer (Tukwila, WA)</t>
  </si>
  <si>
    <t>Monoflo International (Winchester, VA)</t>
  </si>
  <si>
    <t>Green Rhino (Auburn, WA)</t>
  </si>
  <si>
    <t>Hydroblox Technologies (Meadville, PA)</t>
  </si>
  <si>
    <t>CHS Plastics (Fort Mill, SC)</t>
  </si>
  <si>
    <t>Georgia Pacific (Halsey, OR)</t>
  </si>
  <si>
    <t>Inland Empire Paper Company (Millwood, WA)</t>
  </si>
  <si>
    <t>Caraustar (Longview, WA)</t>
  </si>
  <si>
    <t>New-Indy Ontario (Ontario, CA)</t>
  </si>
  <si>
    <t>Instructions (Producer Contact Information)</t>
  </si>
  <si>
    <t>Designated Representative Contact Name</t>
  </si>
  <si>
    <t>Designated Representative Contact Phone</t>
  </si>
  <si>
    <t>Designated Representative Contact Email</t>
  </si>
  <si>
    <t>Producer Name (as reported to CAA)</t>
  </si>
  <si>
    <t>Acronyms and definitions</t>
  </si>
  <si>
    <t>DEQ</t>
  </si>
  <si>
    <t>Collection Company Type (autofill)</t>
  </si>
  <si>
    <t>Did a CRPF ever handle the material before it reached the end market?</t>
  </si>
  <si>
    <t>S</t>
  </si>
  <si>
    <t>T</t>
  </si>
  <si>
    <t>Producer Response</t>
  </si>
  <si>
    <t>Contact Info Category</t>
  </si>
  <si>
    <t>Instructions (Collection or Transportation Service Providers Handling the Material)</t>
  </si>
  <si>
    <t>No action needed (pre-filled field)</t>
  </si>
  <si>
    <t>Check duplicate materials</t>
  </si>
  <si>
    <t>Instructions (End Markets Receiving the Material)</t>
  </si>
  <si>
    <t>Type in name</t>
  </si>
  <si>
    <t>Collection or Transportation Service Provider Name</t>
  </si>
  <si>
    <t>Collector or Transporter Type</t>
  </si>
  <si>
    <t>Collection or Transportation Provider Website</t>
  </si>
  <si>
    <t>Collection or Transportation Contact Phone</t>
  </si>
  <si>
    <t>Collection or Transportation Contact Email</t>
  </si>
  <si>
    <t>Provide the email address for the collection or transportation service provider contact.</t>
  </si>
  <si>
    <t>Backhaul or self-haul</t>
  </si>
  <si>
    <t>Automated note</t>
  </si>
  <si>
    <t>Provide the legal name of all service provider(s) that collected/transported the material from the site(s) that removed the packaging material and discarded it for recycling. Each service provider must have a unique name.</t>
  </si>
  <si>
    <t>Type in website</t>
  </si>
  <si>
    <t>Type in phone number</t>
  </si>
  <si>
    <t>Type in contact name</t>
  </si>
  <si>
    <t>Type in email address</t>
  </si>
  <si>
    <t>You can also reach out to CAA to check whether they are reaching out separately to other end markets you identify that your materials may go to.</t>
  </si>
  <si>
    <t>Pounds Recycled through this Pathway</t>
  </si>
  <si>
    <t>How many of the pounds recycled through this pathway were supplied by this producer?</t>
  </si>
  <si>
    <t>.</t>
  </si>
  <si>
    <t>P</t>
  </si>
  <si>
    <t>Q</t>
  </si>
  <si>
    <t>R</t>
  </si>
  <si>
    <t>U</t>
  </si>
  <si>
    <t>V</t>
  </si>
  <si>
    <t>W</t>
  </si>
  <si>
    <t>Y</t>
  </si>
  <si>
    <t>Z</t>
  </si>
  <si>
    <t>X</t>
  </si>
  <si>
    <t>AA</t>
  </si>
  <si>
    <t>Autofilled field: shows when responses indicate a material does not meet the criteria under ORS 459A.869(13)(a)(A)</t>
  </si>
  <si>
    <t>Autofilled field: shows when responses indicate a material does not meet the criteria under ORS 459A.869(13)(a)(B)</t>
  </si>
  <si>
    <t>Did this producer arrange for the recycling collection?</t>
  </si>
  <si>
    <t>Example 2 of arranging for recycling collection: a producer that funds a branded TerraCycle program that accepts only materials supplied by that producer.</t>
  </si>
  <si>
    <t>If the material was handled at a CRPF, select yes if the CRPF performed separation on the material. Otherwise select no.</t>
  </si>
  <si>
    <t>End Market Name</t>
  </si>
  <si>
    <t>Type in the page numbers in the PDF documentation that corresponds to collection and transportation quantity documentation for this row.</t>
  </si>
  <si>
    <t>Example 1 of arranging for recycling collection: a producer that operates distribution or retail sites from which their supplied material is collected for recycling through backhauling, self-hauling, or a collection service provider.</t>
  </si>
  <si>
    <t>Employer Identification Number (EIN) or Taxpayer Identification Number (TIN)</t>
  </si>
  <si>
    <t>https://productstewardship.us/webinar/webinar-series-preparing-producers-for-oregon-packaging-epr</t>
  </si>
  <si>
    <t>Tuesday, February 11 at 12:30-2:00 PM (Pacific Time)</t>
  </si>
  <si>
    <t>Tuesday, February 25 at 11:30 AM - 1:00 PM (Pacific Time)</t>
  </si>
  <si>
    <t xml:space="preserve">      (A) Is collected through a recycling collection service not provided under the opportunity to recycle;</t>
  </si>
  <si>
    <t xml:space="preserve">      (B) Does not undergo separation from other materials at a commingled recycling processing facility; and</t>
  </si>
  <si>
    <t xml:space="preserve">      (C) Is recycled at a responsible end market.</t>
  </si>
  <si>
    <t>ORS 459A.869(13)(a) A producer may demonstrate to the department that a material is exempt from the requirements for a covered product if the material:</t>
  </si>
  <si>
    <t>ORS 459A.869(13)(b) If only a portion of the material sold in or into this state by a producer meets the criteria of paragraph (a) of this subsection, the portion that meets the criteria is exempt and the portion that does not meet the criteria is a covered product.</t>
  </si>
  <si>
    <t>OAR 340-090-0840(3) contains definitions related to ORS 459A.869(13).</t>
  </si>
  <si>
    <t>OAR 340-090-0-670(1) defines end markets and OAR 340-090-0-670(2) defines responsible end markets</t>
  </si>
  <si>
    <t>Statutory and Regulatory References</t>
  </si>
  <si>
    <t>Confidentiality and Sharing of Submitted Information</t>
  </si>
  <si>
    <t>Who Should Use this Form</t>
  </si>
  <si>
    <t>Producers who want to use only the passive claim exemption method, such as suppliers of only Corrugated Cardboard (Tertiary/transport) non-consumer and/or HDPE (#2)/LDPE (#4) (Pallet Wrap) non-consumer. CAA will calculate the exemption based on the pounds of these materials from the producer supply report submitted to CAA by March 31, 2025.</t>
  </si>
  <si>
    <t>Available Resources</t>
  </si>
  <si>
    <t>Who Should Not Use this Form</t>
  </si>
  <si>
    <t>Orientation to File</t>
  </si>
  <si>
    <t>Cell Styles Used in this Form</t>
  </si>
  <si>
    <t>Documentation of pounds handled by this collector</t>
  </si>
  <si>
    <t>Documentation of pounds sent to this end market</t>
  </si>
  <si>
    <t>If the end market that handles this producer's supplied material is not in the list, select Other End Market (document), then fill out fields D-I.</t>
  </si>
  <si>
    <t>If the material was backhauled, provide the name of the logistics company.</t>
  </si>
  <si>
    <t>End Market</t>
  </si>
  <si>
    <t>Other End Market Name</t>
  </si>
  <si>
    <t>End Market Documentation (Attestation Form)</t>
  </si>
  <si>
    <t>Provide the business website for this end market.</t>
  </si>
  <si>
    <t>Provide the name of the end market.</t>
  </si>
  <si>
    <t>Provide the phone number for the end market contact.</t>
  </si>
  <si>
    <t>Provide the email address for the end market contact.</t>
  </si>
  <si>
    <t>Type in the page numbers in the PDF documentation that corresponds to the documentation that this end market identified in this row meets the responsible end market requirements.</t>
  </si>
  <si>
    <t>See the Start Here tab for definitions of key terms and acronyms, statutory and regulatory references, and links to helpful resources.</t>
  </si>
  <si>
    <t>The collection service provider will know whether they provide any recycling collection under the opportunity to recycle.</t>
  </si>
  <si>
    <t>List relevant pages in submitted PDF</t>
  </si>
  <si>
    <t>Required documentation: an invoice, report, or statement from the collector, CRPF, broker, or end market that handled the material corresponding to this row attesting to the pounds of the material from this recycling arranger that were ultimately accepted by this end market.</t>
  </si>
  <si>
    <t>Collection or Transportation Service Provider</t>
  </si>
  <si>
    <t>Name of Third-Party Recycling Arranger</t>
  </si>
  <si>
    <t>Recycling Arranger Website</t>
  </si>
  <si>
    <t>Recycling Arranger Contact Name</t>
  </si>
  <si>
    <t>Recycling Arranger Contact Phone</t>
  </si>
  <si>
    <t>Recycling Arranger Contact Email</t>
  </si>
  <si>
    <t>Provide the business website for this collection or transportation service provider.</t>
  </si>
  <si>
    <t>Provide the phone number for the collection or transportation service provider contact.</t>
  </si>
  <si>
    <t>Collection or Transportation Contact Name</t>
  </si>
  <si>
    <t>Type in name of other end market</t>
  </si>
  <si>
    <t>Automated check field</t>
  </si>
  <si>
    <t>Provide the business website for this third-party recycling arranger.</t>
  </si>
  <si>
    <t>Provide a contact name at this third-party recycling arranger who could verify the information in this form.</t>
  </si>
  <si>
    <t>Provide the phone number for the third-party recycling arranger contact.</t>
  </si>
  <si>
    <t>Provide the email address for the third-party recycling arranger contact.</t>
  </si>
  <si>
    <t>Instructions (Third-Party Recycling Arranger Info)</t>
  </si>
  <si>
    <t>Field Name</t>
  </si>
  <si>
    <t>Letter</t>
  </si>
  <si>
    <t>AB</t>
  </si>
  <si>
    <t>AC</t>
  </si>
  <si>
    <t>AD</t>
  </si>
  <si>
    <t>Pounds of Producer's Material Recycled by this Recycling Arranger</t>
  </si>
  <si>
    <t>Submitting the Claim Form</t>
  </si>
  <si>
    <t>What This Form is For</t>
  </si>
  <si>
    <t>Producer ID</t>
  </si>
  <si>
    <t>ID_RA</t>
  </si>
  <si>
    <t>ID_MS</t>
  </si>
  <si>
    <t>MS01</t>
  </si>
  <si>
    <t>MS02</t>
  </si>
  <si>
    <t>MS03</t>
  </si>
  <si>
    <t>MS04</t>
  </si>
  <si>
    <t>MS05</t>
  </si>
  <si>
    <t>MS06</t>
  </si>
  <si>
    <t>MS07</t>
  </si>
  <si>
    <t>MS08</t>
  </si>
  <si>
    <t>MS09</t>
  </si>
  <si>
    <t>MS10</t>
  </si>
  <si>
    <t>MS11</t>
  </si>
  <si>
    <t>MS12</t>
  </si>
  <si>
    <t>MS13</t>
  </si>
  <si>
    <t>MS14</t>
  </si>
  <si>
    <t>MS15</t>
  </si>
  <si>
    <t>MS16</t>
  </si>
  <si>
    <t>MS17</t>
  </si>
  <si>
    <t>MS18</t>
  </si>
  <si>
    <t>MS19</t>
  </si>
  <si>
    <t>MS20</t>
  </si>
  <si>
    <t>MS21</t>
  </si>
  <si>
    <t>MS22</t>
  </si>
  <si>
    <t>MS23</t>
  </si>
  <si>
    <t>MS24</t>
  </si>
  <si>
    <t>MS25</t>
  </si>
  <si>
    <t>CT01</t>
  </si>
  <si>
    <t>CT02</t>
  </si>
  <si>
    <t>CT03</t>
  </si>
  <si>
    <t>CT04</t>
  </si>
  <si>
    <t>CT05</t>
  </si>
  <si>
    <t>CT06</t>
  </si>
  <si>
    <t>CT07</t>
  </si>
  <si>
    <t>CT08</t>
  </si>
  <si>
    <t>CT09</t>
  </si>
  <si>
    <t>CT10</t>
  </si>
  <si>
    <t>CT11</t>
  </si>
  <si>
    <t>CT12</t>
  </si>
  <si>
    <t>CT13</t>
  </si>
  <si>
    <t>CT14</t>
  </si>
  <si>
    <t>CT15</t>
  </si>
  <si>
    <t>CT16</t>
  </si>
  <si>
    <t>CT17</t>
  </si>
  <si>
    <t>CT18</t>
  </si>
  <si>
    <t>CT19</t>
  </si>
  <si>
    <t>CT20</t>
  </si>
  <si>
    <t>CT21</t>
  </si>
  <si>
    <t>CT22</t>
  </si>
  <si>
    <t>CT23</t>
  </si>
  <si>
    <t>CT24</t>
  </si>
  <si>
    <t>CT25</t>
  </si>
  <si>
    <t>CT26</t>
  </si>
  <si>
    <t>CT27</t>
  </si>
  <si>
    <t>CT28</t>
  </si>
  <si>
    <t>CT29</t>
  </si>
  <si>
    <t>CT30</t>
  </si>
  <si>
    <t>CT31</t>
  </si>
  <si>
    <t>CT32</t>
  </si>
  <si>
    <t>CT33</t>
  </si>
  <si>
    <t>CT34</t>
  </si>
  <si>
    <t>CT35</t>
  </si>
  <si>
    <t>CT36</t>
  </si>
  <si>
    <t>CT37</t>
  </si>
  <si>
    <t>CT38</t>
  </si>
  <si>
    <t>CT39</t>
  </si>
  <si>
    <t>CT40</t>
  </si>
  <si>
    <t>CT41</t>
  </si>
  <si>
    <t>CT42</t>
  </si>
  <si>
    <t>CT43</t>
  </si>
  <si>
    <t>CT44</t>
  </si>
  <si>
    <t>CT45</t>
  </si>
  <si>
    <t>CT46</t>
  </si>
  <si>
    <t>CT47</t>
  </si>
  <si>
    <t>CT48</t>
  </si>
  <si>
    <t>CT49</t>
  </si>
  <si>
    <t>CT50</t>
  </si>
  <si>
    <t>EM01</t>
  </si>
  <si>
    <t>EM02</t>
  </si>
  <si>
    <t>EM03</t>
  </si>
  <si>
    <t>EM04</t>
  </si>
  <si>
    <t>EM05</t>
  </si>
  <si>
    <t>EM06</t>
  </si>
  <si>
    <t>EM07</t>
  </si>
  <si>
    <t>EM08</t>
  </si>
  <si>
    <t>EM09</t>
  </si>
  <si>
    <t>EM10</t>
  </si>
  <si>
    <t>EM11</t>
  </si>
  <si>
    <t>EM12</t>
  </si>
  <si>
    <t>EM13</t>
  </si>
  <si>
    <t>EM14</t>
  </si>
  <si>
    <t>EM15</t>
  </si>
  <si>
    <t>EM16</t>
  </si>
  <si>
    <t>EM17</t>
  </si>
  <si>
    <t>EM18</t>
  </si>
  <si>
    <t>EM19</t>
  </si>
  <si>
    <t>EM20</t>
  </si>
  <si>
    <t>EM21</t>
  </si>
  <si>
    <t>EM22</t>
  </si>
  <si>
    <t>EM23</t>
  </si>
  <si>
    <t>EM24</t>
  </si>
  <si>
    <t>EM25</t>
  </si>
  <si>
    <t>EM26</t>
  </si>
  <si>
    <t>EM27</t>
  </si>
  <si>
    <t>EM28</t>
  </si>
  <si>
    <t>EM29</t>
  </si>
  <si>
    <t>EM30</t>
  </si>
  <si>
    <t>EM31</t>
  </si>
  <si>
    <t>EM32</t>
  </si>
  <si>
    <t>EM33</t>
  </si>
  <si>
    <t>EM34</t>
  </si>
  <si>
    <t>EM35</t>
  </si>
  <si>
    <t>EM36</t>
  </si>
  <si>
    <t>EM37</t>
  </si>
  <si>
    <t>EM38</t>
  </si>
  <si>
    <t>EM39</t>
  </si>
  <si>
    <t>EM40</t>
  </si>
  <si>
    <t>EM41</t>
  </si>
  <si>
    <t>EM42</t>
  </si>
  <si>
    <t>EM43</t>
  </si>
  <si>
    <t>EM44</t>
  </si>
  <si>
    <t>EM45</t>
  </si>
  <si>
    <t>EM46</t>
  </si>
  <si>
    <t>EM47</t>
  </si>
  <si>
    <t>EM48</t>
  </si>
  <si>
    <t>EM49</t>
  </si>
  <si>
    <t>EM50</t>
  </si>
  <si>
    <t>RA001</t>
  </si>
  <si>
    <t>RA002</t>
  </si>
  <si>
    <t>RA003</t>
  </si>
  <si>
    <t>RA004</t>
  </si>
  <si>
    <t>RA005</t>
  </si>
  <si>
    <t>RA006</t>
  </si>
  <si>
    <t>RA007</t>
  </si>
  <si>
    <t>RA008</t>
  </si>
  <si>
    <t>RA009</t>
  </si>
  <si>
    <t>RA010</t>
  </si>
  <si>
    <t>RA011</t>
  </si>
  <si>
    <t>RA012</t>
  </si>
  <si>
    <t>RA013</t>
  </si>
  <si>
    <t>RA014</t>
  </si>
  <si>
    <t>RA015</t>
  </si>
  <si>
    <t>RA016</t>
  </si>
  <si>
    <t>RA017</t>
  </si>
  <si>
    <t>RA018</t>
  </si>
  <si>
    <t>RA019</t>
  </si>
  <si>
    <t>RA020</t>
  </si>
  <si>
    <t>RA021</t>
  </si>
  <si>
    <t>RA022</t>
  </si>
  <si>
    <t>RA023</t>
  </si>
  <si>
    <t>RA024</t>
  </si>
  <si>
    <t>RA025</t>
  </si>
  <si>
    <t>RA026</t>
  </si>
  <si>
    <t>RA027</t>
  </si>
  <si>
    <t>RA028</t>
  </si>
  <si>
    <t>RA029</t>
  </si>
  <si>
    <t>RA030</t>
  </si>
  <si>
    <t>RA031</t>
  </si>
  <si>
    <t>RA032</t>
  </si>
  <si>
    <t>RA033</t>
  </si>
  <si>
    <t>RA034</t>
  </si>
  <si>
    <t>RA035</t>
  </si>
  <si>
    <t>RA036</t>
  </si>
  <si>
    <t>RA037</t>
  </si>
  <si>
    <t>RA038</t>
  </si>
  <si>
    <t>RA039</t>
  </si>
  <si>
    <t>RA040</t>
  </si>
  <si>
    <t>RA041</t>
  </si>
  <si>
    <t>RA042</t>
  </si>
  <si>
    <t>RA043</t>
  </si>
  <si>
    <t>RA044</t>
  </si>
  <si>
    <t>RA045</t>
  </si>
  <si>
    <t>RA046</t>
  </si>
  <si>
    <t>RA047</t>
  </si>
  <si>
    <t>RA048</t>
  </si>
  <si>
    <t>RA049</t>
  </si>
  <si>
    <t>RA050</t>
  </si>
  <si>
    <t>RA051</t>
  </si>
  <si>
    <t>RA052</t>
  </si>
  <si>
    <t>RA053</t>
  </si>
  <si>
    <t>RA054</t>
  </si>
  <si>
    <t>RA055</t>
  </si>
  <si>
    <t>RA056</t>
  </si>
  <si>
    <t>RA057</t>
  </si>
  <si>
    <t>RA058</t>
  </si>
  <si>
    <t>RA059</t>
  </si>
  <si>
    <t>RA060</t>
  </si>
  <si>
    <t>RA061</t>
  </si>
  <si>
    <t>RA062</t>
  </si>
  <si>
    <t>RA063</t>
  </si>
  <si>
    <t>RA064</t>
  </si>
  <si>
    <t>RA065</t>
  </si>
  <si>
    <t>RA066</t>
  </si>
  <si>
    <t>RA067</t>
  </si>
  <si>
    <t>RA068</t>
  </si>
  <si>
    <t>RA069</t>
  </si>
  <si>
    <t>RA070</t>
  </si>
  <si>
    <t>RA071</t>
  </si>
  <si>
    <t>RA072</t>
  </si>
  <si>
    <t>RA073</t>
  </si>
  <si>
    <t>RA074</t>
  </si>
  <si>
    <t>RA075</t>
  </si>
  <si>
    <t>RA076</t>
  </si>
  <si>
    <t>RA077</t>
  </si>
  <si>
    <t>RA078</t>
  </si>
  <si>
    <t>RA079</t>
  </si>
  <si>
    <t>RA080</t>
  </si>
  <si>
    <t>RA081</t>
  </si>
  <si>
    <t>RA082</t>
  </si>
  <si>
    <t>RA083</t>
  </si>
  <si>
    <t>RA084</t>
  </si>
  <si>
    <t>RA085</t>
  </si>
  <si>
    <t>RA086</t>
  </si>
  <si>
    <t>RA087</t>
  </si>
  <si>
    <t>RA088</t>
  </si>
  <si>
    <t>RA089</t>
  </si>
  <si>
    <t>RA090</t>
  </si>
  <si>
    <t>RA091</t>
  </si>
  <si>
    <t>RA092</t>
  </si>
  <si>
    <t>RA093</t>
  </si>
  <si>
    <t>RA094</t>
  </si>
  <si>
    <t>RA095</t>
  </si>
  <si>
    <t>RA096</t>
  </si>
  <si>
    <t>RA097</t>
  </si>
  <si>
    <t>RA098</t>
  </si>
  <si>
    <t>RA099</t>
  </si>
  <si>
    <t>RA100</t>
  </si>
  <si>
    <t>RA101</t>
  </si>
  <si>
    <t>RA102</t>
  </si>
  <si>
    <t>RA103</t>
  </si>
  <si>
    <t>RA104</t>
  </si>
  <si>
    <t>RA105</t>
  </si>
  <si>
    <t>RA106</t>
  </si>
  <si>
    <t>RA107</t>
  </si>
  <si>
    <t>RA108</t>
  </si>
  <si>
    <t>RA109</t>
  </si>
  <si>
    <t>RA110</t>
  </si>
  <si>
    <t>RA111</t>
  </si>
  <si>
    <t>RA112</t>
  </si>
  <si>
    <t>RA113</t>
  </si>
  <si>
    <t>RA114</t>
  </si>
  <si>
    <t>RA115</t>
  </si>
  <si>
    <t>RA116</t>
  </si>
  <si>
    <t>RA117</t>
  </si>
  <si>
    <t>RA118</t>
  </si>
  <si>
    <t>RA119</t>
  </si>
  <si>
    <t>RA120</t>
  </si>
  <si>
    <t>RA121</t>
  </si>
  <si>
    <t>RA122</t>
  </si>
  <si>
    <t>RA123</t>
  </si>
  <si>
    <t>RA124</t>
  </si>
  <si>
    <t>RA125</t>
  </si>
  <si>
    <t>RA126</t>
  </si>
  <si>
    <t>RA127</t>
  </si>
  <si>
    <t>RA128</t>
  </si>
  <si>
    <t>RA129</t>
  </si>
  <si>
    <t>RA130</t>
  </si>
  <si>
    <t>RA131</t>
  </si>
  <si>
    <t>RA132</t>
  </si>
  <si>
    <t>RA133</t>
  </si>
  <si>
    <t>RA134</t>
  </si>
  <si>
    <t>RA135</t>
  </si>
  <si>
    <t>RA136</t>
  </si>
  <si>
    <t>RA137</t>
  </si>
  <si>
    <t>RA138</t>
  </si>
  <si>
    <t>RA139</t>
  </si>
  <si>
    <t>RA140</t>
  </si>
  <si>
    <t>RA141</t>
  </si>
  <si>
    <t>RA142</t>
  </si>
  <si>
    <t>RA143</t>
  </si>
  <si>
    <t>RA144</t>
  </si>
  <si>
    <t>RA145</t>
  </si>
  <si>
    <t>RA146</t>
  </si>
  <si>
    <t>RA147</t>
  </si>
  <si>
    <t>RA148</t>
  </si>
  <si>
    <t>RA149</t>
  </si>
  <si>
    <t>RA150</t>
  </si>
  <si>
    <t>RA151</t>
  </si>
  <si>
    <t>RA152</t>
  </si>
  <si>
    <t>RA153</t>
  </si>
  <si>
    <t>RA154</t>
  </si>
  <si>
    <t>RA155</t>
  </si>
  <si>
    <t>RA156</t>
  </si>
  <si>
    <t>RA157</t>
  </si>
  <si>
    <t>RA158</t>
  </si>
  <si>
    <t>RA159</t>
  </si>
  <si>
    <t>RA160</t>
  </si>
  <si>
    <t>RA161</t>
  </si>
  <si>
    <t>RA162</t>
  </si>
  <si>
    <t>RA163</t>
  </si>
  <si>
    <t>RA164</t>
  </si>
  <si>
    <t>RA165</t>
  </si>
  <si>
    <t>RA166</t>
  </si>
  <si>
    <t>RA167</t>
  </si>
  <si>
    <t>RA168</t>
  </si>
  <si>
    <t>RA169</t>
  </si>
  <si>
    <t>RA170</t>
  </si>
  <si>
    <t>RA171</t>
  </si>
  <si>
    <t>RA172</t>
  </si>
  <si>
    <t>RA173</t>
  </si>
  <si>
    <t>RA174</t>
  </si>
  <si>
    <t>RA175</t>
  </si>
  <si>
    <t>RA176</t>
  </si>
  <si>
    <t>RA177</t>
  </si>
  <si>
    <t>RA178</t>
  </si>
  <si>
    <t>RA179</t>
  </si>
  <si>
    <t>RA180</t>
  </si>
  <si>
    <t>RA181</t>
  </si>
  <si>
    <t>RA182</t>
  </si>
  <si>
    <t>RA183</t>
  </si>
  <si>
    <t>RA184</t>
  </si>
  <si>
    <t>RA185</t>
  </si>
  <si>
    <t>RA186</t>
  </si>
  <si>
    <t>RA187</t>
  </si>
  <si>
    <t>RA188</t>
  </si>
  <si>
    <t>RA189</t>
  </si>
  <si>
    <t>RA190</t>
  </si>
  <si>
    <t>RA191</t>
  </si>
  <si>
    <t>RA192</t>
  </si>
  <si>
    <t>RA193</t>
  </si>
  <si>
    <t>RA194</t>
  </si>
  <si>
    <t>RA195</t>
  </si>
  <si>
    <t>RA196</t>
  </si>
  <si>
    <t>RA197</t>
  </si>
  <si>
    <t>RA198</t>
  </si>
  <si>
    <t>RA199</t>
  </si>
  <si>
    <t>RA200</t>
  </si>
  <si>
    <t>RA201</t>
  </si>
  <si>
    <t>RA202</t>
  </si>
  <si>
    <t>RA203</t>
  </si>
  <si>
    <t>RA204</t>
  </si>
  <si>
    <t>RA205</t>
  </si>
  <si>
    <t>RA206</t>
  </si>
  <si>
    <t>RA207</t>
  </si>
  <si>
    <t>RA208</t>
  </si>
  <si>
    <t>RA209</t>
  </si>
  <si>
    <t>RA210</t>
  </si>
  <si>
    <t>RA211</t>
  </si>
  <si>
    <t>RA212</t>
  </si>
  <si>
    <t>RA213</t>
  </si>
  <si>
    <t>RA214</t>
  </si>
  <si>
    <t>RA215</t>
  </si>
  <si>
    <t>RA216</t>
  </si>
  <si>
    <t>RA217</t>
  </si>
  <si>
    <t>RA218</t>
  </si>
  <si>
    <t>RA219</t>
  </si>
  <si>
    <t>RA220</t>
  </si>
  <si>
    <t>RA221</t>
  </si>
  <si>
    <t>RA222</t>
  </si>
  <si>
    <t>RA223</t>
  </si>
  <si>
    <t>RA224</t>
  </si>
  <si>
    <t>RA225</t>
  </si>
  <si>
    <t>RA226</t>
  </si>
  <si>
    <t>RA227</t>
  </si>
  <si>
    <t>RA228</t>
  </si>
  <si>
    <t>RA229</t>
  </si>
  <si>
    <t>RA230</t>
  </si>
  <si>
    <t>RA231</t>
  </si>
  <si>
    <t>RA232</t>
  </si>
  <si>
    <t>RA233</t>
  </si>
  <si>
    <t>RA234</t>
  </si>
  <si>
    <t>RA235</t>
  </si>
  <si>
    <t>RA236</t>
  </si>
  <si>
    <t>RA237</t>
  </si>
  <si>
    <t>RA238</t>
  </si>
  <si>
    <t>RA239</t>
  </si>
  <si>
    <t>RA240</t>
  </si>
  <si>
    <t>RA241</t>
  </si>
  <si>
    <t>RA242</t>
  </si>
  <si>
    <t>RA243</t>
  </si>
  <si>
    <t>RA244</t>
  </si>
  <si>
    <t>RA245</t>
  </si>
  <si>
    <t>RA246</t>
  </si>
  <si>
    <t>RA247</t>
  </si>
  <si>
    <t>RA248</t>
  </si>
  <si>
    <t>RA249</t>
  </si>
  <si>
    <t>RA250</t>
  </si>
  <si>
    <t>RA251</t>
  </si>
  <si>
    <t>RA252</t>
  </si>
  <si>
    <t>RA253</t>
  </si>
  <si>
    <t>RA254</t>
  </si>
  <si>
    <t>RA255</t>
  </si>
  <si>
    <t>RA256</t>
  </si>
  <si>
    <t>RA257</t>
  </si>
  <si>
    <t>RA258</t>
  </si>
  <si>
    <t>RA259</t>
  </si>
  <si>
    <t>RA260</t>
  </si>
  <si>
    <t>RA261</t>
  </si>
  <si>
    <t>RA262</t>
  </si>
  <si>
    <t>RA263</t>
  </si>
  <si>
    <t>RA264</t>
  </si>
  <si>
    <t>RA265</t>
  </si>
  <si>
    <t>RA266</t>
  </si>
  <si>
    <t>RA267</t>
  </si>
  <si>
    <t>RA268</t>
  </si>
  <si>
    <t>RA269</t>
  </si>
  <si>
    <t>RA270</t>
  </si>
  <si>
    <t>RA271</t>
  </si>
  <si>
    <t>RA272</t>
  </si>
  <si>
    <t>RA273</t>
  </si>
  <si>
    <t>RA274</t>
  </si>
  <si>
    <t>RA275</t>
  </si>
  <si>
    <t>RA276</t>
  </si>
  <si>
    <t>RA277</t>
  </si>
  <si>
    <t>RA278</t>
  </si>
  <si>
    <t>RA279</t>
  </si>
  <si>
    <t>RA280</t>
  </si>
  <si>
    <t>RA281</t>
  </si>
  <si>
    <t>RA282</t>
  </si>
  <si>
    <t>RA283</t>
  </si>
  <si>
    <t>RA284</t>
  </si>
  <si>
    <t>RA285</t>
  </si>
  <si>
    <t>RA286</t>
  </si>
  <si>
    <t>RA287</t>
  </si>
  <si>
    <t>RA288</t>
  </si>
  <si>
    <t>RA289</t>
  </si>
  <si>
    <t>RA290</t>
  </si>
  <si>
    <t>RA291</t>
  </si>
  <si>
    <t>RA292</t>
  </si>
  <si>
    <t>RA293</t>
  </si>
  <si>
    <t>RA294</t>
  </si>
  <si>
    <t>RA295</t>
  </si>
  <si>
    <t>RA296</t>
  </si>
  <si>
    <t>RA297</t>
  </si>
  <si>
    <t>RA298</t>
  </si>
  <si>
    <t>RA299</t>
  </si>
  <si>
    <t>RA300</t>
  </si>
  <si>
    <t>RA301</t>
  </si>
  <si>
    <t>RA302</t>
  </si>
  <si>
    <t>RA303</t>
  </si>
  <si>
    <t>RA304</t>
  </si>
  <si>
    <t>RA305</t>
  </si>
  <si>
    <t>RA306</t>
  </si>
  <si>
    <t>RA307</t>
  </si>
  <si>
    <t>RA308</t>
  </si>
  <si>
    <t>RA309</t>
  </si>
  <si>
    <t>RA310</t>
  </si>
  <si>
    <t>RA311</t>
  </si>
  <si>
    <t>RA312</t>
  </si>
  <si>
    <t>RA313</t>
  </si>
  <si>
    <t>RA314</t>
  </si>
  <si>
    <t>RA315</t>
  </si>
  <si>
    <t>RA316</t>
  </si>
  <si>
    <t>RA317</t>
  </si>
  <si>
    <t>RA318</t>
  </si>
  <si>
    <t>RA319</t>
  </si>
  <si>
    <t>RA320</t>
  </si>
  <si>
    <t>RA321</t>
  </si>
  <si>
    <t>RA322</t>
  </si>
  <si>
    <t>RA323</t>
  </si>
  <si>
    <t>RA324</t>
  </si>
  <si>
    <t>RA325</t>
  </si>
  <si>
    <t>RA326</t>
  </si>
  <si>
    <t>RA327</t>
  </si>
  <si>
    <t>RA328</t>
  </si>
  <si>
    <t>RA329</t>
  </si>
  <si>
    <t>RA330</t>
  </si>
  <si>
    <t>RA331</t>
  </si>
  <si>
    <t>RA332</t>
  </si>
  <si>
    <t>RA333</t>
  </si>
  <si>
    <t>RA334</t>
  </si>
  <si>
    <t>RA335</t>
  </si>
  <si>
    <t>RA336</t>
  </si>
  <si>
    <t>RA337</t>
  </si>
  <si>
    <t>RA338</t>
  </si>
  <si>
    <t>RA339</t>
  </si>
  <si>
    <t>RA340</t>
  </si>
  <si>
    <t>RA341</t>
  </si>
  <si>
    <t>RA342</t>
  </si>
  <si>
    <t>RA343</t>
  </si>
  <si>
    <t>RA344</t>
  </si>
  <si>
    <t>RA345</t>
  </si>
  <si>
    <t>RA346</t>
  </si>
  <si>
    <t>RA347</t>
  </si>
  <si>
    <t>RA348</t>
  </si>
  <si>
    <t>RA349</t>
  </si>
  <si>
    <t>RA350</t>
  </si>
  <si>
    <t>AE</t>
  </si>
  <si>
    <t>Check: pounds mismatch</t>
  </si>
  <si>
    <t>Check extra info</t>
  </si>
  <si>
    <t>Michelsen Packaging (WA)</t>
  </si>
  <si>
    <t>Cascade Tissue (WA)</t>
  </si>
  <si>
    <t>Subcheck: any inputs in row</t>
  </si>
  <si>
    <t>Subcheck: missing OTR info</t>
  </si>
  <si>
    <t>Subcheck: missing CRPF info</t>
  </si>
  <si>
    <t>Instructions (2024 Gross Supply Weight)</t>
  </si>
  <si>
    <t>AF</t>
  </si>
  <si>
    <t>AG</t>
  </si>
  <si>
    <t>AH</t>
  </si>
  <si>
    <t>AI</t>
  </si>
  <si>
    <t>Check: duplicate pathways</t>
  </si>
  <si>
    <t>ID_CT</t>
  </si>
  <si>
    <t>ID_EM</t>
  </si>
  <si>
    <t>Check: end market does not exist</t>
  </si>
  <si>
    <t>Check: duplicate provider names</t>
  </si>
  <si>
    <t>Check: missing info</t>
  </si>
  <si>
    <t>Check: extra info</t>
  </si>
  <si>
    <t>Material Reporting Category (End Market)</t>
  </si>
  <si>
    <t>Check: duplicate markets</t>
  </si>
  <si>
    <t>Lookup: material+market</t>
  </si>
  <si>
    <t>Check: material+market mismatch</t>
  </si>
  <si>
    <t>Third-Party Recycling Arranger Note</t>
  </si>
  <si>
    <t>If the collector is OTR, was the service provided under OTR?</t>
  </si>
  <si>
    <t>CRPF name</t>
  </si>
  <si>
    <t>Check: collection ineligibility</t>
  </si>
  <si>
    <t>Check: CRPF non-separation ineligibility</t>
  </si>
  <si>
    <t>Check material+market mismatch</t>
  </si>
  <si>
    <t>Check pounds (within row)</t>
  </si>
  <si>
    <t>Check pounds (against Producer Info)</t>
  </si>
  <si>
    <t>Check pounds (Third Party Substantiated)</t>
  </si>
  <si>
    <t>Subcheck: unique</t>
  </si>
  <si>
    <t>Subcheck: unique left</t>
  </si>
  <si>
    <t>Subcheck: unique right</t>
  </si>
  <si>
    <t>Lookup: for arranger tab</t>
  </si>
  <si>
    <t>Check: duplicates</t>
  </si>
  <si>
    <t>Lookup: pounds (this table)</t>
  </si>
  <si>
    <t>Type in 2024 pounds, up to 2 decimals</t>
  </si>
  <si>
    <t>Gross supply weight into Oregon (2024 pounds)</t>
  </si>
  <si>
    <t>Supply Pounds To Use</t>
  </si>
  <si>
    <t>Tip 1</t>
  </si>
  <si>
    <t>Note 1</t>
  </si>
  <si>
    <t>Error: duplicates</t>
  </si>
  <si>
    <t>Error: missing info</t>
  </si>
  <si>
    <t>Error: unneeded inputs</t>
  </si>
  <si>
    <t>I-M</t>
  </si>
  <si>
    <t>Fill in a separate row for each unique combination of material reporting category and recycling pathway.</t>
  </si>
  <si>
    <t>Error: invalid end market</t>
  </si>
  <si>
    <t>Error: row quantities</t>
  </si>
  <si>
    <t>Error: cumulative quantities</t>
  </si>
  <si>
    <t>Error: unsubstantiated quantities</t>
  </si>
  <si>
    <t>Note 3</t>
  </si>
  <si>
    <t>Note 4</t>
  </si>
  <si>
    <t>Note 5</t>
  </si>
  <si>
    <t>Note 6</t>
  </si>
  <si>
    <t>Producer.Support@circularaction.org</t>
  </si>
  <si>
    <t>https://circularactionalliance.org/producer-resource-center</t>
  </si>
  <si>
    <t>Contact DEQ or CAA with Questions</t>
  </si>
  <si>
    <t>No action needed (autofills from 3B Collector tab)</t>
  </si>
  <si>
    <t>If the producer did not arrange for the recycling, the producer must identify the third-party who arranged for recycling in the 6B Arranger tab.</t>
  </si>
  <si>
    <t>Provide Employer Identification Number (EIN) or Taxpayer Identification Number (TIN) as reported to CAA.</t>
  </si>
  <si>
    <t>Provide producer name exactly as reported to CAA.</t>
  </si>
  <si>
    <t>No action needed (pre-filled field).</t>
  </si>
  <si>
    <t>Provide a contact name at this collection or transportation service provider who could verify the information in this form, including materials and pounds collected on the 5B Exemption tab.</t>
  </si>
  <si>
    <t>Overview</t>
  </si>
  <si>
    <t>Limited active claim</t>
  </si>
  <si>
    <t>Passive claims</t>
  </si>
  <si>
    <t>Lack of data</t>
  </si>
  <si>
    <t>confidentiality</t>
  </si>
  <si>
    <t>Webinar link</t>
  </si>
  <si>
    <t>DEQ email</t>
  </si>
  <si>
    <t>CAA email</t>
  </si>
  <si>
    <t>ORS 459A.869(13)(a)</t>
  </si>
  <si>
    <t>ORS 459A.869(13)(a)(A)</t>
  </si>
  <si>
    <t>ORS 459A.869(13)(a)(B)</t>
  </si>
  <si>
    <t xml:space="preserve">ORS 459A.869(13)(b) </t>
  </si>
  <si>
    <t>OAR 340-090-0840(3)</t>
  </si>
  <si>
    <t>OAR 340-090-0-670(1)</t>
  </si>
  <si>
    <t>Backhaul</t>
  </si>
  <si>
    <t>CAA</t>
  </si>
  <si>
    <t>Circular Action Alliance</t>
  </si>
  <si>
    <t>Oregon Department of Environmental Quality</t>
  </si>
  <si>
    <t>End market</t>
  </si>
  <si>
    <t>Defined in 2024 rulemaking: Oregon Administrative Rule 340-090-0-670(1)</t>
  </si>
  <si>
    <t>(Old) Corrugated Cardboard</t>
  </si>
  <si>
    <t>OTR collection service provider</t>
  </si>
  <si>
    <t>OTR collection service</t>
  </si>
  <si>
    <t>REM</t>
  </si>
  <si>
    <t>Responsible end market</t>
  </si>
  <si>
    <t>Self-haul</t>
  </si>
  <si>
    <t>Tab Name</t>
  </si>
  <si>
    <t>Tab Contents</t>
  </si>
  <si>
    <t>0 Start Here</t>
  </si>
  <si>
    <t>1A Producer</t>
  </si>
  <si>
    <t>1B Producer</t>
  </si>
  <si>
    <t>2A Supply</t>
  </si>
  <si>
    <t>2B Supply</t>
  </si>
  <si>
    <t>3A Collector</t>
  </si>
  <si>
    <t>3B Collector</t>
  </si>
  <si>
    <t>4A End Market</t>
  </si>
  <si>
    <t>4B End Market</t>
  </si>
  <si>
    <t>6A Arranger</t>
  </si>
  <si>
    <t>6B Arranger</t>
  </si>
  <si>
    <t>7 Summary</t>
  </si>
  <si>
    <t>Input style</t>
  </si>
  <si>
    <t>Input style (input not needed)</t>
  </si>
  <si>
    <t>Automated cell style</t>
  </si>
  <si>
    <t>Submission Instructions</t>
  </si>
  <si>
    <t>Before submitting, review the file for data entry errors. Common data entry errors are flagged below; however, these flags may not catch all potential data entry errors.</t>
  </si>
  <si>
    <t>Data Entry Error Summary</t>
  </si>
  <si>
    <t>1B</t>
  </si>
  <si>
    <t>Producer</t>
  </si>
  <si>
    <t>2B</t>
  </si>
  <si>
    <t>Supply</t>
  </si>
  <si>
    <t>3B</t>
  </si>
  <si>
    <t>Collector</t>
  </si>
  <si>
    <t>4B</t>
  </si>
  <si>
    <t>5B</t>
  </si>
  <si>
    <t>Exemption</t>
  </si>
  <si>
    <t>6B</t>
  </si>
  <si>
    <t>Arranger</t>
  </si>
  <si>
    <t>Printer Paper Categories</t>
  </si>
  <si>
    <t>Lookup Tables used in this form</t>
  </si>
  <si>
    <t>TL / TR: Table Lookup / Response</t>
  </si>
  <si>
    <t>DL / DR: Dropdown from lookups / responses</t>
  </si>
  <si>
    <t>A: Answer</t>
  </si>
  <si>
    <t>Class Order</t>
  </si>
  <si>
    <t>Material Order</t>
  </si>
  <si>
    <t>Original Order</t>
  </si>
  <si>
    <t>ORS 459A.869(13)(a)(C)</t>
  </si>
  <si>
    <t>Material reporting categories supplied in or into Oregon must match what this producer will report to CAA for 2024. Pounds of gross supply weight should the producer's best estimate as of March 7, 2025. CAA and DEQ will reconcile any differences between pounds reported on this form with gross supply weight the producer reports to CAA by March 31, 2025. Some low volume producers do not break out supplied pounds by reporting category when reporting to CAA. To be eligible for an exemption under OR 459A.869(13), they must report supplied pounds by material reporting category in this form to DEQ.</t>
  </si>
  <si>
    <t xml:space="preserve">Each producer claiming an exemption should fill out a single 459A.869(13) form that consolidates all claims for that producer's materials supplied in or into Oregon. </t>
  </si>
  <si>
    <t>Provide a contact name at this end market who could verify the information in this form, including materials and pounds accepted on the 5B Exemption tab.</t>
  </si>
  <si>
    <t>Rows in the 5B Exemption table use a collection or transportation service provider (field G) that you deleted or edited the name of in the 3B Collector tab. Reselect an existing service provider in field G.</t>
  </si>
  <si>
    <t>Producers who have information and documentation to show pounds of their branded materials supplied in and into Oregon meet the eligibility criteria for exemption and want to make an active claim.</t>
  </si>
  <si>
    <t xml:space="preserve">Rows in the 2B Supply tab contain duplicated material reporting categories (field B). Enter each material reporting category in this table only once. </t>
  </si>
  <si>
    <t>Rows in the 2B Supply tab contain extra inputs in fields C or D. Either add the material reporting category (for errors due to inputs in field C), change the material reporting category to Paper for General Use or Other Printer Material (for errors due to inputs in field D), or delete these inputs.</t>
  </si>
  <si>
    <t>Rows in the 3B Collector tab contain duplicated Collection or Transportation Service Provider Names (field B). Enter each Collection or Transportation Service Provider in this table only once. If a service provider operates under the same name from different locations, include the location in field B.</t>
  </si>
  <si>
    <t>Rows in the 3B Collector tab contain inputs in fields C-H but do not identify the Collection or Transportation Service Provider in field B. Either identify the service provider or delete these inputs.</t>
  </si>
  <si>
    <t>Rows in the 4B End Market tab contain duplicated End Market Names (field C) for the same Material Reporting Category (field B). For each Material Reporting Category, enter each unique End Market Name only once.</t>
  </si>
  <si>
    <t>Rows in the 4B End Market tab contain inputs in fields C-I but do not identify the material reporting category in field B. Either identify the material reporting category or delete these inputs.</t>
  </si>
  <si>
    <t>Rows in the 4B End Market tab contain an End Market Names (field C) that is not known to DEQ for the Material Reporting Category (field B) in this row. Select a different End Market Name (field C). If you consider this end market to be valid for this material reporting category, select "Other End Market (document) and provide the required information in fields D-I.</t>
  </si>
  <si>
    <t>Instructions (Exemption Claim)</t>
  </si>
  <si>
    <t>Material Reporting Category (Exemption Claim)</t>
  </si>
  <si>
    <t>No action needed (error checking and DEQ use fields). Errors are shown below.</t>
  </si>
  <si>
    <t>Automated and DEQ-use fields (hidden)</t>
  </si>
  <si>
    <t>Rows in the 5B Exemption tab use an end market (field P) that you deleted or edited the name of in the 4B End Market tab. Reselect an existing end market in field P.</t>
  </si>
  <si>
    <t>Rows in the 5B Exemption tab contain an End Market (field P) that is not considered valid for the Material Reporting Category (field B). Select an End Market (field P) for a material that matches field B exactly.</t>
  </si>
  <si>
    <t>Rows in the 5B Exemption tab contain duplicated pathways for the same Material Reporting Category (field B). This means that entries in fields B, E, G, I, L, M, N, and P are identical for two or more rows. For each Material Reporting Category, enter each unique recycling pathway only once.</t>
  </si>
  <si>
    <t>Rows in the 5B Exemption tab are for a Material Reporting Category where the cumulative pounds claimed for exemption exceed the pounds of gross supply weight from the 2B Supply tab. Note that recycled pounds supplied by other producers will not count toward this producer's exemption claim.</t>
  </si>
  <si>
    <t>Duplicate row errors</t>
  </si>
  <si>
    <t>Input cell where input is not currently needed based on previous fields in this row.</t>
  </si>
  <si>
    <t>Input cell requiring data entry.</t>
  </si>
  <si>
    <t>Data entry errors (data entry cells)</t>
  </si>
  <si>
    <t>Data entry note</t>
  </si>
  <si>
    <t>Informational notes related to entered data.</t>
  </si>
  <si>
    <t>AJ</t>
  </si>
  <si>
    <t>Producer Address</t>
  </si>
  <si>
    <t>Producer Representative Name</t>
  </si>
  <si>
    <t>Producer Representative Contact information</t>
  </si>
  <si>
    <t>Provide the name of the person identified to CAA as this producer's designated representative.</t>
  </si>
  <si>
    <t>Provide contact information for this producer's designated representative.</t>
  </si>
  <si>
    <t>DEQ Use</t>
  </si>
  <si>
    <t>AK</t>
  </si>
  <si>
    <t>ID_EC</t>
  </si>
  <si>
    <t>Select ID number from field A (ID_EC) in the 5B Exemption tab that corresponds to this third-party recycling arranger. Note: if single row in 5B Exemption tab is associated with more than one third-party recycling arranger, fill out as many rows as are needed in this table.</t>
  </si>
  <si>
    <t>Rows in the 5B Exemption tab are missing information required to process this claim. Either enter missing inputs or clear these rows.</t>
  </si>
  <si>
    <t>Rows in the 1B Producer tab are missing required information. Fill out all rows in this table.</t>
  </si>
  <si>
    <t>Rows in the 2B Supply tab are missing required information. Either enter missing inputs or clear these rows.</t>
  </si>
  <si>
    <t>Rows in the 3B Collector tab are missing information required to process this claim. Either enter missing inputs or clear these rows.</t>
  </si>
  <si>
    <t>Rows in the 4B End Market tab are missing information required to process this claim. Either enter missing inputs or clear these rows.</t>
  </si>
  <si>
    <t>Rows in the 6B Arranger tab are missing information required to process this claim. Either enter missing inputs or clear these rows.</t>
  </si>
  <si>
    <t>Rows in the 2B Supply tab report more pounds in field D than in field C. Pounds in field C cannot exceed those in field D. Adjust inputs.</t>
  </si>
  <si>
    <t>Rows in the 5B Exemption tab indicate the materials were collected through a service provided under OTR (field I). Note that materials collection through OTR service are not eligible for exemption.</t>
  </si>
  <si>
    <t>Rows in the 5B Exemption tab indicate the material underwent separation at a CRPF (field N). Note that materials that undergo separation at a CRPF are not eligible for exemption.</t>
  </si>
  <si>
    <t>Auto-filled field</t>
  </si>
  <si>
    <t>Check: pounds (against full 5B)</t>
  </si>
  <si>
    <t>Lookup: pounds (5B tab)</t>
  </si>
  <si>
    <t>EC001</t>
  </si>
  <si>
    <t>EC002</t>
  </si>
  <si>
    <t>EC003</t>
  </si>
  <si>
    <t>EC004</t>
  </si>
  <si>
    <t>EC005</t>
  </si>
  <si>
    <t>EC006</t>
  </si>
  <si>
    <t>EC007</t>
  </si>
  <si>
    <t>EC008</t>
  </si>
  <si>
    <t>EC009</t>
  </si>
  <si>
    <t>EC010</t>
  </si>
  <si>
    <t>EC011</t>
  </si>
  <si>
    <t>EC012</t>
  </si>
  <si>
    <t>EC013</t>
  </si>
  <si>
    <t>EC014</t>
  </si>
  <si>
    <t>EC015</t>
  </si>
  <si>
    <t>EC016</t>
  </si>
  <si>
    <t>EC017</t>
  </si>
  <si>
    <t>EC018</t>
  </si>
  <si>
    <t>EC019</t>
  </si>
  <si>
    <t>EC020</t>
  </si>
  <si>
    <t>EC021</t>
  </si>
  <si>
    <t>EC022</t>
  </si>
  <si>
    <t>EC023</t>
  </si>
  <si>
    <t>EC024</t>
  </si>
  <si>
    <t>EC025</t>
  </si>
  <si>
    <t>EC026</t>
  </si>
  <si>
    <t>EC027</t>
  </si>
  <si>
    <t>EC028</t>
  </si>
  <si>
    <t>EC029</t>
  </si>
  <si>
    <t>EC030</t>
  </si>
  <si>
    <t>EC031</t>
  </si>
  <si>
    <t>EC032</t>
  </si>
  <si>
    <t>EC033</t>
  </si>
  <si>
    <t>EC034</t>
  </si>
  <si>
    <t>EC035</t>
  </si>
  <si>
    <t>EC036</t>
  </si>
  <si>
    <t>EC037</t>
  </si>
  <si>
    <t>EC038</t>
  </si>
  <si>
    <t>EC039</t>
  </si>
  <si>
    <t>EC040</t>
  </si>
  <si>
    <t>EC041</t>
  </si>
  <si>
    <t>EC042</t>
  </si>
  <si>
    <t>EC043</t>
  </si>
  <si>
    <t>EC044</t>
  </si>
  <si>
    <t>EC045</t>
  </si>
  <si>
    <t>EC046</t>
  </si>
  <si>
    <t>EC047</t>
  </si>
  <si>
    <t>EC048</t>
  </si>
  <si>
    <t>EC049</t>
  </si>
  <si>
    <t>EC050</t>
  </si>
  <si>
    <t>EC051</t>
  </si>
  <si>
    <t>EC052</t>
  </si>
  <si>
    <t>EC053</t>
  </si>
  <si>
    <t>EC054</t>
  </si>
  <si>
    <t>EC055</t>
  </si>
  <si>
    <t>EC056</t>
  </si>
  <si>
    <t>EC057</t>
  </si>
  <si>
    <t>EC058</t>
  </si>
  <si>
    <t>EC059</t>
  </si>
  <si>
    <t>EC060</t>
  </si>
  <si>
    <t>EC061</t>
  </si>
  <si>
    <t>EC062</t>
  </si>
  <si>
    <t>EC063</t>
  </si>
  <si>
    <t>EC064</t>
  </si>
  <si>
    <t>EC065</t>
  </si>
  <si>
    <t>EC066</t>
  </si>
  <si>
    <t>EC067</t>
  </si>
  <si>
    <t>EC068</t>
  </si>
  <si>
    <t>EC069</t>
  </si>
  <si>
    <t>EC070</t>
  </si>
  <si>
    <t>EC071</t>
  </si>
  <si>
    <t>EC072</t>
  </si>
  <si>
    <t>EC073</t>
  </si>
  <si>
    <t>EC074</t>
  </si>
  <si>
    <t>EC075</t>
  </si>
  <si>
    <t>EC076</t>
  </si>
  <si>
    <t>EC077</t>
  </si>
  <si>
    <t>EC078</t>
  </si>
  <si>
    <t>EC079</t>
  </si>
  <si>
    <t>EC080</t>
  </si>
  <si>
    <t>EC081</t>
  </si>
  <si>
    <t>EC082</t>
  </si>
  <si>
    <t>EC083</t>
  </si>
  <si>
    <t>EC084</t>
  </si>
  <si>
    <t>EC085</t>
  </si>
  <si>
    <t>EC086</t>
  </si>
  <si>
    <t>EC087</t>
  </si>
  <si>
    <t>EC088</t>
  </si>
  <si>
    <t>EC089</t>
  </si>
  <si>
    <t>EC090</t>
  </si>
  <si>
    <t>EC091</t>
  </si>
  <si>
    <t>EC092</t>
  </si>
  <si>
    <t>EC093</t>
  </si>
  <si>
    <t>EC094</t>
  </si>
  <si>
    <t>EC095</t>
  </si>
  <si>
    <t>EC096</t>
  </si>
  <si>
    <t>EC097</t>
  </si>
  <si>
    <t>EC098</t>
  </si>
  <si>
    <t>EC099</t>
  </si>
  <si>
    <t>EC100</t>
  </si>
  <si>
    <t>To meet the requirement under ORS 459A.869(13)(b) [that the exemptions are being claimed for "material sold in or into this state by a producer"], substantiate materials for which a third party arranged recycling collection.</t>
  </si>
  <si>
    <t>(1) handled and prepared the material for collection at their business site (such as a distribution center or retail location), or</t>
  </si>
  <si>
    <t>The Recycling Arranger is the entity that:</t>
  </si>
  <si>
    <t>(2) provided, contracted for, or paid for recycling of the material at third-party location and received regular reports regarding the recycled quantities attributable to their provision, contract, or payments.</t>
  </si>
  <si>
    <t>Material and End Market</t>
  </si>
  <si>
    <t>OTR Ineligibility Warning</t>
  </si>
  <si>
    <t>CRPF Separation Ineligibility Warning</t>
  </si>
  <si>
    <t>Provide the name of the third-party that arranged for recycling collection for this material.</t>
  </si>
  <si>
    <t>Type in the pounds (with up to 2 decimals) of the material recycled through this recycling pathway in 2024.</t>
  </si>
  <si>
    <r>
      <t xml:space="preserve">Type in the pounds (with up to 2 decimals) of the material supplied to this third-party recycling arranger in 2024 </t>
    </r>
    <r>
      <rPr>
        <u/>
        <sz val="11"/>
        <rFont val="Arial"/>
        <family val="2"/>
        <scheme val="minor"/>
      </rPr>
      <t>that the third party recycled</t>
    </r>
    <r>
      <rPr>
        <sz val="11"/>
        <rFont val="Arial"/>
        <family val="2"/>
        <scheme val="minor"/>
      </rPr>
      <t>, associated with this row in the 5B Exemption tab.</t>
    </r>
  </si>
  <si>
    <t>Arranging for recycling means the producer (1) handled and prepared the material for collection at their business site (such as a distribution center or retail location), or (2) the producer provided, contracted for, or paid for recycling of the material at  third party location and receives regular reports regarding the recycled quantities attributable to their provision, contract, or payments.</t>
  </si>
  <si>
    <t>This calculated field identifies whether additional information is needed to determine whether this collection service is likely eligible under ORS 459A.869(13)(a)(A). This additional information will be entered on the 5B Exemption tab.</t>
  </si>
  <si>
    <t>Automatically filled from 5B Exemption tab</t>
  </si>
  <si>
    <t>Automatically filled from 3B Collector tab</t>
  </si>
  <si>
    <t>Separation at a CRPF</t>
  </si>
  <si>
    <t>Defined in 2024 rulemaking: Oregon Administrative Rule 340-090-0840(3)</t>
  </si>
  <si>
    <t>Type in the pounds (with up to 2 decimals) of material recycled through this pathway in 2024 that were supplied by the producer. Under ORS 459A.869(13)(b), only materials supplied by the producer are eligible for exemption.</t>
  </si>
  <si>
    <t>A recycling pathway means a unique combination of collection or transportation service provider, whether the service was provided under OTR, whether a CRPF ever handled the material (and if so, whether it separated the material), and end market.</t>
  </si>
  <si>
    <t>Type in the page numbers in the PDF documentation that corresponds to end market quantity documentation for this row.</t>
  </si>
  <si>
    <t>For a material to be eligible for exemption through the active claim method, the producer must be able to trace the full material pathway from collection to end market and attest that it meets all eligibility requirements.</t>
  </si>
  <si>
    <t>When reporting pounds recycled of Corrugated Cardboard (Tertiary/transport) non-consumer, include only tertiary/transport cardboard. Do not include cardboard used for primary packaging. Instead use "Corrugated Cardboard."</t>
  </si>
  <si>
    <t>No action needed (autofilled from the 5B Exemption tab)</t>
  </si>
  <si>
    <t>Type in name of third-party recycling arranger</t>
  </si>
  <si>
    <t>Type in the gross supply weight of the material reporting category that this producer supplied into Oregon in 2024, in pounds using two decimals.</t>
  </si>
  <si>
    <t>Rows in the 5B Exemption tab report that quantity of recycled material supplied by this producer (field D) through this pathway is larger than the total quantity recycled through the pathway (field C). Adjust inputs.</t>
  </si>
  <si>
    <t>AL</t>
  </si>
  <si>
    <t>AM</t>
  </si>
  <si>
    <t>DEQ 2B Notes</t>
  </si>
  <si>
    <t>DEQ 3B Notes</t>
  </si>
  <si>
    <t>DEQ 4B Notes</t>
  </si>
  <si>
    <t>DEQ 6B Notes</t>
  </si>
  <si>
    <t>3B note</t>
  </si>
  <si>
    <t>AN</t>
  </si>
  <si>
    <t>AO</t>
  </si>
  <si>
    <t>AP</t>
  </si>
  <si>
    <t>DEQ 5B Notes</t>
  </si>
  <si>
    <t>DEQ 5B Eligible Pounds</t>
  </si>
  <si>
    <t>DEQ 6B Eligible Pounds</t>
  </si>
  <si>
    <t>AQ</t>
  </si>
  <si>
    <t>5A Exemption</t>
  </si>
  <si>
    <t>5B Exemption</t>
  </si>
  <si>
    <t>This tab contains instructions, tips and notes, and resources for the form as a whole.</t>
  </si>
  <si>
    <t>This tab contains the data entry table for Producer Contact Information.</t>
  </si>
  <si>
    <t>This tab contains instructions, tips and notes, and data entry errors for the Producer Contact Information table on tab 1B.</t>
  </si>
  <si>
    <t>This tab contains the data entry table for Gross Supply Weight.</t>
  </si>
  <si>
    <t>This tab contains the data entry table for End Market Information.</t>
  </si>
  <si>
    <t>This tab contains the data entry table for Collection and Transportation Service Provider Information.</t>
  </si>
  <si>
    <t>This tab contains the data entry table for Exemption Claims.</t>
  </si>
  <si>
    <t>This tab contains instructions, tips and notes, and data entry errors for the Third-Party Recycling Arranger table on tab 6B to substantiate claims associated with materials for which the producer did not arrange recycling.</t>
  </si>
  <si>
    <t>This tab contains instructions, tips and notes, and data entry errors for the Exemption Claim table on tab 5B to report pounds of supplied materials and how it was recycled (collection or transportation service provider, whether the service was provided under OTR, whether a CRPF ever handled the material (and if so, whether it separated the material), and end market).</t>
  </si>
  <si>
    <t>This tab contains instructions, tips and notes, and data entry errors for the Collection Information table on tab 3B to identify the collection and transportation service providers that collected this producer's supplied materials in 2024.</t>
  </si>
  <si>
    <t>This tab contains instructions, tips and notes, and data entry errors for the End Market Information table on tab 4B to identify the end markets that received this producer's supplied materials in 2024.</t>
  </si>
  <si>
    <t>This tab contains instructions, tips and notes, and data entry errors for the Gross Supply Weight table on tab 2B to report pounds supplied in 2024).</t>
  </si>
  <si>
    <t>This tab contains the data entry table for Third-Party Recycling Arrangers.</t>
  </si>
  <si>
    <t>Claim Type</t>
  </si>
  <si>
    <t>Limited Active</t>
  </si>
  <si>
    <t>Full Active</t>
  </si>
  <si>
    <t>Select claim type from dropdown list</t>
  </si>
  <si>
    <t>Select the covered material from the dropdown list that this producer supplied in or into Oregon in 2024.</t>
  </si>
  <si>
    <t>Select material from dropdown list</t>
  </si>
  <si>
    <t>Select the type of collector or transporter from the dropdown list</t>
  </si>
  <si>
    <t>Select type from dropdown list</t>
  </si>
  <si>
    <t xml:space="preserve">Select the material reporting category from the dropdown list. Only materials listed in the 2B Supply tab will be shown. </t>
  </si>
  <si>
    <t>After selecting the material in field B, select the name of the end market from the dropdown list.</t>
  </si>
  <si>
    <t>Note: the dropdown list for this field changes based on the material reporting category selected in field B. If you change the material reporting category in field B, you must re-select the end market in this field to ensure accuracy.</t>
  </si>
  <si>
    <t>Select end market from dropdown list</t>
  </si>
  <si>
    <t>Select the material reporting category from the dropdown list associated with this recycling pathway.</t>
  </si>
  <si>
    <t>Select yes from the dropdown list only if this producer arranged for recycling collection. Otherwise, select no.</t>
  </si>
  <si>
    <t>Select the collection or transportation service provider from the dropdown list, which is linked to the 3B Collector tab.</t>
  </si>
  <si>
    <t xml:space="preserve">From the dropdown list, select yes if a CRPF (commingled recycling processing facility) ever handled the material, even if that handling was limited to baling or brokerage. Otherwise, select no. </t>
  </si>
  <si>
    <t>If the material was handled at a CRPF, select the CRPF name from the dropdown list.</t>
  </si>
  <si>
    <t>Select the material and end market from the dropdown list, which is linked to the 4B End Market tab. To be eligible under ORS 459A.869(13)(a)(C), material must go to a responsible end market.</t>
  </si>
  <si>
    <t>Select yes or no from dropdown list</t>
  </si>
  <si>
    <t>Select collector from dropdown list</t>
  </si>
  <si>
    <t>Select CRPF from dropdown list</t>
  </si>
  <si>
    <t>Select material and end market from dropdown list</t>
  </si>
  <si>
    <t>From the dropdown list, select the row ID from the 5B Exemption tab (field A labeled ID_EC)</t>
  </si>
  <si>
    <t>F-L</t>
  </si>
  <si>
    <t>Select claim type (limited active or full active) from the dropdown list.</t>
  </si>
  <si>
    <t>Autofills from 2B Supply tab</t>
  </si>
  <si>
    <t>AR</t>
  </si>
  <si>
    <t>Include in Summary</t>
  </si>
  <si>
    <t>Summary</t>
  </si>
  <si>
    <t>2B Supply Pounds</t>
  </si>
  <si>
    <t>5B Exemption Claim Pounds</t>
  </si>
  <si>
    <t>5B Exemption Claim</t>
  </si>
  <si>
    <t>Pounds in the 2B Supply Pounds field represent the smaller of field C (Gross Supply Weight) or field E (weight only of printer/copier paper) from the 2B Supply tab.</t>
  </si>
  <si>
    <t>5B DEQ Eligible Pounds</t>
  </si>
  <si>
    <t>Autofilled from 5B Exemption tab (DEQ)</t>
  </si>
  <si>
    <t>This tab summarizes submission instructions, data entry errors across all tabs, and pounds supplied and claimed for exemption by material reporting category.</t>
  </si>
  <si>
    <t>Error: unsupplied material</t>
  </si>
  <si>
    <t>Rows in the 4B End Market tab contain a material in Material Reporting Category (field B) that was not reported in the 2B Supply tab. Adjust inputs.</t>
  </si>
  <si>
    <t>J-Q</t>
  </si>
  <si>
    <t>Error: materials not supplied</t>
  </si>
  <si>
    <t>AS</t>
  </si>
  <si>
    <t>Check: materials not supplied</t>
  </si>
  <si>
    <t>Check: material not supplied</t>
  </si>
  <si>
    <t>Rows in the 5B Exemption tab contain a material in Material Reporting Category (field B) that was not reported in the 2B Supply tab. Adjust inputs.</t>
  </si>
  <si>
    <t>Rows in the 6B Arranger tab contain inputs in fields C or G-L but (in field B, ID_EC) do not identify the associated Exemption Claim ID (ID_EC) from the 5B Exemption tab. Either select the associated ID_EC from the dropdown list or delete these inputs.</t>
  </si>
  <si>
    <t>Rows in the 5B Exemption tab contain inputs in fields C-E, G, I, K-N, or P-Q but do not identify the material reporting category in field B. Either identify the material reporting category or delete these inputs.</t>
  </si>
  <si>
    <t>Check: wrong ID_EC</t>
  </si>
  <si>
    <t>https://www.oregon.gov/deq/recycling/Pages/RMA-Exemptions.aspx</t>
  </si>
  <si>
    <t>product.exemption@deq.oregon.gov</t>
  </si>
  <si>
    <t>DEQ phone</t>
  </si>
  <si>
    <t>503-839-9323</t>
  </si>
  <si>
    <t>CAA webpage</t>
  </si>
  <si>
    <t>email address</t>
  </si>
  <si>
    <t>due date and time</t>
  </si>
  <si>
    <t>subject line</t>
  </si>
  <si>
    <t>attestation of accuracy</t>
  </si>
  <si>
    <t>When a producer, distribution center, retail site, or other location that discards the material also transports that material to a recycling facility (depot, reload facility, CRPF, or end market) using their own vehicles instead of hiring a third-party recycling collection or transportation service provider.</t>
  </si>
  <si>
    <t>Nicole Portley, Program Plan Lead</t>
  </si>
  <si>
    <t>ORS 459A.085 (City, county authority to issue collection service franchises) describes collection services provided under the opportunity to recycle.</t>
  </si>
  <si>
    <t>ORS 459A.085</t>
  </si>
  <si>
    <t>ORS 459A.005</t>
  </si>
  <si>
    <t>ORS 459A.007</t>
  </si>
  <si>
    <t>ORS 459A.005 defines “Opportunity to recycle.”</t>
  </si>
  <si>
    <t>Responsible end market, pursuant to ORS 459A.863(29).</t>
  </si>
  <si>
    <t>OTR</t>
  </si>
  <si>
    <t>Country</t>
  </si>
  <si>
    <t>I-J</t>
  </si>
  <si>
    <t>C-G</t>
  </si>
  <si>
    <t>Provide producer address exactly as reported to CAA.</t>
  </si>
  <si>
    <t>If the producer, retailer, or company that discarded the material also transported the material (self-hauled) it themselves, provide the name of the producer, retailer, or company.</t>
  </si>
  <si>
    <t>Session 1 time</t>
  </si>
  <si>
    <t>Session 2 time</t>
  </si>
  <si>
    <t>Registration links</t>
  </si>
  <si>
    <t>Two DEQ drop-in sessions on Zoom (links on DEQ's website)</t>
  </si>
  <si>
    <t>Recorded webinar and slides on the PSI website</t>
  </si>
  <si>
    <t>DEQ exemption webpage</t>
  </si>
  <si>
    <t>DEQ contact</t>
  </si>
  <si>
    <t>Full active claim</t>
  </si>
  <si>
    <t>Claiming exemptions under ORS 459A.869(13)</t>
  </si>
  <si>
    <t>Required documentation: a self-attestation form from the end market that it meets the responsible end market requirements under OAR 340-090-0670(2). Blank attestation forms can be found on DEQ's website:</t>
  </si>
  <si>
    <t>Note: If material is collected for recycling by the same service provider from multiple locations, the collection service provider may provide OTR service at some locations and non-OTR service at others. Report quantities collected through the two different methods (OTR and non-OTR) separately. Only the quantities collected through non-OTR service are potentially be eligible for exemption.</t>
  </si>
  <si>
    <t>Opportunity to recycle, pursuant to ORS 459A.005 and ORS 459A.007 and described in OAR 340-090-0020.</t>
  </si>
  <si>
    <t>An OTR collection service provider is an entity that provides OTR collection service (described below). They may also provide non-OTR collection services.</t>
  </si>
  <si>
    <t>Select "OTR Service Provider" if this service provider offers OTR collection service to any customer. Then fill out contact information for this service provider in fields E-H of this row.</t>
  </si>
  <si>
    <t>Select "Non-OTR Service Provider" for all other collection service providers that did not provide backhaul service. Then fill out contact information for this service provider in fields E-H of this row.</t>
  </si>
  <si>
    <t>ORS 459A.007 describes opportunity to recycle program elements.</t>
  </si>
  <si>
    <t>OAR 340-090-0020</t>
  </si>
  <si>
    <t>The collection or transportation service provider will know whether the recycling service for an individual material collected from an individual location is provided under OTR (opportunity to recycle). Note that the same collection service provider may provide OTR collection at some locations and non-OTR collection at others.</t>
  </si>
  <si>
    <t>HDPE (#2)/LDPE (#4) (Pallet Wrap) non-consumer applied by a distribution center is not eligible for exemption under ORS 459A.869(13) because it is not a covered product pursuant to ORS 459A.863(6)(b)(H), which reads: “(H) Pallet wrap or similar packaging used to secure a palletized load if added by a person that is not the producer of the palletized covered products.”</t>
  </si>
  <si>
    <t>Tip: start here tab</t>
  </si>
  <si>
    <t>Tip: OTR collection</t>
  </si>
  <si>
    <t>Tip: match CAA gross supply weight</t>
  </si>
  <si>
    <t>Tip 2</t>
  </si>
  <si>
    <t>Tip: CAA &amp; end markets</t>
  </si>
  <si>
    <t>Note: trace full recycling pathway</t>
  </si>
  <si>
    <t>Note: two types of cardboard</t>
  </si>
  <si>
    <t xml:space="preserve">Note: two types of flexible HDPE/LDPE </t>
  </si>
  <si>
    <t>Note: pallet wrap applied by distribution centers</t>
  </si>
  <si>
    <t>Note: arranging recycling for multiple brands</t>
  </si>
  <si>
    <t>L-V</t>
  </si>
  <si>
    <t>R-AT</t>
  </si>
  <si>
    <t>Attach the exemption form (this Excel file) using the naming convention as follows: [Producer Name] 869(13) Exemption Claim Form</t>
  </si>
  <si>
    <t>The email subject line should be completed as follows: [Producer Name] 869(13) Exemption Claim</t>
  </si>
  <si>
    <t>Attach required documentation as a consolidated PDF using the naming convention as follows: [Producer Name] 869(13) Exemption Claim Documentation</t>
  </si>
  <si>
    <t>Excel file naming</t>
  </si>
  <si>
    <t>review for errors</t>
  </si>
  <si>
    <t>documentation file naming</t>
  </si>
  <si>
    <t>The table below summarizes pounds supplied and claimed in this form by Material Reporting Category.</t>
  </si>
  <si>
    <t>Pounds in the 5B Exemption Claim Pounds field exclude pounds where responses indicate they may not meet eligibility requirements (OTR or non-separation at a CRPF) or key information is missing for the claim on the 5B Exemption tab. Any errors identified above may make this summary inaccurate.</t>
  </si>
  <si>
    <t>Error: CRPF separation not eligible</t>
  </si>
  <si>
    <t>Error: end market not on 4B</t>
  </si>
  <si>
    <t>Error: collector not on 3B</t>
  </si>
  <si>
    <t>Error: OTR collector not eligible</t>
  </si>
  <si>
    <t>Collection by a local government or an agent franchised, permitted or otherwise designated by the local government, and provided in order to comply with the requirements set forth in OAR 340-090-0020. Such collection may include collection of source separated materials provided to the generator at no apparent cost. Below are some common indicators of OTR collection; they are not comprehensive:
OTR indicator 1: collection service is paid for through franchised or licenses collection rates (overseen by the local government).
OTR indicator 2: collection service is provided without separate fees by a service provider that also collects garbage from the same location.
OTR indicator 3: collection service is provided without separate fees by a service provider that collects other recyclable materials from the same location under the opportunity to recycle.
OTR indicator 4: materials are collected mixed in (commingled) with other Uniform Statewide Collection List materials.</t>
  </si>
  <si>
    <t>OAR 340-090-0020 discusses opportunity to recycle in rule.</t>
  </si>
  <si>
    <t>Defined in ORS 459A.863(29) with details about REM requirements provided in 2024 rulemaking: Oregon Administrative Rule 340-090-0670(1) and (2).</t>
  </si>
  <si>
    <t>Commingled recycling processing facility, as defined in ORS 459A.863(3)</t>
  </si>
  <si>
    <t>DEQ will treat the information as confidential. However, DEQ may share any information submitted related to this form with Circular Action Alliance, pursuant to OAR 340-090-0710(5).</t>
  </si>
  <si>
    <t>Required documentation: an invoice, report, or statement from the collection or transportation service provider that attests to the 2024 pounds collected by the service provider from the recycling arranger by material type and that these materials were not collected under OTR service.</t>
  </si>
  <si>
    <t>Select "Yes" if the collection service was provided under the opportunity to recycle, meaning collection by a local government or an agent franchised, permitted or otherwise designated by the local government, and provided in order to comply with the requirements set forth in OAR 340-090-0020. Such collection may include collection of source separated materials provided to the generator at no apparent cost. If "Yes," the material collected through this service is not eligible for exemption.</t>
  </si>
  <si>
    <t>When reporting pounds recycled of HDPE (#2)/LDPE (#4) (Pallet Wrap) non-consumer, include only pallet wrap. Under this reporting category designed for non-consumer pallet wrap, do not include any pounds of materials that are HDPE (#2)/LDPE (#4) Flexible and Film Items (such as plastic bags or product overwrap, whether discarded by employees or collected from the public).</t>
  </si>
  <si>
    <t>Attach only one PDF documentation per submission, unless the file would be too large. If the documentation is too large to compile into one PDF, break the file into multiple parts and add numbering into the file name (such as [Producer Name] 869(13) Exemption Claim Documentation 1 of 2). If submitting multiple PDFs, indicate both the documentation file number and page number in the documentation fields of data entry tables on 4B End Market and 5B Exemption.</t>
  </si>
  <si>
    <t>confidential information</t>
  </si>
  <si>
    <t>number of documentation files</t>
  </si>
  <si>
    <t>attachment file size</t>
  </si>
  <si>
    <t>Gross supply weight</t>
  </si>
  <si>
    <t>2A Intro: Oregon Gross Supply Weight (Pounds in 2024)</t>
  </si>
  <si>
    <t>1A Intro: Producer Contact Information</t>
  </si>
  <si>
    <t>1B Data Entry Table: Producer Contact Information</t>
  </si>
  <si>
    <t>2B Data Entry Table: Oregon Gross Supply Weight (Pounds in 2024)</t>
  </si>
  <si>
    <t>3A Intro: Collection or Transportation Service Providers Handling the Material(s)</t>
  </si>
  <si>
    <t>3B Data Entry Table: Collection or Transportation Service Providers Handling the Material(s)</t>
  </si>
  <si>
    <t>4A Intro: End Markets Info (Receiving the Materials)</t>
  </si>
  <si>
    <t>4B Data Entry Table: End Markets Info (Receiving the Materials)</t>
  </si>
  <si>
    <t>5A Intro: Exemption Claim (by Material, Pounds, and Recycling Pathway)</t>
  </si>
  <si>
    <t>5B Data Entry Table: Exemption Claim (by Material, Pounds, and Recycling Pathway)</t>
  </si>
  <si>
    <t>6A Intro: Third-Party Recycling Arranger (Non-Producer Entities Discarding the Producer's Material for Recycling)</t>
  </si>
  <si>
    <t>6B Data Entry Table: Third-Party Recycling Arranger (Non-Producer Entities Discarding the Producer's Material for Recycling)</t>
  </si>
  <si>
    <t>7 Form Summary</t>
  </si>
  <si>
    <t>Data entry errors on the 1A Producer tab</t>
  </si>
  <si>
    <t>Data entry errors on the 2B Supply tab</t>
  </si>
  <si>
    <t>Data entry errors on the 3B Collector tab</t>
  </si>
  <si>
    <t>Data entry errors on the 4B End Markets tab</t>
  </si>
  <si>
    <t>Data entry errors on the 5B Exemption tab</t>
  </si>
  <si>
    <t>Data entry errors on the 6B Arranger tab</t>
  </si>
  <si>
    <t>Gross supply weight (2024 pounds) of printer/copier paper</t>
  </si>
  <si>
    <t>Producers paper only (to make an active or limited active printer/copier paper): Type the gross supply weight in 2024 pounds for printer/copier paper that businesses commonly shred that were supplied in or into Oregon in 2024 under the material reporting categories (1) Paper for General Use or (2) Other Printed Materials. For a limited active exemption, no further information is needed. For a full active exemption, fill out the remaining form tabs.</t>
  </si>
  <si>
    <t>Producers of printer/copier paper that businesses commonly shred who have information on gross supply weight (pounds) of this paper sold in or into Oregon in 2024 and want to make a limited active claim.</t>
  </si>
  <si>
    <t>When materials are transported away from the retail site that discards them back to the distribution center, either by the retailer’s own fleet or a contracted transporter.</t>
  </si>
  <si>
    <t>Submit only one claim form per producer using the DEQ email address below by March 7, 2025 at 5:00 PM PT. You will receive a confirmation when DEQ has received your email(s).</t>
  </si>
  <si>
    <t>Claim Summary</t>
  </si>
  <si>
    <t>In the body of the email, list the producer company name, designated contact, that contact's information, and the file names for all attachments. If you need to send more than one email due to file size limitations (70MB per email), also note how many emails you plan to send and which email is the final one.</t>
  </si>
  <si>
    <t>By submitting this form and documentation, the producer attests that the information in this Excel file and PDF documentation is true and accurate. DEQ may contact any or all entities identified in this form to verify the submitted information.</t>
  </si>
  <si>
    <t>Note that the DEQ email address can accept emails that are up to 70MB in size. If breaking a single submission into multiple emails due to size constraints, please reply all to the previously submitted email.</t>
  </si>
  <si>
    <t>Automated cell (no entry needed)</t>
  </si>
  <si>
    <t>Duplicate row indicator for data entry error (shows in row ID fields in field A of tables)</t>
  </si>
  <si>
    <t xml:space="preserve">Provide producer contact information on the 1A Producer tab exactly as reported to CAA, so this exemption claim can be connected to other reporting to CAA for processing the fee adjustment. </t>
  </si>
  <si>
    <t>Select "Backhaul or self-haul" if the material was backhauled or if the producer, retailer, or company self-hauled the material. No more information is required in this row.</t>
  </si>
  <si>
    <t>To meet the requirement under ORS 459A.869(13)(a)(C), fill out the 4B End Market tab with all the end markets that are destinations for the materials your firm is claiming an exemption for.</t>
  </si>
  <si>
    <t>In order for pounds to be considered for exemption, pounds must be associated with an end market that has been verified as being responsible, in accordance with the requirements under OAR 340-090-0670(2)(b).</t>
  </si>
  <si>
    <t>If the end market that handles this producer's supplied material is in the list, no more information is required in this row. DEQ is aware of the end market and has supplied contact information to CAA. CAA is exploring whether that end market will self-attest to being a responsible end market. There is no guarantee that CAA will find or DEQ will consider any end market in this list to be responsible. The decision for which, if any, of the known end markets are considered responsible for this form will be made by April 30.</t>
  </si>
  <si>
    <t>To show that the material meets all requirements under ORS 459A.869(13), fill out the 5B Exemption tab for the materials and recycling pathways your firm is claiming an exemption for.</t>
  </si>
  <si>
    <t>If a producer serves as a recycling arranger for materials produced by multiple brands, the producer should only claim the exemption for the proportion of collection volumes composed of its own supplied materials. Arranging recycling for multiple brands includes but is not limited to (1) collecting material from the public without limiting it to the producer's brand or (2) removing and discarding tertiary/transport or primary packaging produced by multiple brands.</t>
  </si>
  <si>
    <t>Rows in the 5B Exemption tab contain materials for which a third party arranged the recycling collection that are not fully substantiated in the 6B Arranger tab. This means the cumulative pounds in the 6B Arranger tab sum up to fewer than the pounds claimed in the associated row in the 5B Exemption tab. Note that pounds claimed in 5B Exemption involve a third-party recycling arranger must be fully substantiated in 6B Arranger to be considered eligible for exemption.</t>
  </si>
  <si>
    <t>Rows in the 6B Arranger tab are not substantiated in the 5B Exemption tab. This means the cumulative pounds in the 6B Arranger tab table sum up to more than the pounds claimed in the associated row in the 5B Exemption tab. Only that pounds that are substantiated as meeting eligibility criteria in 5B Exemption tab may be considered eligible for exemption. Adjust inputs.</t>
  </si>
  <si>
    <t>Rows in the 6B Arranger tab contain duplicated Third-Party Arranger Names (field C) for the same Exemption Claim ID (field B, or ID_EC) on the 5B Exemption tab. For each Exemption Claim (ID_EC), enter each unique Third Party Recycling Arranger only.</t>
  </si>
  <si>
    <t>Submit only one claim form per producer using the DEQ email address below by March 7, 2025 at 5:00 PM PT. You will receive a confirmation email when DEQ has received your email(s).</t>
  </si>
  <si>
    <t>Tips</t>
  </si>
  <si>
    <t>Move from left to right and top to bottom</t>
  </si>
  <si>
    <t>Finish the tabs in order</t>
  </si>
  <si>
    <t>Similar to working left to right within a tab, try to work across the tabs in order. But if you need to go back and change or delete something, work forward again from that change or deletion to double-check that dropdown lists entries are still valid.</t>
  </si>
  <si>
    <t>To help you, the form populates dropdown lists from previous tabs and changes color to show when fields are required. But this means you should avoid going backward. If after filling out a row or a tab, you go back and change or delete something, this might create errors. Just work forward from that change or deletion to double-check that dropdown lists entries are still valid.</t>
  </si>
  <si>
    <t>Look for bright yellow cells</t>
  </si>
  <si>
    <t>If you see yellow cells appear, there’s a data entry error or a material is identified as ineligible. Look on the “A” tabs or the 7 Summary tab for more information.</t>
  </si>
  <si>
    <t>The total supply of covered product to the Oregon market, including any covered product that is potentially eligible for an exemption under ORS 459A.869(13)</t>
  </si>
  <si>
    <t>The Oregon Department of Environmental Quality (DEQ) developed this form for producers who are required to register with and be a member of the producer responsibility organization in Oregon (Circular Action Alliance) and want to submit limited active or full claims for exemption under ORS 459A.869(13).</t>
  </si>
  <si>
    <t>Producers who (1) cannot report pounds of their materials by reporting category that were supplied in or into Oregon in 2024 on this form and/or (2) who cannot show the quantity of their supplied material that was recycled in 2024 in way that meets all the eligibility criteria for exemption.</t>
  </si>
  <si>
    <t>Translations or Other Formats</t>
  </si>
  <si>
    <t>DEQ mailto link</t>
  </si>
  <si>
    <t>Español</t>
  </si>
  <si>
    <t>한국어</t>
  </si>
  <si>
    <t>繁體中文</t>
  </si>
  <si>
    <t>Pусский</t>
  </si>
  <si>
    <t>Tiếng Việt</t>
  </si>
  <si>
    <t>العربية</t>
  </si>
  <si>
    <t>Contact phone</t>
  </si>
  <si>
    <t>Contact TTY</t>
  </si>
  <si>
    <t>Contact email</t>
  </si>
  <si>
    <t>800-452-4011</t>
  </si>
  <si>
    <t>deqinfo@deq.state.or.us</t>
  </si>
  <si>
    <t>https://www.oregon.gov/deq/about-us/Pages/titleVIaccess.aspx</t>
  </si>
  <si>
    <t xml:space="preserve">DEQ does not discriminate on the basis of race, color, national origin, disability, age or sex in administration of its programs or activities. </t>
  </si>
  <si>
    <t>Civil Rights and Environmental Justice page</t>
  </si>
  <si>
    <t>DEQ can provide documents and information on it programs in alternate formats or in a language other than English upon request. To obtain help, please use the contact information below to reach out to DEQ.</t>
  </si>
  <si>
    <t>translations and other formats available</t>
  </si>
  <si>
    <t>List of languages</t>
  </si>
  <si>
    <t>no discrimination</t>
  </si>
  <si>
    <t>Web address</t>
  </si>
  <si>
    <t>Visit DEQ's webpage</t>
  </si>
  <si>
    <t>This file contains Oregon's Covered Product Exemption Form pursuant to 459A.869(13). This tab provides an overview of the form, available resources, and orientation to this file.</t>
  </si>
  <si>
    <t>Tips &amp; Notes</t>
  </si>
  <si>
    <t>Autofills from 5B Exemption tab</t>
  </si>
  <si>
    <t>Fill out the 2B Supply tab for all of the materials your firm is claiming an exemption for.</t>
  </si>
  <si>
    <t>To meet the requirement found under ORS 459A.869(13)(a)(A), fill out the 3B Collector tab related to the entity collecting the material from your location(s).</t>
  </si>
  <si>
    <t>Fill out the 6B Arranger tab with all the third-parties (such as customers, installers, third-party retailers, or logistics companies) that received and arranged for recycling of the materials this producer is claiming an exemption (on the 5B Exemption tab).</t>
  </si>
  <si>
    <t>nicole.portley@deq.oregon.gov</t>
  </si>
  <si>
    <t>mailto:nicole.portley@deq.oregon.gov?subject=Covered%20Product%20Exemption%20Process%20Question</t>
  </si>
  <si>
    <t>Oregon's Covered Product Exemption Form, published 2025-02-06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</si>
</sst>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
  </numFmts>
  <fonts count="25" x14ac:knownFonts="1">
    <font>
      <sz val="11"/>
      <color theme="1"/>
      <name val="Arial"/>
      <family val="2"/>
      <scheme val="minor"/>
    </font>
    <font>
      <b/>
      <sz val="11"/>
      <color theme="1"/>
      <name val="Arial"/>
      <family val="2"/>
      <scheme val="minor"/>
    </font>
    <font>
      <u/>
      <sz val="11"/>
      <color theme="10"/>
      <name val="Arial"/>
      <family val="2"/>
      <scheme val="minor"/>
    </font>
    <font>
      <sz val="11"/>
      <color theme="1"/>
      <name val="Arial"/>
      <family val="2"/>
      <scheme val="minor"/>
    </font>
    <font>
      <sz val="11"/>
      <color rgb="FF3F3F76"/>
      <name val="Arial"/>
      <family val="2"/>
      <scheme val="minor"/>
    </font>
    <font>
      <sz val="11"/>
      <color theme="0"/>
      <name val="Arial"/>
      <family val="2"/>
      <scheme val="minor"/>
    </font>
    <font>
      <sz val="10"/>
      <color rgb="FF000000"/>
      <name val="Times New Roman"/>
      <family val="1"/>
    </font>
    <font>
      <sz val="11"/>
      <name val="Arial"/>
      <family val="2"/>
      <scheme val="minor"/>
    </font>
    <font>
      <b/>
      <sz val="11"/>
      <color theme="0"/>
      <name val="Arial"/>
      <family val="2"/>
      <scheme val="minor"/>
    </font>
    <font>
      <b/>
      <sz val="11"/>
      <name val="Arial"/>
      <family val="2"/>
      <scheme val="minor"/>
    </font>
    <font>
      <i/>
      <sz val="11"/>
      <name val="Arial"/>
      <family val="2"/>
      <scheme val="minor"/>
    </font>
    <font>
      <sz val="11"/>
      <color rgb="FF000000"/>
      <name val="Arial"/>
      <family val="2"/>
      <scheme val="minor"/>
    </font>
    <font>
      <b/>
      <sz val="15"/>
      <color theme="1"/>
      <name val="Arial"/>
      <family val="2"/>
      <scheme val="minor"/>
    </font>
    <font>
      <sz val="18"/>
      <color theme="1"/>
      <name val="Arial"/>
      <family val="2"/>
      <scheme val="major"/>
    </font>
    <font>
      <b/>
      <sz val="13"/>
      <color theme="1"/>
      <name val="Arial"/>
      <family val="2"/>
      <scheme val="minor"/>
    </font>
    <font>
      <b/>
      <sz val="11"/>
      <color rgb="FFFFFF00"/>
      <name val="Arial"/>
      <family val="2"/>
      <scheme val="minor"/>
    </font>
    <font>
      <i/>
      <sz val="11"/>
      <color theme="1" tint="0.34998626667073579"/>
      <name val="Arial"/>
      <family val="2"/>
      <scheme val="minor"/>
    </font>
    <font>
      <u/>
      <sz val="11"/>
      <name val="Arial"/>
      <family val="2"/>
      <scheme val="minor"/>
    </font>
    <font>
      <i/>
      <sz val="11"/>
      <color theme="0"/>
      <name val="Arial"/>
      <family val="2"/>
      <scheme val="minor"/>
    </font>
    <font>
      <sz val="18"/>
      <color theme="1"/>
      <name val="Arial"/>
      <family val="2"/>
      <scheme val="minor"/>
    </font>
    <font>
      <b/>
      <sz val="15"/>
      <color rgb="FF000000"/>
      <name val="Arial"/>
      <family val="2"/>
      <scheme val="minor"/>
    </font>
    <font>
      <b/>
      <sz val="13"/>
      <color rgb="FF000000"/>
      <name val="Arial"/>
      <family val="2"/>
      <scheme val="minor"/>
    </font>
    <font>
      <u/>
      <sz val="11"/>
      <color theme="4" tint="-0.499984740745262"/>
      <name val="Arial"/>
      <family val="2"/>
      <scheme val="minor"/>
    </font>
    <font>
      <u/>
      <sz val="11"/>
      <color theme="6" tint="-0.499984740745262"/>
      <name val="Arial"/>
      <family val="2"/>
      <scheme val="minor"/>
    </font>
    <font>
      <b/>
      <sz val="12"/>
      <color rgb="FF262626"/>
      <name val="Aptos"/>
      <family val="2"/>
    </font>
  </fonts>
  <fills count="21">
    <fill>
      <patternFill patternType="none"/>
    </fill>
    <fill>
      <patternFill patternType="gray125"/>
    </fill>
    <fill>
      <patternFill patternType="solid">
        <fgColor theme="0" tint="-4.9989318521683403E-2"/>
        <bgColor indexed="64"/>
      </patternFill>
    </fill>
    <fill>
      <patternFill patternType="solid">
        <fgColor theme="6"/>
      </patternFill>
    </fill>
    <fill>
      <patternFill patternType="solid">
        <fgColor theme="6" tint="0.79998168889431442"/>
        <bgColor indexed="65"/>
      </patternFill>
    </fill>
    <fill>
      <patternFill patternType="solid">
        <fgColor theme="8" tint="0.79998168889431442"/>
        <bgColor indexed="64"/>
      </patternFill>
    </fill>
    <fill>
      <patternFill patternType="solid">
        <fgColor theme="0" tint="-0.14999847407452621"/>
        <bgColor indexed="64"/>
      </patternFill>
    </fill>
    <fill>
      <patternFill patternType="solid">
        <fgColor theme="1"/>
        <bgColor theme="1"/>
      </patternFill>
    </fill>
    <fill>
      <patternFill patternType="solid">
        <fgColor theme="1"/>
        <bgColor indexed="64"/>
      </patternFill>
    </fill>
    <fill>
      <patternFill patternType="solid">
        <fgColor rgb="FFFFFF00"/>
        <bgColor indexed="64"/>
      </patternFill>
    </fill>
    <fill>
      <patternFill patternType="solid">
        <fgColor theme="6" tint="0.39997558519241921"/>
        <bgColor indexed="65"/>
      </patternFill>
    </fill>
    <fill>
      <patternFill patternType="solid">
        <fgColor theme="0" tint="-0.249977111117893"/>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rgb="FFD9D9D9"/>
        <bgColor rgb="FF000000"/>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6795556505021"/>
        <bgColor indexed="64"/>
      </patternFill>
    </fill>
    <fill>
      <patternFill patternType="solid">
        <fgColor theme="1"/>
        <bgColor theme="5"/>
      </patternFill>
    </fill>
    <fill>
      <patternFill patternType="solid">
        <fgColor theme="0" tint="-0.14999847407452621"/>
        <bgColor theme="5" tint="0.79998168889431442"/>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style="thin">
        <color theme="1"/>
      </top>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style="thin">
        <color theme="1"/>
      </top>
      <bottom style="thin">
        <color theme="1"/>
      </bottom>
      <diagonal/>
    </border>
    <border>
      <left/>
      <right/>
      <top/>
      <bottom style="thick">
        <color rgb="FF4C9CCE"/>
      </bottom>
      <diagonal/>
    </border>
    <border>
      <left/>
      <right/>
      <top/>
      <bottom style="thick">
        <color rgb="FFA5CEE7"/>
      </bottom>
      <diagonal/>
    </border>
    <border>
      <left/>
      <right/>
      <top/>
      <bottom style="thick">
        <color theme="4" tint="-0.499984740745262"/>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top style="thick">
        <color rgb="FFA5CEE7"/>
      </top>
      <bottom style="thin">
        <color theme="0" tint="-0.34998626667073579"/>
      </bottom>
      <diagonal/>
    </border>
    <border>
      <left/>
      <right/>
      <top style="thin">
        <color theme="0" tint="-0.34998626667073579"/>
      </top>
      <bottom style="thin">
        <color theme="0" tint="-0.34998626667073579"/>
      </bottom>
      <diagonal/>
    </border>
    <border>
      <left/>
      <right/>
      <top style="thick">
        <color theme="4" tint="0.499984740745262"/>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medium">
        <color theme="4" tint="0.39997558519241921"/>
      </top>
      <bottom style="thin">
        <color theme="0" tint="-0.34998626667073579"/>
      </bottom>
      <diagonal/>
    </border>
    <border>
      <left/>
      <right/>
      <top style="thick">
        <color theme="4"/>
      </top>
      <bottom style="thin">
        <color theme="0" tint="-0.34998626667073579"/>
      </bottom>
      <diagonal/>
    </border>
    <border>
      <left/>
      <right/>
      <top style="thick">
        <color theme="4"/>
      </top>
      <bottom/>
      <diagonal/>
    </border>
    <border>
      <left/>
      <right/>
      <top style="thick">
        <color theme="4" tint="0.499984740745262"/>
      </top>
      <bottom/>
      <diagonal/>
    </border>
  </borders>
  <cellStyleXfs count="17">
    <xf numFmtId="0" fontId="0" fillId="0" borderId="0">
      <alignment vertical="top"/>
    </xf>
    <xf numFmtId="0" fontId="22" fillId="0" borderId="0" applyNumberFormat="0" applyFill="0" applyBorder="0" applyAlignment="0" applyProtection="0"/>
    <xf numFmtId="0" fontId="12" fillId="0" borderId="1" applyNumberFormat="0" applyFill="0" applyAlignment="0" applyProtection="0"/>
    <xf numFmtId="0" fontId="14" fillId="0" borderId="2" applyNumberFormat="0" applyFill="0" applyAlignment="0" applyProtection="0"/>
    <xf numFmtId="0" fontId="4" fillId="5" borderId="7" applyNumberFormat="0" applyFont="0" applyProtection="0">
      <alignment vertical="top"/>
    </xf>
    <xf numFmtId="0" fontId="16" fillId="0" borderId="0" applyNumberFormat="0" applyFill="0" applyBorder="0" applyAlignment="0"/>
    <xf numFmtId="0" fontId="5" fillId="3" borderId="0" applyNumberFormat="0" applyBorder="0" applyAlignment="0" applyProtection="0"/>
    <xf numFmtId="0" fontId="3" fillId="4" borderId="0" applyNumberFormat="0" applyBorder="0" applyAlignment="0" applyProtection="0"/>
    <xf numFmtId="0" fontId="6" fillId="0" borderId="0"/>
    <xf numFmtId="0" fontId="13" fillId="0" borderId="10" applyNumberFormat="0" applyFill="0" applyAlignment="0" applyProtection="0"/>
    <xf numFmtId="0" fontId="8" fillId="16" borderId="4" applyNumberFormat="0" applyBorder="0" applyAlignment="0"/>
    <xf numFmtId="0" fontId="3" fillId="10" borderId="0" applyNumberFormat="0" applyBorder="0" applyAlignment="0" applyProtection="0"/>
    <xf numFmtId="0" fontId="3" fillId="12" borderId="0" applyNumberFormat="0" applyFont="0" applyBorder="0" applyAlignment="0"/>
    <xf numFmtId="0" fontId="1" fillId="0" borderId="5" applyNumberFormat="0" applyFill="0" applyAlignment="0" applyProtection="0"/>
    <xf numFmtId="0" fontId="1" fillId="0" borderId="0" applyNumberFormat="0" applyFill="0" applyBorder="0" applyAlignment="0" applyProtection="0"/>
    <xf numFmtId="0" fontId="3" fillId="17" borderId="6" applyNumberFormat="0" applyFont="0" applyBorder="0" applyAlignment="0"/>
    <xf numFmtId="0" fontId="23" fillId="0" borderId="0" applyNumberFormat="0" applyFill="0" applyBorder="0" applyAlignment="0" applyProtection="0">
      <alignment vertical="top"/>
    </xf>
  </cellStyleXfs>
  <cellXfs count="239">
    <xf numFmtId="0" fontId="0" fillId="0" borderId="0" xfId="0">
      <alignment vertical="top"/>
    </xf>
    <xf numFmtId="0" fontId="0" fillId="2" borderId="0" xfId="0" applyFill="1">
      <alignment vertical="top"/>
    </xf>
    <xf numFmtId="0" fontId="1" fillId="0" borderId="0" xfId="0" applyFont="1">
      <alignment vertical="top"/>
    </xf>
    <xf numFmtId="0" fontId="0" fillId="0" borderId="0" xfId="0" applyAlignment="1">
      <alignment horizontal="left" vertical="top" wrapText="1"/>
    </xf>
    <xf numFmtId="0" fontId="0" fillId="0" borderId="0" xfId="0" applyAlignment="1">
      <alignment vertical="top" wrapText="1"/>
    </xf>
    <xf numFmtId="0" fontId="0" fillId="6" borderId="0" xfId="0" applyFill="1">
      <alignment vertical="top"/>
    </xf>
    <xf numFmtId="0" fontId="8" fillId="7" borderId="0" xfId="0" applyFont="1" applyFill="1" applyAlignment="1">
      <alignment horizontal="left" vertical="top" wrapText="1"/>
    </xf>
    <xf numFmtId="0" fontId="7" fillId="0" borderId="0" xfId="0" applyFont="1">
      <alignment vertical="top"/>
    </xf>
    <xf numFmtId="0" fontId="0" fillId="8" borderId="0" xfId="0" applyFill="1" applyAlignment="1">
      <alignment vertical="top" wrapText="1"/>
    </xf>
    <xf numFmtId="0" fontId="0" fillId="0" borderId="0" xfId="0" applyAlignment="1">
      <alignment wrapText="1"/>
    </xf>
    <xf numFmtId="0" fontId="16" fillId="0" borderId="0" xfId="5"/>
    <xf numFmtId="0" fontId="16" fillId="0" borderId="0" xfId="5" applyAlignment="1"/>
    <xf numFmtId="0" fontId="0" fillId="0" borderId="0" xfId="0" applyAlignment="1">
      <alignment horizontal="left" indent="1"/>
    </xf>
    <xf numFmtId="0" fontId="12" fillId="0" borderId="1" xfId="2" applyAlignment="1">
      <alignment vertical="top"/>
    </xf>
    <xf numFmtId="0" fontId="12" fillId="0" borderId="1" xfId="2" applyAlignment="1">
      <alignment vertical="top" wrapText="1"/>
    </xf>
    <xf numFmtId="0" fontId="7" fillId="0" borderId="0" xfId="0" applyFont="1" applyAlignment="1">
      <alignment vertical="top" wrapText="1"/>
    </xf>
    <xf numFmtId="0" fontId="1" fillId="0" borderId="0" xfId="0" applyFont="1" applyAlignment="1">
      <alignment horizontal="center" vertical="top"/>
    </xf>
    <xf numFmtId="0" fontId="0" fillId="0" borderId="0" xfId="0" applyAlignment="1">
      <alignment horizontal="left" vertical="top" indent="1"/>
    </xf>
    <xf numFmtId="0" fontId="12" fillId="0" borderId="1" xfId="2" applyAlignment="1">
      <alignment horizontal="left" vertical="top" indent="1"/>
    </xf>
    <xf numFmtId="0" fontId="14" fillId="0" borderId="2" xfId="3" applyAlignment="1">
      <alignment horizontal="left" indent="1"/>
    </xf>
    <xf numFmtId="0" fontId="14" fillId="0" borderId="2" xfId="3" applyAlignment="1">
      <alignment vertical="top"/>
    </xf>
    <xf numFmtId="0" fontId="14" fillId="0" borderId="2" xfId="3" applyAlignment="1">
      <alignment vertical="top" wrapText="1"/>
    </xf>
    <xf numFmtId="0" fontId="16" fillId="0" borderId="0" xfId="5" applyAlignment="1">
      <alignment horizontal="left" vertical="top" indent="1"/>
    </xf>
    <xf numFmtId="0" fontId="1" fillId="0" borderId="0" xfId="0" applyFont="1" applyAlignment="1">
      <alignment horizontal="left" indent="1"/>
    </xf>
    <xf numFmtId="0" fontId="1" fillId="0" borderId="0" xfId="0" applyFont="1" applyAlignment="1">
      <alignment horizontal="left" vertical="top" indent="1"/>
    </xf>
    <xf numFmtId="0" fontId="14" fillId="0" borderId="2" xfId="3" applyAlignment="1">
      <alignment horizontal="left" vertical="top" indent="1"/>
    </xf>
    <xf numFmtId="0" fontId="16" fillId="0" borderId="0" xfId="5" applyAlignment="1">
      <alignment horizontal="left" indent="1"/>
    </xf>
    <xf numFmtId="0" fontId="0" fillId="0" borderId="0" xfId="0" applyAlignment="1">
      <alignment horizontal="left" vertical="top" wrapText="1" indent="1"/>
    </xf>
    <xf numFmtId="3" fontId="0" fillId="0" borderId="0" xfId="0" applyNumberFormat="1" applyAlignment="1">
      <alignment vertical="top" wrapText="1"/>
    </xf>
    <xf numFmtId="0" fontId="8" fillId="7" borderId="0" xfId="0" applyFont="1" applyFill="1" applyAlignment="1">
      <alignment horizontal="left" vertical="top" wrapText="1" indent="1"/>
    </xf>
    <xf numFmtId="0" fontId="16" fillId="0" borderId="0" xfId="5" applyAlignment="1">
      <alignment vertical="top"/>
    </xf>
    <xf numFmtId="0" fontId="14" fillId="0" borderId="2" xfId="3" applyAlignment="1">
      <alignment horizontal="left" vertical="top" wrapText="1"/>
    </xf>
    <xf numFmtId="0" fontId="5" fillId="0" borderId="0" xfId="0" applyFont="1" applyAlignment="1">
      <alignment horizontal="left" vertical="top" indent="1"/>
    </xf>
    <xf numFmtId="0" fontId="9" fillId="0" borderId="0" xfId="0" applyFont="1" applyAlignment="1">
      <alignment horizontal="left" vertical="top" indent="1"/>
    </xf>
    <xf numFmtId="0" fontId="22" fillId="0" borderId="0" xfId="1" applyAlignment="1">
      <alignment horizontal="left" vertical="top" wrapText="1"/>
    </xf>
    <xf numFmtId="0" fontId="22" fillId="0" borderId="0" xfId="1" applyAlignment="1">
      <alignment horizontal="left" vertical="top"/>
    </xf>
    <xf numFmtId="0" fontId="11" fillId="0" borderId="0" xfId="0" applyFont="1" applyAlignment="1">
      <alignment horizontal="left" vertical="top" wrapText="1"/>
    </xf>
    <xf numFmtId="0" fontId="9" fillId="9" borderId="0" xfId="5" applyFont="1" applyFill="1" applyAlignment="1">
      <alignment horizontal="left" vertical="top" wrapText="1"/>
    </xf>
    <xf numFmtId="0" fontId="15" fillId="16" borderId="0" xfId="5" applyFont="1" applyFill="1" applyAlignment="1">
      <alignment horizontal="left" vertical="top" wrapText="1"/>
    </xf>
    <xf numFmtId="0" fontId="0" fillId="17" borderId="6" xfId="15" applyFont="1" applyAlignment="1">
      <alignment vertical="top"/>
    </xf>
    <xf numFmtId="0" fontId="0" fillId="17" borderId="0" xfId="15" applyFont="1" applyBorder="1" applyAlignment="1">
      <alignment vertical="top"/>
    </xf>
    <xf numFmtId="0" fontId="13" fillId="0" borderId="10" xfId="9" applyAlignment="1">
      <alignment horizontal="left" indent="1"/>
    </xf>
    <xf numFmtId="0" fontId="13" fillId="0" borderId="10" xfId="9" applyAlignment="1">
      <alignment vertical="top"/>
    </xf>
    <xf numFmtId="0" fontId="13" fillId="0" borderId="10" xfId="9" applyAlignment="1">
      <alignment vertical="top" wrapText="1"/>
    </xf>
    <xf numFmtId="0" fontId="13" fillId="0" borderId="10" xfId="9" applyAlignment="1">
      <alignment horizontal="left" vertical="top" indent="1"/>
    </xf>
    <xf numFmtId="4" fontId="0" fillId="6" borderId="0" xfId="4" applyNumberFormat="1" applyFont="1" applyFill="1" applyBorder="1" applyProtection="1">
      <alignment vertical="top"/>
      <protection locked="0"/>
    </xf>
    <xf numFmtId="0" fontId="0" fillId="5" borderId="0" xfId="4" applyFont="1" applyBorder="1" applyProtection="1">
      <alignment vertical="top"/>
      <protection locked="0"/>
    </xf>
    <xf numFmtId="49" fontId="0" fillId="6" borderId="0" xfId="4" applyNumberFormat="1" applyFont="1" applyFill="1" applyBorder="1" applyAlignment="1" applyProtection="1">
      <alignment vertical="top" wrapText="1"/>
      <protection locked="0"/>
    </xf>
    <xf numFmtId="164" fontId="0" fillId="6" borderId="0" xfId="4" applyNumberFormat="1" applyFont="1" applyFill="1" applyBorder="1" applyAlignment="1" applyProtection="1">
      <alignment vertical="top" wrapText="1"/>
      <protection locked="0"/>
    </xf>
    <xf numFmtId="49" fontId="0" fillId="5" borderId="0" xfId="4" applyNumberFormat="1" applyFont="1" applyBorder="1" applyAlignment="1" applyProtection="1">
      <alignment vertical="top" wrapText="1"/>
      <protection locked="0"/>
    </xf>
    <xf numFmtId="0" fontId="0" fillId="6" borderId="0" xfId="4" applyFont="1" applyFill="1" applyBorder="1" applyAlignment="1" applyProtection="1">
      <alignment vertical="top" wrapText="1"/>
      <protection locked="0"/>
    </xf>
    <xf numFmtId="0" fontId="0" fillId="5" borderId="7" xfId="4" applyFont="1" applyAlignment="1" applyProtection="1">
      <alignment vertical="top" wrapText="1"/>
      <protection locked="0"/>
    </xf>
    <xf numFmtId="4" fontId="0" fillId="6" borderId="7" xfId="4" applyNumberFormat="1" applyFont="1" applyFill="1" applyAlignment="1" applyProtection="1">
      <alignment vertical="top" wrapText="1"/>
      <protection locked="0"/>
    </xf>
    <xf numFmtId="0" fontId="13" fillId="0" borderId="1" xfId="9" applyBorder="1" applyProtection="1"/>
    <xf numFmtId="0" fontId="12" fillId="0" borderId="1" xfId="2" applyProtection="1"/>
    <xf numFmtId="0" fontId="14" fillId="0" borderId="2" xfId="3" applyProtection="1"/>
    <xf numFmtId="0" fontId="0" fillId="13" borderId="0" xfId="0" applyFill="1">
      <alignment vertical="top"/>
    </xf>
    <xf numFmtId="0" fontId="0" fillId="5" borderId="0" xfId="0" applyFill="1">
      <alignment vertical="top"/>
    </xf>
    <xf numFmtId="2" fontId="0" fillId="17" borderId="0" xfId="15" applyNumberFormat="1" applyFont="1" applyBorder="1" applyAlignment="1">
      <alignment vertical="top"/>
    </xf>
    <xf numFmtId="0" fontId="16" fillId="0" borderId="0" xfId="5" applyAlignment="1">
      <alignment vertical="top" wrapText="1"/>
    </xf>
    <xf numFmtId="0" fontId="16" fillId="0" borderId="0" xfId="5" applyAlignment="1">
      <alignment horizontal="left" vertical="top" wrapText="1" indent="1"/>
    </xf>
    <xf numFmtId="0" fontId="8" fillId="18" borderId="0" xfId="0" applyFont="1" applyFill="1">
      <alignment vertical="top"/>
    </xf>
    <xf numFmtId="0" fontId="0" fillId="19" borderId="0" xfId="0" applyFill="1">
      <alignment vertical="top"/>
    </xf>
    <xf numFmtId="0" fontId="0" fillId="12" borderId="12" xfId="12" applyFont="1" applyBorder="1" applyAlignment="1">
      <alignment vertical="top"/>
    </xf>
    <xf numFmtId="0" fontId="0" fillId="17" borderId="13" xfId="15" applyFont="1" applyBorder="1" applyAlignment="1">
      <alignment vertical="top"/>
    </xf>
    <xf numFmtId="0" fontId="22" fillId="0" borderId="0" xfId="1" applyFill="1" applyAlignment="1">
      <alignment horizontal="left" vertical="top" wrapText="1"/>
    </xf>
    <xf numFmtId="0" fontId="18" fillId="0" borderId="0" xfId="5" applyFont="1" applyAlignment="1">
      <alignment horizontal="left" vertical="top" indent="1"/>
    </xf>
    <xf numFmtId="0" fontId="18" fillId="0" borderId="0" xfId="5" applyFont="1" applyAlignment="1">
      <alignment vertical="top"/>
    </xf>
    <xf numFmtId="0" fontId="13" fillId="0" borderId="10" xfId="9" applyAlignment="1"/>
    <xf numFmtId="0" fontId="0" fillId="0" borderId="0" xfId="0" applyAlignment="1"/>
    <xf numFmtId="0" fontId="12" fillId="0" borderId="1" xfId="2" applyAlignment="1"/>
    <xf numFmtId="0" fontId="12" fillId="0" borderId="1" xfId="2" applyAlignment="1">
      <alignment horizontal="left" indent="1"/>
    </xf>
    <xf numFmtId="0" fontId="16" fillId="0" borderId="0" xfId="5" applyFill="1" applyAlignment="1">
      <alignment vertical="top" wrapText="1"/>
    </xf>
    <xf numFmtId="0" fontId="0" fillId="12" borderId="0" xfId="12" applyNumberFormat="1" applyFont="1" applyBorder="1" applyAlignment="1">
      <alignment vertical="top" wrapText="1"/>
    </xf>
    <xf numFmtId="49" fontId="0" fillId="6" borderId="0" xfId="4" applyNumberFormat="1" applyFont="1" applyFill="1" applyBorder="1" applyAlignment="1" applyProtection="1">
      <alignment horizontal="center" vertical="top"/>
      <protection locked="0"/>
    </xf>
    <xf numFmtId="0" fontId="8" fillId="16" borderId="0" xfId="10" applyNumberFormat="1" applyBorder="1" applyAlignment="1">
      <alignment vertical="top" wrapText="1"/>
    </xf>
    <xf numFmtId="49" fontId="0" fillId="6" borderId="0" xfId="4" applyNumberFormat="1" applyFont="1" applyFill="1" applyBorder="1" applyAlignment="1" applyProtection="1">
      <alignment horizontal="center" vertical="top" wrapText="1"/>
      <protection locked="0"/>
    </xf>
    <xf numFmtId="0" fontId="8" fillId="16" borderId="0" xfId="10" applyBorder="1" applyAlignment="1">
      <alignment vertical="top"/>
    </xf>
    <xf numFmtId="0" fontId="8" fillId="16" borderId="0" xfId="10" applyNumberFormat="1" applyBorder="1" applyAlignment="1">
      <alignment vertical="top"/>
    </xf>
    <xf numFmtId="165" fontId="8" fillId="16" borderId="0" xfId="10" applyNumberFormat="1" applyBorder="1" applyAlignment="1">
      <alignment vertical="top"/>
    </xf>
    <xf numFmtId="0" fontId="0" fillId="12" borderId="0" xfId="12" applyFont="1" applyBorder="1" applyAlignment="1">
      <alignment vertical="top"/>
    </xf>
    <xf numFmtId="0" fontId="0" fillId="12" borderId="0" xfId="12" applyNumberFormat="1" applyFont="1" applyBorder="1" applyAlignment="1">
      <alignment vertical="top"/>
    </xf>
    <xf numFmtId="0" fontId="0" fillId="12" borderId="0" xfId="12" applyFont="1" applyBorder="1" applyAlignment="1">
      <alignment horizontal="left" vertical="top" indent="1"/>
    </xf>
    <xf numFmtId="0" fontId="18" fillId="0" borderId="0" xfId="5" applyFont="1" applyAlignment="1">
      <alignment horizontal="left" indent="1"/>
    </xf>
    <xf numFmtId="0" fontId="18" fillId="0" borderId="0" xfId="5" applyFont="1" applyFill="1" applyAlignment="1">
      <alignment horizontal="left" indent="1"/>
    </xf>
    <xf numFmtId="165" fontId="8" fillId="16" borderId="12" xfId="10" applyNumberFormat="1" applyBorder="1" applyAlignment="1">
      <alignment vertical="top"/>
    </xf>
    <xf numFmtId="0" fontId="13" fillId="0" borderId="10" xfId="9" applyAlignment="1">
      <alignment horizontal="center" vertical="top"/>
    </xf>
    <xf numFmtId="0" fontId="0" fillId="0" borderId="0" xfId="0" applyAlignment="1">
      <alignment horizontal="center" vertical="top"/>
    </xf>
    <xf numFmtId="0" fontId="12" fillId="0" borderId="1" xfId="2" applyAlignment="1">
      <alignment horizontal="center" vertical="top"/>
    </xf>
    <xf numFmtId="0" fontId="14" fillId="0" borderId="2" xfId="3" applyAlignment="1">
      <alignment horizontal="center" vertical="top"/>
    </xf>
    <xf numFmtId="0" fontId="7" fillId="0" borderId="0" xfId="0" applyFont="1" applyAlignment="1">
      <alignment horizontal="center" vertical="top"/>
    </xf>
    <xf numFmtId="0" fontId="8" fillId="0" borderId="0" xfId="0" applyFont="1">
      <alignment vertical="top"/>
    </xf>
    <xf numFmtId="165" fontId="8" fillId="16" borderId="4" xfId="10" applyNumberFormat="1" applyAlignment="1">
      <alignment vertical="top"/>
    </xf>
    <xf numFmtId="4" fontId="8" fillId="16" borderId="4" xfId="10" applyNumberFormat="1" applyAlignment="1">
      <alignment vertical="top"/>
    </xf>
    <xf numFmtId="3" fontId="0" fillId="0" borderId="0" xfId="0" applyNumberFormat="1">
      <alignment vertical="top"/>
    </xf>
    <xf numFmtId="0" fontId="0" fillId="12" borderId="3" xfId="12" applyFont="1" applyBorder="1" applyAlignment="1">
      <alignment horizontal="left" vertical="top" indent="1"/>
    </xf>
    <xf numFmtId="0" fontId="16" fillId="0" borderId="0" xfId="5" applyAlignment="1">
      <alignment horizontal="center" vertical="top" wrapText="1"/>
    </xf>
    <xf numFmtId="0" fontId="16" fillId="0" borderId="0" xfId="5" applyFill="1" applyAlignment="1">
      <alignment horizontal="center" vertical="top" wrapText="1"/>
    </xf>
    <xf numFmtId="0" fontId="5" fillId="0" borderId="0" xfId="0" applyFont="1">
      <alignment vertical="top"/>
    </xf>
    <xf numFmtId="0" fontId="7" fillId="6" borderId="0" xfId="6" applyFont="1" applyFill="1" applyAlignment="1">
      <alignment vertical="top"/>
    </xf>
    <xf numFmtId="0" fontId="7" fillId="6" borderId="0" xfId="7" applyFont="1" applyFill="1" applyAlignment="1">
      <alignment vertical="top"/>
    </xf>
    <xf numFmtId="0" fontId="1" fillId="6" borderId="0" xfId="0" applyFont="1" applyFill="1" applyAlignment="1">
      <alignment horizontal="left" vertical="top" indent="1"/>
    </xf>
    <xf numFmtId="165" fontId="8" fillId="16" borderId="11" xfId="10" applyNumberFormat="1" applyBorder="1" applyAlignment="1">
      <alignment vertical="top"/>
    </xf>
    <xf numFmtId="49" fontId="0" fillId="11" borderId="0" xfId="4" applyNumberFormat="1" applyFont="1" applyFill="1" applyBorder="1" applyAlignment="1" applyProtection="1">
      <alignment vertical="top" wrapText="1"/>
      <protection locked="0"/>
    </xf>
    <xf numFmtId="0" fontId="8" fillId="16" borderId="0" xfId="10" applyBorder="1" applyAlignment="1">
      <alignment vertical="top" wrapText="1"/>
    </xf>
    <xf numFmtId="164" fontId="0" fillId="11" borderId="0" xfId="4" applyNumberFormat="1" applyFont="1" applyFill="1" applyBorder="1" applyAlignment="1" applyProtection="1">
      <alignment vertical="top" wrapText="1"/>
      <protection locked="0"/>
    </xf>
    <xf numFmtId="0" fontId="0" fillId="8" borderId="0" xfId="0" applyFill="1" applyAlignment="1">
      <alignment horizontal="left" vertical="top" wrapText="1" indent="1"/>
    </xf>
    <xf numFmtId="0" fontId="0" fillId="8" borderId="0" xfId="0" applyFill="1" applyAlignment="1">
      <alignment horizontal="left" vertical="top" wrapText="1"/>
    </xf>
    <xf numFmtId="49" fontId="0" fillId="6" borderId="0" xfId="0" applyNumberFormat="1" applyFill="1" applyAlignment="1" applyProtection="1">
      <alignment vertical="top" wrapText="1"/>
      <protection locked="0"/>
    </xf>
    <xf numFmtId="0" fontId="7" fillId="0" borderId="0" xfId="0" applyFont="1" applyAlignment="1">
      <alignment horizontal="left" vertical="top" wrapText="1"/>
    </xf>
    <xf numFmtId="0" fontId="8" fillId="8" borderId="0" xfId="0" applyFont="1" applyFill="1" applyAlignment="1">
      <alignment horizontal="left" vertical="top" wrapText="1"/>
    </xf>
    <xf numFmtId="0" fontId="7" fillId="15" borderId="0" xfId="10" applyFont="1" applyFill="1" applyBorder="1" applyAlignment="1">
      <alignment horizontal="left" vertical="top" wrapText="1"/>
    </xf>
    <xf numFmtId="0" fontId="12" fillId="0" borderId="1" xfId="2" applyFill="1" applyAlignment="1">
      <alignment horizontal="left" vertical="top" indent="1"/>
    </xf>
    <xf numFmtId="49" fontId="0" fillId="6" borderId="0" xfId="4" applyNumberFormat="1" applyFont="1" applyFill="1" applyBorder="1" applyProtection="1">
      <alignment vertical="top"/>
      <protection locked="0"/>
    </xf>
    <xf numFmtId="0" fontId="11" fillId="0" borderId="17" xfId="0" applyFont="1" applyBorder="1" applyAlignment="1">
      <alignment horizontal="left" vertical="top" wrapText="1"/>
    </xf>
    <xf numFmtId="0" fontId="7" fillId="0" borderId="17"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 fillId="0" borderId="16" xfId="0" applyFont="1" applyBorder="1" applyAlignment="1">
      <alignment horizontal="left" vertical="top" wrapText="1" indent="1"/>
    </xf>
    <xf numFmtId="0" fontId="1" fillId="0" borderId="15" xfId="0" applyFont="1" applyBorder="1" applyAlignment="1">
      <alignment horizontal="left" vertical="top" wrapText="1" indent="1"/>
    </xf>
    <xf numFmtId="0" fontId="1" fillId="0" borderId="19" xfId="0" applyFont="1" applyBorder="1">
      <alignment vertical="top"/>
    </xf>
    <xf numFmtId="0" fontId="1" fillId="0" borderId="15" xfId="0" applyFont="1" applyBorder="1">
      <alignment vertical="top"/>
    </xf>
    <xf numFmtId="0" fontId="0" fillId="0" borderId="15" xfId="0" applyBorder="1">
      <alignment vertical="top"/>
    </xf>
    <xf numFmtId="0" fontId="1" fillId="0" borderId="19" xfId="0" applyFont="1" applyBorder="1" applyAlignment="1">
      <alignment horizontal="left" vertical="top" wrapText="1" indent="1"/>
    </xf>
    <xf numFmtId="0" fontId="1" fillId="0" borderId="19" xfId="0" applyFont="1" applyBorder="1" applyAlignment="1">
      <alignment horizontal="center" vertical="top"/>
    </xf>
    <xf numFmtId="0" fontId="0" fillId="0" borderId="19" xfId="0" applyBorder="1" applyAlignment="1">
      <alignment vertical="top" wrapText="1"/>
    </xf>
    <xf numFmtId="0" fontId="1" fillId="0" borderId="15" xfId="0" applyFont="1" applyBorder="1" applyAlignment="1">
      <alignment horizontal="center" vertical="top"/>
    </xf>
    <xf numFmtId="0" fontId="0" fillId="0" borderId="15" xfId="0" applyBorder="1" applyAlignment="1">
      <alignment vertical="top" wrapText="1"/>
    </xf>
    <xf numFmtId="0" fontId="7" fillId="0" borderId="15" xfId="0" applyFont="1" applyBorder="1" applyAlignment="1">
      <alignment vertical="top" wrapText="1"/>
    </xf>
    <xf numFmtId="0" fontId="9" fillId="0" borderId="19" xfId="0" applyFont="1" applyBorder="1" applyAlignment="1">
      <alignment horizontal="center" vertical="top"/>
    </xf>
    <xf numFmtId="0" fontId="7" fillId="0" borderId="19" xfId="0" applyFont="1" applyBorder="1" applyAlignment="1">
      <alignment vertical="top" wrapText="1"/>
    </xf>
    <xf numFmtId="0" fontId="1" fillId="0" borderId="19" xfId="0" applyFont="1" applyBorder="1" applyAlignment="1">
      <alignment vertical="top" wrapText="1"/>
    </xf>
    <xf numFmtId="0" fontId="1" fillId="0" borderId="15" xfId="0" applyFont="1" applyBorder="1" applyAlignment="1">
      <alignment vertical="top" wrapText="1"/>
    </xf>
    <xf numFmtId="0" fontId="7" fillId="0" borderId="19" xfId="0" applyFont="1" applyBorder="1">
      <alignment vertical="top"/>
    </xf>
    <xf numFmtId="0" fontId="16" fillId="0" borderId="15" xfId="5" applyBorder="1" applyAlignment="1">
      <alignment horizontal="right" vertical="top" indent="1"/>
    </xf>
    <xf numFmtId="0" fontId="0" fillId="6" borderId="15" xfId="0" applyFill="1" applyBorder="1" applyAlignment="1">
      <alignment horizontal="center" vertical="top"/>
    </xf>
    <xf numFmtId="0" fontId="9" fillId="0" borderId="15" xfId="0" applyFont="1" applyBorder="1" applyAlignment="1">
      <alignment vertical="top" wrapText="1"/>
    </xf>
    <xf numFmtId="0" fontId="9" fillId="0" borderId="15" xfId="0" applyFont="1" applyBorder="1" applyAlignment="1">
      <alignment horizontal="center" vertical="top"/>
    </xf>
    <xf numFmtId="0" fontId="1" fillId="0" borderId="19" xfId="0" applyFont="1" applyBorder="1" applyAlignment="1">
      <alignment horizontal="left" wrapText="1" indent="1"/>
    </xf>
    <xf numFmtId="0" fontId="1" fillId="0" borderId="15" xfId="0" applyFont="1" applyBorder="1" applyAlignment="1">
      <alignment horizontal="left" wrapText="1" indent="1"/>
    </xf>
    <xf numFmtId="0" fontId="1" fillId="0" borderId="18" xfId="0" applyFont="1" applyBorder="1" applyAlignment="1">
      <alignment horizontal="left" vertical="top" wrapText="1" indent="1"/>
    </xf>
    <xf numFmtId="0" fontId="1" fillId="0" borderId="18" xfId="0" applyFont="1" applyBorder="1" applyAlignment="1">
      <alignment horizontal="center" vertical="top"/>
    </xf>
    <xf numFmtId="0" fontId="1" fillId="0" borderId="18" xfId="0" applyFont="1" applyBorder="1" applyAlignment="1">
      <alignment vertical="top" wrapText="1"/>
    </xf>
    <xf numFmtId="0" fontId="8" fillId="0" borderId="0" xfId="0" applyFont="1" applyAlignment="1">
      <alignment horizontal="left" vertical="top" indent="1"/>
    </xf>
    <xf numFmtId="0" fontId="8" fillId="0" borderId="0" xfId="0" applyFont="1" applyAlignment="1">
      <alignment horizontal="center" vertical="top"/>
    </xf>
    <xf numFmtId="0" fontId="8" fillId="0" borderId="17" xfId="0" applyFont="1" applyBorder="1" applyAlignment="1">
      <alignment horizontal="left" vertical="top" indent="1"/>
    </xf>
    <xf numFmtId="0" fontId="8" fillId="0" borderId="17" xfId="0" applyFont="1" applyBorder="1" applyAlignment="1">
      <alignment horizontal="center" vertical="top"/>
    </xf>
    <xf numFmtId="0" fontId="0" fillId="0" borderId="17" xfId="0" applyBorder="1" applyAlignment="1">
      <alignment vertical="top" wrapText="1"/>
    </xf>
    <xf numFmtId="0" fontId="9" fillId="0" borderId="18" xfId="0" applyFont="1" applyBorder="1" applyAlignment="1">
      <alignment vertical="top" wrapText="1"/>
    </xf>
    <xf numFmtId="0" fontId="22" fillId="0" borderId="17" xfId="1" applyFill="1" applyBorder="1" applyAlignment="1">
      <alignment vertical="top" wrapText="1"/>
    </xf>
    <xf numFmtId="0" fontId="8" fillId="0" borderId="0" xfId="0" applyFont="1" applyAlignment="1">
      <alignment horizontal="left" vertical="top" wrapText="1" indent="1"/>
    </xf>
    <xf numFmtId="0" fontId="8" fillId="0" borderId="17" xfId="0" applyFont="1" applyBorder="1" applyAlignment="1">
      <alignment horizontal="left" vertical="top" wrapText="1" indent="1"/>
    </xf>
    <xf numFmtId="0" fontId="7" fillId="0" borderId="17" xfId="0" applyFont="1" applyBorder="1" applyAlignment="1">
      <alignment vertical="top" wrapText="1"/>
    </xf>
    <xf numFmtId="0" fontId="1" fillId="0" borderId="18" xfId="0" applyFont="1" applyBorder="1" applyAlignment="1">
      <alignment horizontal="left" wrapText="1" indent="1"/>
    </xf>
    <xf numFmtId="0" fontId="8" fillId="0" borderId="0" xfId="0" applyFont="1" applyAlignment="1">
      <alignment horizontal="left" indent="1"/>
    </xf>
    <xf numFmtId="0" fontId="10" fillId="0" borderId="0" xfId="0" applyFont="1" applyAlignment="1">
      <alignment vertical="top" wrapText="1"/>
    </xf>
    <xf numFmtId="0" fontId="8" fillId="0" borderId="17" xfId="0" applyFont="1" applyBorder="1" applyAlignment="1">
      <alignment horizontal="left" indent="1"/>
    </xf>
    <xf numFmtId="0" fontId="10" fillId="0" borderId="17" xfId="0" applyFont="1" applyBorder="1" applyAlignment="1">
      <alignment vertical="top" wrapText="1"/>
    </xf>
    <xf numFmtId="0" fontId="1" fillId="20" borderId="18" xfId="0" applyFont="1" applyFill="1" applyBorder="1" applyAlignment="1">
      <alignment horizontal="left" wrapText="1" indent="1"/>
    </xf>
    <xf numFmtId="0" fontId="9" fillId="20" borderId="18" xfId="0" applyFont="1" applyFill="1" applyBorder="1" applyAlignment="1">
      <alignment horizontal="left" wrapText="1" indent="1"/>
    </xf>
    <xf numFmtId="0" fontId="16" fillId="0" borderId="20" xfId="5" applyBorder="1" applyAlignment="1">
      <alignment horizontal="right" vertical="top" indent="1"/>
    </xf>
    <xf numFmtId="0" fontId="0" fillId="6" borderId="20" xfId="0" applyFill="1" applyBorder="1" applyAlignment="1">
      <alignment horizontal="center" vertical="top"/>
    </xf>
    <xf numFmtId="0" fontId="7" fillId="0" borderId="20" xfId="0" applyFont="1" applyBorder="1" applyAlignment="1">
      <alignment vertical="top" wrapText="1"/>
    </xf>
    <xf numFmtId="165" fontId="0" fillId="6" borderId="15" xfId="0" applyNumberFormat="1" applyFill="1" applyBorder="1" applyAlignment="1">
      <alignment horizontal="center" vertical="top"/>
    </xf>
    <xf numFmtId="0" fontId="0" fillId="0" borderId="20" xfId="0" applyBorder="1" applyAlignment="1">
      <alignment vertical="top" wrapText="1"/>
    </xf>
    <xf numFmtId="0" fontId="7" fillId="0" borderId="20" xfId="0" applyFont="1" applyBorder="1">
      <alignment vertical="top"/>
    </xf>
    <xf numFmtId="0" fontId="14" fillId="0" borderId="2" xfId="3" applyAlignment="1">
      <alignment wrapText="1"/>
    </xf>
    <xf numFmtId="0" fontId="22" fillId="0" borderId="17" xfId="1" applyFill="1" applyBorder="1" applyAlignment="1">
      <alignment horizontal="left" vertical="top" wrapText="1"/>
    </xf>
    <xf numFmtId="0" fontId="5" fillId="0" borderId="0" xfId="0" applyFont="1" applyAlignment="1">
      <alignment vertical="top" wrapText="1"/>
    </xf>
    <xf numFmtId="0" fontId="14" fillId="0" borderId="2" xfId="3" applyFill="1" applyProtection="1"/>
    <xf numFmtId="0" fontId="19" fillId="0" borderId="10" xfId="9" applyFont="1" applyAlignment="1">
      <alignment horizontal="left" vertical="top" indent="1"/>
    </xf>
    <xf numFmtId="0" fontId="19" fillId="0" borderId="10" xfId="9" applyFont="1" applyAlignment="1">
      <alignment vertical="top"/>
    </xf>
    <xf numFmtId="0" fontId="3" fillId="0" borderId="0" xfId="0" applyFont="1">
      <alignment vertical="top"/>
    </xf>
    <xf numFmtId="0" fontId="3" fillId="0" borderId="0" xfId="0" applyFont="1" applyAlignment="1">
      <alignment horizontal="left" vertical="top" indent="1"/>
    </xf>
    <xf numFmtId="0" fontId="3" fillId="0" borderId="0" xfId="0" applyFont="1" applyAlignment="1">
      <alignment horizontal="left" vertical="top" wrapText="1"/>
    </xf>
    <xf numFmtId="0" fontId="12" fillId="0" borderId="1" xfId="2" applyAlignment="1">
      <alignment horizontal="left" vertical="top" wrapText="1"/>
    </xf>
    <xf numFmtId="0" fontId="3" fillId="0" borderId="0" xfId="0" applyFont="1" applyAlignment="1">
      <alignment horizontal="left" vertical="top"/>
    </xf>
    <xf numFmtId="0" fontId="3" fillId="0" borderId="16" xfId="0" applyFont="1" applyBorder="1" applyAlignment="1">
      <alignment horizontal="left" vertical="top" wrapText="1"/>
    </xf>
    <xf numFmtId="0" fontId="3" fillId="0" borderId="15" xfId="0" applyFont="1" applyBorder="1" applyAlignment="1">
      <alignment horizontal="left" vertical="top" wrapText="1"/>
    </xf>
    <xf numFmtId="0" fontId="3" fillId="0" borderId="21" xfId="0" applyFont="1" applyBorder="1" applyAlignment="1">
      <alignment vertical="top" wrapText="1"/>
    </xf>
    <xf numFmtId="0" fontId="3" fillId="0" borderId="15" xfId="0" applyFont="1" applyBorder="1" applyAlignment="1">
      <alignment vertical="top" wrapText="1"/>
    </xf>
    <xf numFmtId="0" fontId="3" fillId="0" borderId="15" xfId="11" applyFill="1" applyBorder="1" applyAlignment="1">
      <alignment horizontal="left" vertical="top" wrapText="1"/>
    </xf>
    <xf numFmtId="0" fontId="2" fillId="0" borderId="0" xfId="1" applyFont="1" applyAlignment="1">
      <alignment horizontal="left" vertical="top" wrapText="1"/>
    </xf>
    <xf numFmtId="0" fontId="14" fillId="0" borderId="2" xfId="3" applyFill="1" applyAlignment="1">
      <alignment horizontal="left" vertical="top" indent="1"/>
    </xf>
    <xf numFmtId="0" fontId="14" fillId="0" borderId="2" xfId="3" applyFill="1" applyAlignment="1">
      <alignment horizontal="left" vertical="top" wrapText="1"/>
    </xf>
    <xf numFmtId="0" fontId="3" fillId="0" borderId="0" xfId="11" applyFill="1" applyAlignment="1">
      <alignment horizontal="left" vertical="top" wrapText="1"/>
    </xf>
    <xf numFmtId="164" fontId="3" fillId="0" borderId="0" xfId="11" applyNumberFormat="1" applyFill="1" applyAlignment="1">
      <alignment horizontal="left" vertical="top" wrapText="1"/>
    </xf>
    <xf numFmtId="0" fontId="14" fillId="0" borderId="2" xfId="3" applyAlignment="1">
      <alignment horizontal="left" vertical="top"/>
    </xf>
    <xf numFmtId="0" fontId="3" fillId="5" borderId="0" xfId="4" applyFont="1" applyBorder="1" applyAlignment="1">
      <alignment horizontal="left" vertical="top" wrapText="1"/>
    </xf>
    <xf numFmtId="0" fontId="3" fillId="11" borderId="0" xfId="4" applyFont="1" applyFill="1" applyBorder="1" applyAlignment="1">
      <alignment horizontal="left" vertical="top" wrapText="1"/>
    </xf>
    <xf numFmtId="0" fontId="3" fillId="0" borderId="19" xfId="0" applyFont="1" applyBorder="1" applyAlignment="1">
      <alignment horizontal="left" vertical="top" wrapText="1" indent="1"/>
    </xf>
    <xf numFmtId="0" fontId="3" fillId="0" borderId="19" xfId="0" applyFont="1" applyBorder="1">
      <alignment vertical="top"/>
    </xf>
    <xf numFmtId="0" fontId="3" fillId="0" borderId="15" xfId="0" applyFont="1" applyBorder="1" applyAlignment="1">
      <alignment horizontal="left" vertical="top" wrapText="1" indent="1"/>
    </xf>
    <xf numFmtId="0" fontId="3" fillId="0" borderId="15" xfId="0" applyFont="1" applyBorder="1">
      <alignment vertical="top"/>
    </xf>
    <xf numFmtId="0" fontId="3" fillId="6" borderId="20" xfId="0" applyFont="1" applyFill="1" applyBorder="1">
      <alignment vertical="top"/>
    </xf>
    <xf numFmtId="0" fontId="4" fillId="5" borderId="7" xfId="4" applyFont="1" applyProtection="1">
      <alignment vertical="top"/>
      <protection locked="0"/>
    </xf>
    <xf numFmtId="0" fontId="19" fillId="0" borderId="10" xfId="9" applyFont="1" applyFill="1" applyAlignment="1">
      <alignment horizontal="left" vertical="top" indent="1"/>
    </xf>
    <xf numFmtId="0" fontId="19" fillId="0" borderId="10" xfId="9" applyFont="1" applyFill="1" applyAlignment="1">
      <alignment vertical="top"/>
    </xf>
    <xf numFmtId="0" fontId="20" fillId="0" borderId="8" xfId="2" applyFont="1" applyFill="1" applyBorder="1" applyAlignment="1">
      <alignment horizontal="left" vertical="top" indent="1"/>
    </xf>
    <xf numFmtId="0" fontId="12" fillId="0" borderId="1" xfId="2" applyFill="1" applyAlignment="1">
      <alignment vertical="top"/>
    </xf>
    <xf numFmtId="0" fontId="20" fillId="0" borderId="8" xfId="2" applyFont="1" applyFill="1" applyBorder="1" applyAlignment="1">
      <alignment vertical="top"/>
    </xf>
    <xf numFmtId="0" fontId="3" fillId="0" borderId="0" xfId="0" applyFont="1" applyAlignment="1">
      <alignment horizontal="left" vertical="top" wrapText="1" indent="1"/>
    </xf>
    <xf numFmtId="0" fontId="21" fillId="0" borderId="9" xfId="3" applyFont="1" applyFill="1" applyBorder="1" applyAlignment="1">
      <alignment horizontal="left" vertical="top" indent="1"/>
    </xf>
    <xf numFmtId="0" fontId="21" fillId="0" borderId="9" xfId="3" applyFont="1" applyFill="1" applyBorder="1" applyAlignment="1">
      <alignment vertical="top"/>
    </xf>
    <xf numFmtId="0" fontId="3" fillId="14" borderId="0" xfId="0" applyFont="1" applyFill="1" applyAlignment="1">
      <alignment horizontal="left" vertical="top" indent="1"/>
    </xf>
    <xf numFmtId="0" fontId="3" fillId="14" borderId="14" xfId="0" applyFont="1" applyFill="1" applyBorder="1" applyAlignment="1">
      <alignment horizontal="left" vertical="top" indent="1"/>
    </xf>
    <xf numFmtId="0" fontId="7" fillId="0" borderId="14" xfId="0" applyFont="1" applyBorder="1" applyAlignment="1">
      <alignment vertical="top" wrapText="1"/>
    </xf>
    <xf numFmtId="0" fontId="3" fillId="14" borderId="15" xfId="0" applyFont="1" applyFill="1" applyBorder="1" applyAlignment="1">
      <alignment horizontal="left" vertical="top" indent="1"/>
    </xf>
    <xf numFmtId="0" fontId="7" fillId="14" borderId="14" xfId="0" applyFont="1" applyFill="1" applyBorder="1" applyAlignment="1">
      <alignment horizontal="left" vertical="top" indent="1"/>
    </xf>
    <xf numFmtId="0" fontId="7" fillId="14" borderId="15" xfId="0" applyFont="1" applyFill="1" applyBorder="1" applyAlignment="1">
      <alignment horizontal="left" vertical="top" indent="1"/>
    </xf>
    <xf numFmtId="0" fontId="3" fillId="0" borderId="0" xfId="0" applyFont="1" applyAlignment="1">
      <alignment vertical="top" wrapText="1"/>
    </xf>
    <xf numFmtId="0" fontId="3" fillId="0" borderId="14" xfId="0" applyFont="1" applyBorder="1" applyAlignment="1">
      <alignment vertical="top" wrapText="1"/>
    </xf>
    <xf numFmtId="0" fontId="3" fillId="12" borderId="0" xfId="12" applyFont="1" applyAlignment="1">
      <alignment horizontal="left" vertical="top" indent="1"/>
    </xf>
    <xf numFmtId="0" fontId="3" fillId="6" borderId="0" xfId="12" applyFont="1" applyFill="1" applyAlignment="1">
      <alignment vertical="top"/>
    </xf>
    <xf numFmtId="0" fontId="5" fillId="16" borderId="0" xfId="10" applyFont="1" applyBorder="1" applyAlignment="1">
      <alignment vertical="top" wrapText="1"/>
    </xf>
    <xf numFmtId="0" fontId="5" fillId="16" borderId="0" xfId="10" applyNumberFormat="1" applyFont="1" applyBorder="1" applyAlignment="1">
      <alignment vertical="top" wrapText="1"/>
    </xf>
    <xf numFmtId="0" fontId="5" fillId="16" borderId="0" xfId="10" applyFont="1" applyBorder="1" applyAlignment="1">
      <alignment horizontal="left" vertical="top" wrapText="1"/>
    </xf>
    <xf numFmtId="4" fontId="8" fillId="16" borderId="0" xfId="10" applyNumberFormat="1" applyBorder="1" applyAlignment="1">
      <alignment vertical="top"/>
    </xf>
    <xf numFmtId="0" fontId="22" fillId="0" borderId="0" xfId="1" applyAlignment="1">
      <alignment horizontal="left" vertical="center"/>
    </xf>
    <xf numFmtId="0" fontId="18" fillId="0" borderId="0" xfId="5" applyFont="1" applyAlignment="1">
      <alignment horizontal="left" vertical="center"/>
    </xf>
    <xf numFmtId="0" fontId="1" fillId="0" borderId="16" xfId="0" applyFont="1" applyBorder="1" applyAlignment="1">
      <alignment horizontal="left" vertical="top" indent="1"/>
    </xf>
    <xf numFmtId="0" fontId="1" fillId="0" borderId="15" xfId="0" applyFont="1" applyBorder="1" applyAlignment="1">
      <alignment horizontal="left" vertical="top" indent="1"/>
    </xf>
    <xf numFmtId="0" fontId="18" fillId="0" borderId="22" xfId="5" applyFont="1" applyBorder="1" applyAlignment="1">
      <alignment vertical="top"/>
    </xf>
    <xf numFmtId="0" fontId="0" fillId="0" borderId="22" xfId="0" applyBorder="1" applyAlignment="1">
      <alignment vertical="top" wrapText="1"/>
    </xf>
    <xf numFmtId="0" fontId="18" fillId="0" borderId="17" xfId="5" applyFont="1" applyBorder="1" applyAlignment="1">
      <alignment vertical="top"/>
    </xf>
    <xf numFmtId="0" fontId="22" fillId="0" borderId="15" xfId="1" applyBorder="1" applyAlignment="1">
      <alignment horizontal="left" vertical="top" wrapText="1"/>
    </xf>
    <xf numFmtId="0" fontId="24" fillId="0" borderId="15" xfId="0" applyFont="1" applyBorder="1" applyAlignment="1">
      <alignment horizontal="left" vertical="center" indent="1"/>
    </xf>
    <xf numFmtId="0" fontId="1" fillId="0" borderId="18" xfId="0" applyFont="1" applyBorder="1" applyAlignment="1">
      <alignment horizontal="left" vertical="top" indent="1"/>
    </xf>
    <xf numFmtId="0" fontId="22" fillId="0" borderId="18" xfId="1" applyBorder="1" applyAlignment="1">
      <alignment vertical="top"/>
    </xf>
    <xf numFmtId="0" fontId="1" fillId="0" borderId="17" xfId="0" applyFont="1" applyBorder="1" applyAlignment="1">
      <alignment horizontal="left" vertical="top" indent="1"/>
    </xf>
    <xf numFmtId="0" fontId="22" fillId="0" borderId="17" xfId="1" applyBorder="1" applyAlignment="1">
      <alignment horizontal="left" vertical="top" wrapText="1"/>
    </xf>
    <xf numFmtId="0" fontId="24" fillId="0" borderId="17" xfId="0" applyFont="1" applyBorder="1" applyAlignment="1">
      <alignment horizontal="left" vertical="center" indent="1"/>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19" fillId="0" borderId="10" xfId="9" applyFont="1" applyAlignment="1">
      <alignment horizontal="left" indent="1"/>
    </xf>
    <xf numFmtId="0" fontId="19" fillId="0" borderId="10" xfId="9" applyFont="1" applyAlignment="1">
      <alignment horizontal="right" vertical="top" wrapText="1"/>
    </xf>
    <xf numFmtId="0" fontId="16" fillId="0" borderId="0" xfId="5" applyAlignment="1">
      <alignment horizontal="center" vertical="top"/>
    </xf>
    <xf numFmtId="0" fontId="16" fillId="0" borderId="0" xfId="5" applyAlignment="1">
      <alignment horizontal="center" wrapText="1"/>
    </xf>
    <xf numFmtId="0" fontId="16" fillId="0" borderId="0" xfId="5" applyAlignment="1">
      <alignment horizontal="center"/>
    </xf>
  </cellXfs>
  <cellStyles count="17">
    <cellStyle name="20% - Accent3" xfId="7" builtinId="38"/>
    <cellStyle name="60% - Accent3" xfId="11" builtinId="40"/>
    <cellStyle name="Accent3" xfId="6" builtinId="37"/>
    <cellStyle name="Check Cell" xfId="10" builtinId="23" customBuiltin="1"/>
    <cellStyle name="Explanatory Text" xfId="5" builtinId="53" customBuiltin="1"/>
    <cellStyle name="Followed Hyperlink" xfId="16" builtinId="9" customBuiltin="1"/>
    <cellStyle name="Heading 1" xfId="2" builtinId="16" customBuiltin="1"/>
    <cellStyle name="Heading 2" xfId="3" builtinId="17" customBuiltin="1"/>
    <cellStyle name="Heading 3" xfId="13" builtinId="18" customBuiltin="1"/>
    <cellStyle name="Heading 4" xfId="14" builtinId="19" customBuiltin="1"/>
    <cellStyle name="Hyperlink" xfId="1" builtinId="8" customBuiltin="1"/>
    <cellStyle name="Input" xfId="4" builtinId="20" customBuiltin="1"/>
    <cellStyle name="Linked Cell" xfId="12" builtinId="24" customBuiltin="1"/>
    <cellStyle name="Normal" xfId="0" builtinId="0" customBuiltin="1"/>
    <cellStyle name="Normal 2" xfId="8" xr:uid="{20437EB8-DAA5-4B9D-A370-BE52A16F90AE}"/>
    <cellStyle name="Note" xfId="15" builtinId="10" customBuiltin="1"/>
    <cellStyle name="Title" xfId="9" builtinId="15" customBuiltin="1"/>
  </cellStyles>
  <dxfs count="259">
    <dxf>
      <font>
        <b/>
        <i val="0"/>
        <color rgb="FF000000"/>
      </font>
      <fill>
        <patternFill>
          <bgColor rgb="FFFFFF00"/>
        </patternFill>
      </fill>
    </dxf>
    <dxf>
      <font>
        <b/>
        <i val="0"/>
        <color rgb="FF000000"/>
      </font>
      <fill>
        <patternFill>
          <bgColor rgb="FFFFFF00"/>
        </patternFill>
      </fill>
    </dxf>
    <dxf>
      <font>
        <b/>
        <i val="0"/>
        <color rgb="FF000000"/>
      </font>
      <fill>
        <patternFill>
          <bgColor rgb="FFFFFF00"/>
        </patternFill>
      </fill>
    </dxf>
    <dxf>
      <font>
        <b/>
        <i val="0"/>
        <color rgb="FF000000"/>
      </font>
      <fill>
        <patternFill>
          <bgColor rgb="FFFFFF00"/>
        </patternFill>
      </fill>
    </dxf>
    <dxf>
      <font>
        <b/>
        <i val="0"/>
        <color rgb="FF000000"/>
      </font>
      <fill>
        <patternFill>
          <bgColor rgb="FFFFFF00"/>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rgb="FFFFFF00"/>
      </font>
      <fill>
        <patternFill>
          <bgColor theme="1" tint="0.34998626667073579"/>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ont>
        <b val="0"/>
        <i val="0"/>
        <color theme="1"/>
      </font>
      <fill>
        <patternFill>
          <bgColor theme="4" tint="0.79998168889431442"/>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ont>
        <b/>
        <i val="0"/>
        <color theme="1"/>
      </font>
      <fill>
        <patternFill>
          <bgColor rgb="FFFFFF00"/>
        </patternFill>
      </fill>
    </dxf>
    <dxf>
      <fill>
        <patternFill>
          <bgColor theme="8" tint="0.79998168889431442"/>
        </patternFill>
      </fill>
    </dxf>
    <dxf>
      <font>
        <b/>
        <i val="0"/>
        <color rgb="FFFFFF00"/>
      </font>
      <fill>
        <patternFill>
          <bgColor theme="1" tint="0.34998626667073579"/>
        </patternFill>
      </fill>
    </dxf>
    <dxf>
      <font>
        <b/>
        <i val="0"/>
        <color theme="1"/>
      </font>
      <fill>
        <patternFill>
          <bgColor rgb="FFFFFF00"/>
        </patternFill>
      </fill>
    </dxf>
    <dxf>
      <font>
        <color theme="1"/>
      </font>
      <fill>
        <patternFill>
          <bgColor rgb="FFFFFF00"/>
        </patternFill>
      </fill>
    </dxf>
    <dxf>
      <fill>
        <patternFill patternType="solid">
          <bgColor theme="0" tint="-0.34998626667073579"/>
        </patternFill>
      </fill>
    </dxf>
    <dxf>
      <fill>
        <patternFill>
          <bgColor theme="8" tint="0.79998168889431442"/>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ont>
        <b/>
        <i val="0"/>
        <color theme="1"/>
      </font>
      <fill>
        <patternFill>
          <bgColor rgb="FFFFFF00"/>
        </patternFill>
      </fill>
    </dxf>
    <dxf>
      <font>
        <b/>
        <i val="0"/>
        <color rgb="FFFFFF00"/>
      </font>
      <fill>
        <patternFill>
          <bgColor theme="1" tint="0.34998626667073579"/>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ont>
        <b val="0"/>
        <i val="0"/>
        <color theme="1"/>
      </font>
      <fill>
        <patternFill>
          <bgColor theme="4" tint="0.79998168889431442"/>
        </patternFill>
      </fill>
    </dxf>
    <dxf>
      <fill>
        <patternFill>
          <bgColor theme="8" tint="0.79998168889431442"/>
        </patternFill>
      </fill>
    </dxf>
    <dxf>
      <font>
        <b/>
        <i val="0"/>
        <color theme="1"/>
      </font>
      <fill>
        <patternFill>
          <bgColor rgb="FFFFFF00"/>
        </patternFill>
      </fill>
    </dxf>
    <dxf>
      <font>
        <b/>
        <i val="0"/>
        <color theme="1"/>
      </font>
      <fill>
        <patternFill>
          <bgColor rgb="FFFFFF00"/>
        </patternFill>
      </fill>
    </dxf>
    <dxf>
      <font>
        <b/>
        <i val="0"/>
        <color rgb="FFFFFF00"/>
      </font>
      <fill>
        <patternFill>
          <bgColor theme="1" tint="0.34998626667073579"/>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ill>
        <patternFill>
          <bgColor theme="8" tint="0.79998168889431442"/>
        </patternFill>
      </fill>
    </dxf>
    <dxf>
      <font>
        <b/>
        <i val="0"/>
        <color theme="1"/>
      </font>
      <fill>
        <patternFill>
          <bgColor rgb="FFFFFF00"/>
        </patternFill>
      </fill>
    </dxf>
    <dxf>
      <font>
        <b/>
        <i val="0"/>
        <color theme="1"/>
      </font>
      <fill>
        <patternFill>
          <bgColor rgb="FFFFFF00"/>
        </patternFill>
      </fill>
    </dxf>
    <dxf>
      <font>
        <b/>
        <i val="0"/>
        <color rgb="FFFFFF00"/>
      </font>
      <fill>
        <patternFill patternType="solid">
          <bgColor theme="1" tint="0.34998626667073579"/>
        </patternFill>
      </fill>
    </dxf>
    <dxf>
      <font>
        <b/>
        <i val="0"/>
        <color theme="1"/>
      </font>
      <fill>
        <patternFill>
          <bgColor rgb="FFFFFF00"/>
        </patternFill>
      </fill>
    </dxf>
    <dxf>
      <font>
        <b/>
        <i val="0"/>
        <color theme="1"/>
      </font>
      <fill>
        <patternFill>
          <bgColor rgb="FFFFFF00"/>
        </patternFill>
      </fill>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protection locked="1" hidden="0"/>
    </dxf>
    <dxf>
      <protection locked="1" hidden="0"/>
    </dxf>
    <dxf>
      <numFmt numFmtId="0" formatCode="General"/>
      <fill>
        <patternFill patternType="none">
          <fgColor indexed="64"/>
          <bgColor auto="1"/>
        </patternFill>
      </fill>
      <protection locked="1" hidden="0"/>
    </dxf>
    <dxf>
      <protection locked="1" hidden="0"/>
    </dxf>
    <dxf>
      <fill>
        <patternFill patternType="none">
          <fgColor indexed="64"/>
          <bgColor auto="1"/>
        </patternFill>
      </fill>
      <protection locked="1" hidden="0"/>
    </dxf>
    <dxf>
      <fill>
        <patternFill patternType="solid">
          <fgColor indexed="64"/>
          <bgColor theme="0" tint="-4.9989318521683403E-2"/>
        </patternFill>
      </fill>
      <protection locked="1" hidden="0"/>
    </dxf>
    <dxf>
      <fill>
        <patternFill patternType="solid">
          <fgColor indexed="64"/>
          <bgColor theme="0" tint="-4.9989318521683403E-2"/>
        </patternFill>
      </fill>
      <protection locked="1" hidden="0"/>
    </dxf>
    <dxf>
      <protection locked="1" hidden="0"/>
    </dxf>
    <dxf>
      <protection locked="1" hidden="0"/>
    </dxf>
    <dxf>
      <font>
        <strike val="0"/>
        <outline val="0"/>
        <shadow val="0"/>
        <u val="none"/>
        <vertAlign val="baseline"/>
        <name val="Arial"/>
        <family val="2"/>
        <scheme val="minor"/>
      </font>
      <numFmt numFmtId="4" formatCode="#,##0.00"/>
      <alignment vertical="top" textRotation="0" indent="0" justifyLastLine="0" shrinkToFit="0" readingOrder="0"/>
    </dxf>
    <dxf>
      <font>
        <strike val="0"/>
        <outline val="0"/>
        <shadow val="0"/>
        <u val="none"/>
        <vertAlign val="baseline"/>
        <name val="Arial"/>
        <family val="2"/>
        <scheme val="minor"/>
      </font>
      <numFmt numFmtId="4" formatCode="#,##0.00"/>
      <alignment vertical="top" textRotation="0" indent="0" justifyLastLine="0" shrinkToFit="0" readingOrder="0"/>
    </dxf>
    <dxf>
      <font>
        <strike val="0"/>
        <outline val="0"/>
        <shadow val="0"/>
        <u val="none"/>
        <vertAlign val="baseline"/>
        <name val="Arial"/>
        <family val="2"/>
        <scheme val="minor"/>
      </font>
      <numFmt numFmtId="4" formatCode="#,##0.00"/>
      <alignment vertical="top" textRotation="0" indent="0" justifyLastLine="0" shrinkToFit="0" readingOrder="0"/>
    </dxf>
    <dxf>
      <font>
        <b val="0"/>
        <i val="0"/>
        <strike val="0"/>
        <condense val="0"/>
        <extend val="0"/>
        <outline val="0"/>
        <shadow val="0"/>
        <u val="none"/>
        <vertAlign val="baseline"/>
        <sz val="11"/>
        <color theme="1"/>
        <name val="Arial"/>
        <family val="2"/>
        <scheme val="minor"/>
      </font>
      <numFmt numFmtId="0" formatCode="General"/>
      <fill>
        <patternFill patternType="solid">
          <fgColor indexed="64"/>
          <bgColor theme="0" tint="-0.14999847407452621"/>
        </patternFill>
      </fill>
      <alignment vertical="top" textRotation="0" indent="0" justifyLastLine="0" shrinkToFit="0" readingOrder="0"/>
    </dxf>
    <dxf>
      <font>
        <strike val="0"/>
        <outline val="0"/>
        <shadow val="0"/>
        <u val="none"/>
        <vertAlign val="baseline"/>
        <name val="Arial"/>
        <family val="2"/>
        <scheme val="minor"/>
      </font>
      <alignment horizontal="left" vertical="top" textRotation="0" relativeIndent="1" justifyLastLine="0" shrinkToFit="0" readingOrder="0"/>
    </dxf>
    <dxf>
      <font>
        <strike val="0"/>
        <outline val="0"/>
        <shadow val="0"/>
        <u val="none"/>
        <vertAlign val="baseline"/>
        <name val="Arial"/>
        <family val="2"/>
        <scheme val="minor"/>
      </font>
      <alignment vertical="top" textRotation="0" indent="0" justifyLastLine="0" shrinkToFit="0" readingOrder="0"/>
    </dxf>
    <dxf>
      <font>
        <strike val="0"/>
        <outline val="0"/>
        <shadow val="0"/>
        <u val="none"/>
        <vertAlign val="baseline"/>
        <name val="Arial"/>
        <family val="2"/>
        <scheme val="minor"/>
      </font>
      <alignment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164" formatCode="[&lt;=9999999]###\-####;\(###\)\ ###\-####"/>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4" formatCode="#,##0.00"/>
      <fill>
        <patternFill patternType="solid">
          <fgColor indexed="64"/>
          <bgColor theme="0" tint="-0.14999847407452621"/>
        </patternFill>
      </fill>
      <alignment vertical="top" textRotation="0" indent="0" justifyLastLine="0" shrinkToFit="0" readingOrder="0"/>
      <protection locked="0" hidden="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b val="0"/>
      </font>
      <numFmt numFmtId="0" formatCode="General"/>
      <alignment horizontal="general" vertical="top" textRotation="0" wrapText="1" indent="0" justifyLastLine="0" shrinkToFit="0" readingOrder="0"/>
    </dxf>
    <dxf>
      <font>
        <color theme="1"/>
      </font>
      <numFmt numFmtId="30" formatCode="@"/>
      <fill>
        <patternFill patternType="solid">
          <fgColor indexed="64"/>
          <bgColor theme="0" tint="-0.14999847407452621"/>
        </patternFill>
      </fill>
      <alignment vertical="top" textRotation="0" indent="0" justifyLastLine="0" shrinkToFit="0" readingOrder="0"/>
      <protection locked="0" hidden="0"/>
    </dxf>
    <dxf>
      <alignment vertical="top" textRotation="0" indent="0" justifyLastLine="0" shrinkToFit="0" readingOrder="0"/>
      <protection locked="0" hidden="0"/>
    </dxf>
    <dxf>
      <alignment horizontal="left" vertical="top" textRotation="0" wrapText="0" relativeIndent="1" justifyLastLine="0" shrinkToFit="0" readingOrder="0"/>
    </dxf>
    <dxf>
      <alignment vertical="top" textRotation="0" indent="0" justifyLastLine="0" shrinkToFit="0" readingOrder="0"/>
    </dxf>
    <dxf>
      <alignment horizontal="general" vertical="top" textRotation="0" wrapText="1" indent="0" justifyLastLine="0" shrinkToFit="0" readingOrder="0"/>
    </dxf>
    <dxf>
      <numFmt numFmtId="2" formatCode="0.00"/>
      <alignment vertical="top" textRotation="0" indent="0" justifyLastLine="0" shrinkToFit="0" readingOrder="0"/>
    </dxf>
    <dxf>
      <alignment vertical="top" textRotation="0" indent="0" justifyLastLine="0" shrinkToFit="0" readingOrder="0"/>
    </dxf>
    <dxf>
      <font>
        <b val="0"/>
        <i val="0"/>
        <strike val="0"/>
        <condense val="0"/>
        <extend val="0"/>
        <outline val="0"/>
        <shadow val="0"/>
        <u val="none"/>
        <vertAlign val="baseline"/>
        <sz val="11"/>
        <color theme="1"/>
        <name val="Arial"/>
        <family val="2"/>
        <scheme val="minor"/>
      </font>
      <numFmt numFmtId="0" formatCode="General"/>
      <alignment vertical="top" textRotation="0" indent="0" justifyLastLine="0" shrinkToFit="0" readingOrder="0"/>
    </dxf>
    <dxf>
      <font>
        <b val="0"/>
        <i val="0"/>
        <strike val="0"/>
        <condense val="0"/>
        <extend val="0"/>
        <outline val="0"/>
        <shadow val="0"/>
        <u val="none"/>
        <vertAlign val="baseline"/>
        <sz val="11"/>
        <color theme="1"/>
        <name val="Arial"/>
        <family val="2"/>
        <scheme val="minor"/>
      </font>
      <numFmt numFmtId="0" formatCode="General"/>
      <alignment vertical="top" textRotation="0" indent="0" justifyLastLine="0" shrinkToFit="0" readingOrder="0"/>
    </dxf>
    <dxf>
      <font>
        <b val="0"/>
        <i val="0"/>
        <strike val="0"/>
        <condense val="0"/>
        <extend val="0"/>
        <outline val="0"/>
        <shadow val="0"/>
        <u val="none"/>
        <vertAlign val="baseline"/>
        <sz val="11"/>
        <color theme="1"/>
        <name val="Arial"/>
        <family val="2"/>
        <scheme val="minor"/>
      </font>
      <numFmt numFmtId="0" formatCode="General"/>
      <alignment vertical="top" textRotation="0" indent="0" justifyLastLine="0" shrinkToFit="0" readingOrder="0"/>
    </dxf>
    <dxf>
      <font>
        <b val="0"/>
        <i val="0"/>
        <strike val="0"/>
        <condense val="0"/>
        <extend val="0"/>
        <outline val="0"/>
        <shadow val="0"/>
        <u val="none"/>
        <vertAlign val="baseline"/>
        <sz val="11"/>
        <color theme="1"/>
        <name val="Arial"/>
        <family val="2"/>
        <scheme val="minor"/>
      </font>
      <numFmt numFmtId="0" formatCode="General"/>
      <alignment vertical="top" textRotation="0" indent="0" justifyLastLine="0" shrinkToFit="0" readingOrder="0"/>
    </dxf>
    <dxf>
      <font>
        <b val="0"/>
        <i val="0"/>
        <strike val="0"/>
        <condense val="0"/>
        <extend val="0"/>
        <outline val="0"/>
        <shadow val="0"/>
        <u val="none"/>
        <vertAlign val="baseline"/>
        <sz val="11"/>
        <color theme="1"/>
        <name val="Arial"/>
        <family val="2"/>
        <scheme val="minor"/>
      </font>
      <numFmt numFmtId="0" formatCode="General"/>
      <alignment vertical="top" textRotation="0" indent="0" justifyLastLine="0" shrinkToFit="0" readingOrder="0"/>
    </dxf>
    <dxf>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0" formatCode="General"/>
      <alignment vertical="top" textRotation="0" indent="0" justifyLastLine="0" shrinkToFit="0" readingOrder="0"/>
    </dxf>
    <dxf>
      <numFmt numFmtId="0" formatCode="General"/>
      <alignment vertical="top" textRotation="0" indent="0" justifyLastLine="0" shrinkToFit="0" readingOrder="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dxf>
    <dxf>
      <numFmt numFmtId="30" formatCode="@"/>
      <fill>
        <patternFill patternType="solid">
          <fgColor indexed="64"/>
          <bgColor theme="0" tint="-0.14999847407452621"/>
        </patternFill>
      </fill>
      <alignment horizontal="center"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center" vertical="top" textRotation="0" wrapText="1" indent="0" justifyLastLine="0" shrinkToFit="0" readingOrder="0"/>
      <protection locked="0" hidden="0"/>
    </dxf>
    <dxf>
      <numFmt numFmtId="30" formatCode="@"/>
      <fill>
        <patternFill patternType="solid">
          <fgColor indexed="64"/>
          <bgColor theme="0" tint="-0.14999847407452621"/>
        </patternFill>
      </fill>
      <alignment vertical="top" textRotation="0" wrapText="1" indent="0" justifyLastLine="0" shrinkToFit="0" readingOrder="0"/>
      <protection locked="0" hidden="0"/>
    </dxf>
    <dxf>
      <numFmt numFmtId="0" formatCode="General"/>
      <alignment horizontal="general" vertical="top" textRotation="0" wrapText="1" indent="0" justifyLastLine="0" shrinkToFit="0" readingOrder="0"/>
    </dxf>
    <dxf>
      <numFmt numFmtId="30" formatCode="@"/>
      <fill>
        <patternFill patternType="solid">
          <fgColor indexed="64"/>
          <bgColor theme="0" tint="-0.14999847407452621"/>
        </patternFill>
      </fill>
      <alignment horizontal="center" vertical="top" textRotation="0" wrapText="0" indent="0" justifyLastLine="0" shrinkToFit="0" readingOrder="0"/>
      <protection locked="0" hidden="0"/>
    </dxf>
    <dxf>
      <numFmt numFmtId="0" formatCode="General"/>
      <alignment horizontal="general" vertical="top" textRotation="0" wrapText="1" indent="0" justifyLastLine="0" shrinkToFit="0" readingOrder="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dxf>
    <dxf>
      <numFmt numFmtId="30" formatCode="@"/>
      <fill>
        <patternFill patternType="solid">
          <fgColor indexed="64"/>
          <bgColor theme="0" tint="-0.14999847407452621"/>
        </patternFill>
      </fill>
      <alignment horizontal="center" vertical="top" textRotation="0" wrapText="0" indent="0" justifyLastLine="0" shrinkToFit="0" readingOrder="0"/>
      <protection locked="0" hidden="0"/>
    </dxf>
    <dxf>
      <font>
        <color theme="1"/>
      </font>
      <numFmt numFmtId="4" formatCode="#,##0.00"/>
      <fill>
        <patternFill patternType="solid">
          <fgColor indexed="64"/>
          <bgColor theme="0" tint="-0.14999847407452621"/>
        </patternFill>
      </fill>
      <alignment vertical="top" textRotation="0" indent="0" justifyLastLine="0" shrinkToFit="0" readingOrder="0"/>
      <protection locked="0" hidden="0"/>
    </dxf>
    <dxf>
      <numFmt numFmtId="4" formatCode="#,##0.00"/>
      <fill>
        <patternFill patternType="solid">
          <fgColor indexed="64"/>
          <bgColor theme="0" tint="-0.14999847407452621"/>
        </patternFill>
      </fill>
      <alignment vertical="top" textRotation="0" indent="0" justifyLastLine="0" shrinkToFit="0" readingOrder="0"/>
      <protection locked="0" hidden="0"/>
    </dxf>
    <dxf>
      <alignment vertical="top" textRotation="0" indent="0" justifyLastLine="0" shrinkToFit="0" readingOrder="0"/>
      <protection locked="0" hidden="0"/>
    </dxf>
    <dxf>
      <alignment horizontal="left" vertical="top" textRotation="0" relativeIndent="1" justifyLastLine="0" shrinkToFit="0" readingOrder="0"/>
    </dxf>
    <dxf>
      <alignment vertical="top" textRotation="0" indent="0" justifyLastLine="0" shrinkToFit="0" readingOrder="0"/>
    </dxf>
    <dxf>
      <alignment horizontal="left"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165" formatCode="#"/>
      <alignment vertical="top" textRotation="0" indent="0" justifyLastLine="0" shrinkToFit="0" readingOrder="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fill>
        <patternFill patternType="solid">
          <fgColor indexed="64"/>
          <bgColor theme="0" tint="-0.14999847407452621"/>
        </patternFill>
      </fill>
      <alignment horizontal="general" vertical="top" textRotation="0" wrapText="1" indent="0" justifyLastLine="0" shrinkToFit="0" readingOrder="0"/>
      <protection locked="0" hidden="0"/>
    </dxf>
    <dxf>
      <numFmt numFmtId="164" formatCode="[&lt;=9999999]###\-####;\(###\)\ ###\-####"/>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fill>
        <patternFill patternType="solid">
          <fgColor indexed="64"/>
          <bgColor theme="0" tint="-0.14999847407452621"/>
        </patternFill>
      </fill>
      <alignment horizontal="general" vertical="top" textRotation="0" wrapText="1" indent="0" justifyLastLine="0" shrinkToFit="0" readingOrder="0"/>
      <protection locked="0" hidden="0"/>
    </dxf>
    <dxf>
      <numFmt numFmtId="30" formatCode="@"/>
      <alignment horizontal="general" vertical="top" textRotation="0" wrapText="1" indent="0" justifyLastLine="0" shrinkToFit="0" readingOrder="0"/>
      <protection locked="0" hidden="0"/>
    </dxf>
    <dxf>
      <alignment horizontal="left" vertical="top" textRotation="0" relativeIndent="1" justifyLastLine="0" shrinkToFit="0" readingOrder="0"/>
    </dxf>
    <dxf>
      <alignment vertical="top" textRotation="0" indent="0" justifyLastLine="0" shrinkToFit="0" readingOrder="0"/>
    </dxf>
    <dxf>
      <alignment horizontal="general" vertical="top" textRotation="0" wrapText="1" indent="0" justifyLastLine="0" shrinkToFit="0" readingOrder="0"/>
    </dxf>
    <dxf>
      <alignment vertical="top" textRotation="0" indent="0" justifyLastLine="0" shrinkToFit="0" readingOrder="0"/>
      <border diagonalUp="0" diagonalDown="0" outline="0">
        <left style="thin">
          <color theme="0" tint="-0.24994659260841701"/>
        </left>
        <right/>
        <top/>
        <bottom/>
      </border>
    </dxf>
    <dxf>
      <alignment vertical="top" textRotation="0" indent="0" justifyLastLine="0" shrinkToFit="0" readingOrder="0"/>
      <border diagonalUp="0" diagonalDown="0" outline="0">
        <left style="thin">
          <color theme="0" tint="-0.24994659260841701"/>
        </left>
        <right style="thin">
          <color theme="0" tint="-0.24994659260841701"/>
        </right>
        <top/>
        <bottom/>
      </border>
    </dxf>
    <dxf>
      <numFmt numFmtId="165" formatCode="#"/>
      <alignment vertical="top" textRotation="0" indent="0" justifyLastLine="0" shrinkToFit="0" readingOrder="0"/>
      <border diagonalUp="0" diagonalDown="0" outline="0">
        <left style="thin">
          <color theme="0" tint="-0.24994659260841701"/>
        </left>
        <right style="thin">
          <color theme="0" tint="-0.24994659260841701"/>
        </right>
        <top/>
        <bottom/>
      </border>
    </dxf>
    <dxf>
      <numFmt numFmtId="165" formatCode="#"/>
      <alignment vertical="top" textRotation="0" indent="0" justifyLastLine="0" shrinkToFit="0" readingOrder="0"/>
      <border diagonalUp="0" diagonalDown="0" outline="0">
        <left style="thin">
          <color theme="0" tint="-0.24994659260841701"/>
        </left>
        <right style="thin">
          <color theme="0" tint="-0.24994659260841701"/>
        </right>
        <top/>
        <bottom/>
      </border>
    </dxf>
    <dxf>
      <numFmt numFmtId="165" formatCode="#"/>
      <alignment vertical="top" textRotation="0" indent="0" justifyLastLine="0" shrinkToFit="0" readingOrder="0"/>
      <border diagonalUp="0" diagonalDown="0" outline="0">
        <left style="thin">
          <color theme="0" tint="-0.24994659260841701"/>
        </left>
        <right style="thin">
          <color theme="0" tint="-0.24994659260841701"/>
        </right>
        <top/>
        <bottom/>
      </border>
    </dxf>
    <dxf>
      <numFmt numFmtId="30" formatCode="@"/>
      <fill>
        <patternFill patternType="solid">
          <fgColor indexed="64"/>
          <bgColor theme="0" tint="-0.249977111117893"/>
        </patternFill>
      </fill>
      <alignment horizontal="general" vertical="top" textRotation="0" wrapText="1" indent="0" justifyLastLine="0" shrinkToFit="0" readingOrder="0"/>
      <protection locked="0" hidden="0"/>
    </dxf>
    <dxf>
      <numFmt numFmtId="164" formatCode="[&lt;=9999999]###\-####;\(###\)\ ###\-####"/>
      <fill>
        <patternFill patternType="solid">
          <fgColor indexed="64"/>
          <bgColor theme="0" tint="-0.249977111117893"/>
        </patternFill>
      </fill>
      <alignment horizontal="general" vertical="top" textRotation="0" wrapText="1" indent="0" justifyLastLine="0" shrinkToFit="0" readingOrder="0"/>
      <protection locked="0" hidden="0"/>
    </dxf>
    <dxf>
      <numFmt numFmtId="30" formatCode="@"/>
      <fill>
        <patternFill patternType="solid">
          <fgColor indexed="64"/>
          <bgColor theme="0" tint="-0.249977111117893"/>
        </patternFill>
      </fill>
      <alignment horizontal="general" vertical="top" textRotation="0" wrapText="1" indent="0" justifyLastLine="0" shrinkToFit="0" readingOrder="0"/>
      <protection locked="0" hidden="0"/>
    </dxf>
    <dxf>
      <numFmt numFmtId="30" formatCode="@"/>
      <fill>
        <patternFill patternType="solid">
          <fgColor indexed="64"/>
          <bgColor theme="0" tint="-0.249977111117893"/>
        </patternFill>
      </fill>
      <alignment horizontal="general" vertical="top" textRotation="0" wrapText="1" indent="0" justifyLastLine="0" shrinkToFit="0" readingOrder="0"/>
      <protection locked="0" hidden="0"/>
    </dxf>
    <dxf>
      <numFmt numFmtId="0" formatCode="General"/>
      <alignment horizontal="general" vertical="top" textRotation="0" wrapText="1" indent="0" justifyLastLine="0" shrinkToFit="0" readingOrder="0"/>
      <protection locked="1" hidden="0"/>
    </dxf>
    <dxf>
      <numFmt numFmtId="30" formatCode="@"/>
      <fill>
        <patternFill patternType="solid">
          <fgColor indexed="64"/>
          <bgColor theme="0" tint="-0.249977111117893"/>
        </patternFill>
      </fill>
      <alignment horizontal="general" vertical="top" textRotation="0" wrapText="1" indent="0" justifyLastLine="0" shrinkToFit="0" readingOrder="0"/>
      <protection locked="0" hidden="0"/>
    </dxf>
    <dxf>
      <numFmt numFmtId="30" formatCode="@"/>
      <alignment horizontal="general" vertical="top" textRotation="0" wrapText="1" indent="0" justifyLastLine="0" shrinkToFit="0" readingOrder="0"/>
      <protection locked="0" hidden="0"/>
    </dxf>
    <dxf>
      <alignment horizontal="left" vertical="top" textRotation="0" relativeIndent="1" justifyLastLine="0" shrinkToFit="0" readingOrder="0"/>
    </dxf>
    <dxf>
      <alignment vertical="top" textRotation="0"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numFmt numFmtId="0" formatCode="General"/>
      <alignment vertical="top" textRotation="0" indent="0" justifyLastLine="0" shrinkToFit="0" readingOrder="0"/>
    </dxf>
    <dxf>
      <numFmt numFmtId="4" formatCode="#,##0.00"/>
      <alignment vertical="top" textRotation="0" indent="0" justifyLastLine="0" shrinkToFit="0" readingOrder="0"/>
    </dxf>
    <dxf>
      <numFmt numFmtId="165" formatCode="#"/>
      <alignment vertical="top" textRotation="0" indent="0" justifyLastLine="0" shrinkToFit="0" readingOrder="0"/>
      <border outline="0">
        <left style="double">
          <color rgb="FF3F3F3F"/>
        </left>
      </border>
    </dxf>
    <dxf>
      <numFmt numFmtId="165" formatCode="#"/>
      <alignment vertical="top" textRotation="0" indent="0" justifyLastLine="0" shrinkToFit="0" readingOrder="0"/>
    </dxf>
    <dxf>
      <numFmt numFmtId="165" formatCode="#"/>
      <alignment vertical="top" textRotation="0" indent="0" justifyLastLine="0" shrinkToFit="0" readingOrder="0"/>
      <border outline="0">
        <left style="double">
          <color rgb="FF3F3F3F"/>
        </left>
      </border>
    </dxf>
    <dxf>
      <numFmt numFmtId="165" formatCode="#"/>
      <alignment vertical="top" textRotation="0" indent="0" justifyLastLine="0" shrinkToFit="0" readingOrder="0"/>
      <border outline="0">
        <left style="thin">
          <color theme="1"/>
        </left>
        <right style="double">
          <color rgb="FF3F3F3F"/>
        </right>
      </border>
    </dxf>
    <dxf>
      <numFmt numFmtId="4" formatCode="#,##0.00"/>
      <fill>
        <patternFill patternType="solid">
          <fgColor indexed="64"/>
          <bgColor theme="0" tint="-0.14999847407452621"/>
        </patternFill>
      </fill>
      <alignment horizontal="general" vertical="top" textRotation="0" wrapText="1" indent="0" justifyLastLine="0" shrinkToFit="0" readingOrder="0"/>
      <border outline="0">
        <left style="thin">
          <color theme="1"/>
        </left>
      </border>
      <protection locked="0" hidden="0"/>
    </dxf>
    <dxf>
      <font>
        <b val="0"/>
        <i val="0"/>
        <strike val="0"/>
        <condense val="0"/>
        <extend val="0"/>
        <outline val="0"/>
        <shadow val="0"/>
        <u val="none"/>
        <vertAlign val="baseline"/>
        <sz val="11"/>
        <color theme="1"/>
        <name val="Arial"/>
        <family val="2"/>
        <scheme val="minor"/>
      </font>
      <numFmt numFmtId="4" formatCode="#,##0.00"/>
      <fill>
        <patternFill patternType="solid">
          <fgColor indexed="64"/>
          <bgColor theme="0" tint="-0.1499984740745262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minor"/>
      </font>
      <numFmt numFmtId="4" formatCode="#,##0.00"/>
      <fill>
        <patternFill patternType="solid">
          <fgColor indexed="64"/>
          <bgColor theme="0" tint="-0.14999847407452621"/>
        </patternFill>
      </fill>
      <alignment horizontal="general" vertical="top" textRotation="0" wrapText="1" indent="0" justifyLastLine="0" shrinkToFit="0" readingOrder="0"/>
      <border outline="0">
        <left style="thin">
          <color theme="1"/>
        </left>
        <right style="thin">
          <color theme="1"/>
        </right>
      </border>
      <protection locked="0" hidden="0"/>
    </dxf>
    <dxf>
      <font>
        <b val="0"/>
        <i val="0"/>
        <strike val="0"/>
        <condense val="0"/>
        <extend val="0"/>
        <outline val="0"/>
        <shadow val="0"/>
        <u val="none"/>
        <vertAlign val="baseline"/>
        <sz val="11"/>
        <color theme="1"/>
        <name val="Arial"/>
        <family val="2"/>
        <scheme val="minor"/>
      </font>
      <alignment horizontal="general" vertical="top" textRotation="0" wrapText="1" indent="0" justifyLastLine="0" shrinkToFit="0" readingOrder="0"/>
      <border outline="0">
        <left/>
        <right style="thin">
          <color theme="1"/>
        </right>
      </border>
      <protection locked="0" hidden="0"/>
    </dxf>
    <dxf>
      <font>
        <b val="0"/>
        <i val="0"/>
        <strike val="0"/>
        <condense val="0"/>
        <extend val="0"/>
        <outline val="0"/>
        <shadow val="0"/>
        <u val="none"/>
        <vertAlign val="baseline"/>
        <sz val="11"/>
        <color theme="1"/>
        <name val="Arial"/>
        <family val="2"/>
        <scheme val="minor"/>
      </font>
      <alignment horizontal="left" vertical="top" textRotation="0" relativeIndent="1" justifyLastLine="0" shrinkToFit="0" readingOrder="0"/>
      <border diagonalUp="0" diagonalDown="0" outline="0">
        <left/>
        <right style="thin">
          <color theme="1"/>
        </right>
        <top style="thin">
          <color theme="1"/>
        </top>
        <bottom/>
      </border>
      <protection locked="1" hidden="0"/>
    </dxf>
    <dxf>
      <border outline="0">
        <left style="thin">
          <color theme="1"/>
        </left>
        <top style="thin">
          <color theme="1"/>
        </top>
      </border>
    </dxf>
    <dxf>
      <alignment vertical="top" textRotation="0" indent="0" justifyLastLine="0" shrinkToFit="0" readingOrder="0"/>
    </dxf>
    <dxf>
      <font>
        <b/>
        <i val="0"/>
        <strike val="0"/>
        <condense val="0"/>
        <extend val="0"/>
        <outline val="0"/>
        <shadow val="0"/>
        <u val="none"/>
        <vertAlign val="baseline"/>
        <sz val="11"/>
        <color theme="0"/>
        <name val="Arial"/>
        <family val="2"/>
        <scheme val="minor"/>
      </font>
      <fill>
        <patternFill patternType="solid">
          <fgColor theme="1"/>
          <bgColor theme="1"/>
        </patternFill>
      </fill>
      <alignment horizontal="left" vertical="top" textRotation="0" wrapText="1" indent="0" justifyLastLine="0" shrinkToFit="0" readingOrder="0"/>
    </dxf>
    <dxf>
      <font>
        <strike val="0"/>
        <outline val="0"/>
        <shadow val="0"/>
        <u val="none"/>
        <vertAlign val="baseline"/>
        <name val="Arial"/>
        <family val="2"/>
        <scheme val="minor"/>
      </font>
      <alignment vertical="top" textRotation="0" wrapText="0" indent="0" justifyLastLine="0" shrinkToFit="0" readingOrder="0"/>
      <protection locked="0" hidden="0"/>
    </dxf>
    <dxf>
      <font>
        <b val="0"/>
        <i val="0"/>
        <strike val="0"/>
        <condense val="0"/>
        <extend val="0"/>
        <outline val="0"/>
        <shadow val="0"/>
        <u val="none"/>
        <vertAlign val="baseline"/>
        <sz val="11"/>
        <color auto="1"/>
        <name val="Arial"/>
        <family val="2"/>
        <scheme val="minor"/>
      </font>
      <fill>
        <patternFill patternType="solid">
          <fgColor indexed="64"/>
          <bgColor theme="0" tint="-4.9989318521683403E-2"/>
        </patternFill>
      </fill>
      <alignment vertical="top" textRotation="0" wrapText="0" indent="0" justifyLastLine="0" shrinkToFit="0" readingOrder="0"/>
    </dxf>
    <dxf>
      <font>
        <b/>
        <i val="0"/>
        <strike val="0"/>
        <condense val="0"/>
        <extend val="0"/>
        <outline val="0"/>
        <shadow val="0"/>
        <u val="none"/>
        <vertAlign val="baseline"/>
        <sz val="11"/>
        <color theme="1"/>
        <name val="Arial"/>
        <family val="2"/>
        <scheme val="minor"/>
      </font>
      <fill>
        <patternFill patternType="solid">
          <fgColor indexed="64"/>
          <bgColor theme="0" tint="-0.14999847407452621"/>
        </patternFill>
      </fill>
      <alignment horizontal="left" vertical="top" textRotation="0" wrapText="0" relativeIndent="1" justifyLastLine="0" shrinkToFit="0" readingOrder="0"/>
    </dxf>
    <dxf>
      <font>
        <strike val="0"/>
        <outline val="0"/>
        <shadow val="0"/>
        <u val="none"/>
        <vertAlign val="baseline"/>
        <name val="Arial"/>
        <family val="2"/>
        <scheme val="minor"/>
      </font>
      <alignment vertical="top" textRotation="0" wrapText="0" indent="0" justifyLastLine="0" shrinkToFit="0" readingOrder="0"/>
    </dxf>
    <dxf>
      <font>
        <strike val="0"/>
        <outline val="0"/>
        <shadow val="0"/>
        <u val="none"/>
        <vertAlign val="baseline"/>
        <sz val="11"/>
        <color theme="0"/>
        <name val="Arial"/>
        <family val="2"/>
        <scheme val="minor"/>
      </font>
      <fill>
        <patternFill patternType="none">
          <fgColor indexed="64"/>
          <bgColor auto="1"/>
        </patternFill>
      </fill>
      <alignmen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for the Oregon Department of Environmental Quality</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7AB83F8-9857-45D8-B6E8-ACAC06FFD201}" name="TR_1ProducerInfo" displayName="TR_1ProducerInfo" ref="A4:C14" totalsRowShown="0" headerRowDxfId="258" dataDxfId="257">
  <autoFilter ref="A4:C14" xr:uid="{D7AB83F8-9857-45D8-B6E8-ACAC06FFD201}"/>
  <tableColumns count="3">
    <tableColumn id="1" xr3:uid="{D5DA83A1-F1E8-4266-B5B6-83E9C6968D0F}" name="ID_P" dataDxfId="256"/>
    <tableColumn id="2" xr3:uid="{3D0DDEFD-BF2B-4B93-976A-DE10492840DC}" name="Contact Info Category" dataDxfId="255" dataCellStyle="20% - Accent3"/>
    <tableColumn id="3" xr3:uid="{72615FC8-50DB-4AA8-8AA8-8F562EF096E7}" name="Producer Response" dataDxfId="254" dataCellStyle="Input"/>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75B74E5-CBD7-4AA8-B9B9-365A42DD9D71}" name="TL_CRPFs" displayName="TL_CRPFs" ref="O11:O20" totalsRowShown="0" headerRowDxfId="57" dataDxfId="56">
  <autoFilter ref="O11:O20" xr:uid="{875B74E5-CBD7-4AA8-B9B9-365A42DD9D71}"/>
  <sortState xmlns:xlrd2="http://schemas.microsoft.com/office/spreadsheetml/2017/richdata2" ref="O12:O20">
    <sortCondition ref="O12:O20"/>
  </sortState>
  <tableColumns count="1">
    <tableColumn id="1" xr3:uid="{19364E35-971F-4A98-97C8-125704019202}" name="CRPFs" dataDxfId="55"/>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9DDA148-2C81-4ADC-B290-C0DF33C0500E}" name="TL_EndMarketCheck" displayName="TL_EndMarketCheck" ref="R11:S122" totalsRowShown="0" headerRowDxfId="54" dataDxfId="53">
  <autoFilter ref="R11:S122" xr:uid="{39DDA148-2C81-4ADC-B290-C0DF33C0500E}"/>
  <tableColumns count="2">
    <tableColumn id="1" xr3:uid="{5FDD42D2-7E3A-4A56-97CF-F27B6B6ED00D}" name="Reporting Category" dataDxfId="52"/>
    <tableColumn id="2" xr3:uid="{AD190B25-A4EA-4689-88C7-B6E2B60ABDFC}" name="Market Name" dataDxfId="5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9E76F7B-589B-42DE-AABB-E3C2A5D52CFC}" name="TR_2SuppliedPounds" displayName="TR_2SuppliedPounds" ref="A5:L30" totalsRowShown="0" headerRowDxfId="253" dataDxfId="252" tableBorderDxfId="251">
  <autoFilter ref="A5:L30" xr:uid="{99E76F7B-589B-42DE-AABB-E3C2A5D52CFC}"/>
  <tableColumns count="12">
    <tableColumn id="1" xr3:uid="{05F9CDFD-0395-47B7-8821-15535A9375DA}" name="ID_MS" dataDxfId="250" dataCellStyle="Linked Cell"/>
    <tableColumn id="2" xr3:uid="{95A6C98D-0095-4A77-9DE2-9D2BD392B576}" name="Material Reporting Category" dataDxfId="249" dataCellStyle="Input"/>
    <tableColumn id="3" xr3:uid="{A8344203-6592-4FD1-8906-5D4A46A59DA4}" name="Gross supply weight into Oregon (2024 pounds)" dataDxfId="248" dataCellStyle="Input"/>
    <tableColumn id="13" xr3:uid="{2384E953-8435-4EF7-9BA9-F1A2FCDC0D9C}" name="Claim Type" dataDxfId="247" dataCellStyle="Input"/>
    <tableColumn id="4" xr3:uid="{33EC9806-BC8E-494B-93C8-77B6068C2B23}" name="Gross supply weight (2024 pounds) of printer/copier paper" dataDxfId="246" dataCellStyle="Input"/>
    <tableColumn id="6" xr3:uid="{10DECC00-4777-47AC-BCAB-9DA5AA609AAF}" name="Check duplicate materials" dataDxfId="245" dataCellStyle="Check Cell">
      <calculatedColumnFormula>IF(COUNTIFS(TR_2SuppliedPounds[Material Reporting Category],TR_2SuppliedPounds[[#This Row],[Material Reporting Category]])&gt;1,1,0)</calculatedColumnFormula>
    </tableColumn>
    <tableColumn id="7" xr3:uid="{B8998085-65B4-487C-B24A-C1377136C4BE}" name="Check missing info" dataDxfId="244" dataCellStyle="Check Cell">
      <calculatedColumnFormula>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calculatedColumnFormula>
    </tableColumn>
    <tableColumn id="10" xr3:uid="{161102DB-0827-4D33-975C-C814475B7B63}" name="Check extra info" dataDxfId="243" dataCellStyle="Check Cell">
      <calculatedColumnFormula>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calculatedColumnFormula>
    </tableColumn>
    <tableColumn id="8" xr3:uid="{74351412-8D91-471E-AC86-DBC607BE1994}" name="Check: pounds mismatch" dataDxfId="242" dataCellStyle="Check Cell">
      <calculatedColumnFormula>IF(TR_2SuppliedPounds[[#This Row],[Gross supply weight (2024 pounds) of printer/copier paper]]&gt;TR_2SuppliedPounds[[#This Row],[Gross supply weight into Oregon (2024 pounds)]],1,0)</calculatedColumnFormula>
    </tableColumn>
    <tableColumn id="9" xr3:uid="{E3681505-B48C-4145-9442-AE45D7EF4BFC}" name="Supply Pounds To Use" dataDxfId="241" dataCellStyle="Check Cell">
      <calculatedColumnFormula>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calculatedColumnFormula>
    </tableColumn>
    <tableColumn id="5" xr3:uid="{B9737320-F6B9-4F98-95D8-192AE1967BDB}" name="Producer ID" dataDxfId="240" dataCellStyle="Linked Cell">
      <calculatedColumnFormula>IF(DR_ProducerID=0,"",DR_ProducerID)</calculatedColumnFormula>
    </tableColumn>
    <tableColumn id="11" xr3:uid="{B0E38E92-2A23-47D3-A34A-78E62DA12B1B}" name="DEQ 2B Notes" dataDxfId="239" dataCellStyle="Note"/>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F287C6-2E08-4FDD-80F2-9894A2800D26}" name="TR_3Collectors" displayName="TR_3Collectors" ref="A5:M55" totalsRowShown="0" headerRowDxfId="238" dataDxfId="237">
  <autoFilter ref="A5:M55" xr:uid="{7ED53017-003D-4534-854D-D2103AF962E4}"/>
  <tableColumns count="13">
    <tableColumn id="1" xr3:uid="{8FF1592D-36AF-4D92-8084-B8D787149404}" name="ID_CT" dataDxfId="236" dataCellStyle="Linked Cell"/>
    <tableColumn id="2" xr3:uid="{208496F0-1046-4F3B-82C5-AD787971C500}" name="Collection or Transportation Service Provider Name" dataDxfId="235" dataCellStyle="Input"/>
    <tableColumn id="14" xr3:uid="{1BDCA64F-C710-41BE-B1A0-F3AFF5AD9529}" name="Collector or Transporter Type" dataDxfId="234" dataCellStyle="Input"/>
    <tableColumn id="9" xr3:uid="{B9F06918-77E6-4FF3-9A0B-75E0C7366DD1}" name="Collector Note" dataDxfId="233" dataCellStyle="Check Cell">
      <calculatedColumnFormula>IF(TR_3Collectors[[#This Row],[Collector or Transporter Type]]=A_OTR_Service_Provider,"Note: this collector is eligible only if material is not collected under OTR service.","")</calculatedColumnFormula>
    </tableColumn>
    <tableColumn id="3" xr3:uid="{DF525A49-95BE-41A0-B7A9-A731917D8200}" name="Collection or Transportation Provider Website" dataDxfId="232" dataCellStyle="Input"/>
    <tableColumn id="4" xr3:uid="{5327603E-48C7-4CF3-879F-5BC6DE045748}" name="Collection or Transportation Contact Name" dataDxfId="231" dataCellStyle="Input"/>
    <tableColumn id="5" xr3:uid="{F8E8C077-1EE5-45DE-8133-C598D2624EA5}" name="Collection or Transportation Contact Phone" dataDxfId="230" dataCellStyle="Input"/>
    <tableColumn id="6" xr3:uid="{1B05DF43-66DE-4256-8423-23226BC4BB26}" name="Collection or Transportation Contact Email" dataDxfId="229" dataCellStyle="Input"/>
    <tableColumn id="7" xr3:uid="{0112D89D-2FD1-4077-858D-3B799427822A}" name="Check: duplicate provider names" dataDxfId="228" dataCellStyle="Check Cell">
      <calculatedColumnFormula>IF(COUNTIFS(TR_3Collectors[Collection or Transportation Service Provider Name],TR_3Collectors[[#This Row],[Collection or Transportation Service Provider Name]])&gt;1,1,0)</calculatedColumnFormula>
    </tableColumn>
    <tableColumn id="8" xr3:uid="{E983FCFC-F58F-4A3B-9D50-4CA80316F8D0}" name="Check: missing info" dataDxfId="227" dataCellStyle="Check Cell">
      <calculatedColumnFormula>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calculatedColumnFormula>
    </tableColumn>
    <tableColumn id="11" xr3:uid="{2E0F79EC-CB17-4679-AC7C-90F40B4D3072}" name="Check: extra info" dataDxfId="226" dataCellStyle="Check Cell">
      <calculatedColumnFormula>IF(TR_3Collectors[[#This Row],[Collection or Transportation Service Provider Name]]&lt;&gt;"",0,IF(COUNTA(TR_3Collectors[[#This Row],[Collector or Transporter Type]],TR_3Collectors[[#This Row],[Collection or Transportation Provider Website]:[Collection or Transportation Contact Email]])&gt;0,1,0))</calculatedColumnFormula>
    </tableColumn>
    <tableColumn id="10" xr3:uid="{E1F26F05-1143-4D99-879A-2B55F5678B1D}" name="Producer ID" dataDxfId="225" dataCellStyle="Linked Cell">
      <calculatedColumnFormula>IF(DR_ProducerID=0,"",DR_ProducerID)</calculatedColumnFormula>
    </tableColumn>
    <tableColumn id="12" xr3:uid="{E25AFB06-3973-481C-87D2-429C903C7784}" name="DEQ 3B Notes" dataDxfId="224" dataCellStyle="Note"/>
  </tableColumns>
  <tableStyleInfo name="TableStyleLight8"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5AE605C-EE26-4DD7-8387-9210B30F4008}" name="TR_4EndMarkets" displayName="TR_4EndMarkets" ref="A5:Q55" totalsRowShown="0" headerRowDxfId="223" dataDxfId="222">
  <autoFilter ref="A5:Q55" xr:uid="{A4EA51FB-D8CF-418A-9B35-B02D284BFDD8}"/>
  <tableColumns count="17">
    <tableColumn id="1" xr3:uid="{86B60505-9FE5-4582-8DC8-4EDD06EAE2ED}" name="ID_EM" dataDxfId="221" dataCellStyle="Linked Cell"/>
    <tableColumn id="13" xr3:uid="{D1FB2C13-4D2A-442F-B4F5-E555C853EFF8}" name="Material Reporting Category (End Market)" dataDxfId="220" dataCellStyle="Input"/>
    <tableColumn id="2" xr3:uid="{EF8BDC05-9C78-46C3-963B-C2088C369DC8}" name="End Market Name" dataDxfId="219" dataCellStyle="Input"/>
    <tableColumn id="7" xr3:uid="{90B4F3A1-7BBC-4280-AB1D-569633FC1B03}" name="Other End Market Name" dataDxfId="218" dataCellStyle="Input"/>
    <tableColumn id="3" xr3:uid="{626E33FD-13E4-42D2-A4BE-E875E6462CBA}" name="End Market Website" dataDxfId="217" dataCellStyle="Input"/>
    <tableColumn id="4" xr3:uid="{D88951BC-578E-4869-9392-480B5397AA8A}" name="End Market Contact Name" dataDxfId="216" dataCellStyle="Input"/>
    <tableColumn id="5" xr3:uid="{FBB1EB74-B3D7-4E56-A461-7E63FC61059B}" name="End Market Contact Phone" dataDxfId="215" dataCellStyle="Input"/>
    <tableColumn id="6" xr3:uid="{7135A800-D8D1-4E0D-BA4D-2A687BCED61B}" name="End Market Contact Email" dataDxfId="214" dataCellStyle="Input"/>
    <tableColumn id="11" xr3:uid="{C5B20308-9FB4-439C-84B6-DBF645315C4B}" name="End Market Documentation (Attestation Form)" dataDxfId="213" dataCellStyle="Input"/>
    <tableColumn id="9" xr3:uid="{2CA7CD36-CEAE-4701-9C50-C640A02936DA}" name="Check: duplicate markets" dataDxfId="212" dataCellStyle="Check Cell">
      <calculatedColumnFormula>IF(TR_4EndMarkets[[#This Row],[Lookup: material+market]]="",0,IF(COUNTIFS(TR_4EndMarkets[Lookup: material+market],TR_4EndMarkets[[#This Row],[Lookup: material+market]])&gt;1,1,0))</calculatedColumnFormula>
    </tableColumn>
    <tableColumn id="15" xr3:uid="{02692BCA-F47F-4077-BAB2-62DE11A1FA7C}" name="Check: material+market mismatch" dataDxfId="211" dataCellStyle="Check Cell">
      <calculatedColumnFormula>IF(OR(TR_4EndMarkets[[#This Row],[Material Reporting Category (End Market)]]="",TR_4EndMarkets[[#This Row],[End Market Name]]=""),0,IF(COUNTIFS(TL_EndMarketCheck[Reporting Category],TR_4EndMarkets[[#This Row],[Material Reporting Category (End Market)]],TL_EndMarketCheck[Market Name],TR_4EndMarkets[[#This Row],[End Market Name]])=1,0,1))</calculatedColumnFormula>
    </tableColumn>
    <tableColumn id="17" xr3:uid="{8CA7B489-45B9-49C3-8B7A-3EA823F035EB}" name="Check: material not supplied" dataDxfId="210" dataCellStyle="Check Cell">
      <calculatedColumnFormula>IF(TR_4EndMarkets[[#This Row],[Material Reporting Category (End Market)]]="","",(IFERROR(0*INDEX(TR_2SuppliedPounds[Supply Pounds To Use],MATCH(TR_4EndMarkets[[#This Row],[Material Reporting Category (End Market)]],TR_2SuppliedPounds[Material Reporting Category],0)),1)))</calculatedColumnFormula>
    </tableColumn>
    <tableColumn id="10" xr3:uid="{5E2698C4-C389-455E-8F6A-936144AAFB5C}" name="Check: missing info" dataDxfId="209" dataCellStyle="Check Cell">
      <calculatedColumnFormula>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calculatedColumnFormula>
    </tableColumn>
    <tableColumn id="14" xr3:uid="{321FCC9D-CD3D-494D-A7BB-D43E5C085931}" name="Check: extra info" dataDxfId="208" dataCellStyle="Check Cell">
      <calculatedColumnFormula>IF(TR_4EndMarkets[[#This Row],[Material Reporting Category (End Market)]]&lt;&gt;"",0,IF(COUNTA(TR_4EndMarkets[[#This Row],[End Market Name]:[End Market Documentation (Attestation Form)]])&gt;0,1,0))</calculatedColumnFormula>
    </tableColumn>
    <tableColumn id="8" xr3:uid="{EF1AFF2D-FDA0-477A-935B-FC0C35A94C79}" name="Lookup: material+market" dataDxfId="207" dataCellStyle="Check Cell">
      <calculatedColumnFormula>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calculatedColumnFormula>
    </tableColumn>
    <tableColumn id="12" xr3:uid="{6424CEB8-12BA-48D9-AB25-78452133C7BD}" name="Producer ID" dataDxfId="206" dataCellStyle="Linked Cell">
      <calculatedColumnFormula>IF(DR_ProducerID=0,"",DR_ProducerID)</calculatedColumnFormula>
    </tableColumn>
    <tableColumn id="16" xr3:uid="{442485A5-55E3-493B-8E71-1A7FBA5E98CC}" name="DEQ 4B Notes" dataDxfId="205" dataCellStyle="Note"/>
  </tableColumns>
  <tableStyleInfo name="TableStyleLight8"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C1BD60-C432-412F-B336-D490794429FE}" name="TR_5ExemptionClaim" displayName="TR_5ExemptionClaim" ref="A5:AS105" totalsRowShown="0" headerRowDxfId="204" dataDxfId="203">
  <autoFilter ref="A5:AS105" xr:uid="{BBC1BD60-C432-412F-B336-D490794429FE}"/>
  <tableColumns count="45">
    <tableColumn id="9" xr3:uid="{5E4E04B3-9457-4B76-9C47-69FFE1284A0C}" name="ID_EC" dataDxfId="202" dataCellStyle="Linked Cell"/>
    <tableColumn id="1" xr3:uid="{84598927-E00F-4762-A9FD-B4841CB376AD}" name="Material Reporting Category (Exemption Claim)" dataDxfId="201" dataCellStyle="Input"/>
    <tableColumn id="11" xr3:uid="{949C2F0B-6ED7-4423-825F-69EDB74DC63F}" name="Pounds Recycled through this Pathway" dataDxfId="200" dataCellStyle="Input"/>
    <tableColumn id="18" xr3:uid="{094A1232-B3CC-4723-98FE-72C4DB783DA1}" name="How many of the pounds recycled through this pathway were supplied by this producer?" dataDxfId="199" dataCellStyle="Input"/>
    <tableColumn id="3" xr3:uid="{30E30820-B9F3-4168-A989-445B4840DF99}" name="Did this producer arrange for the recycling collection?" dataDxfId="198" dataCellStyle="Input"/>
    <tableColumn id="13" xr3:uid="{209B63A5-EB15-494C-AE1A-F7713607687D}" name="Third-Party Recycling Arranger Note" dataDxfId="197" dataCellStyle="Check Cell">
      <calculatedColumnFormula>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calculatedColumnFormula>
    </tableColumn>
    <tableColumn id="4" xr3:uid="{F7E0CDC1-77CB-4563-A784-476709F16CC1}" name="Collection or Transportation Service Provider Name" dataDxfId="196" dataCellStyle="Input"/>
    <tableColumn id="19" xr3:uid="{14105974-B4A3-4B9C-B6D1-F098BC348485}" name="Collection Company Type (autofill)" dataDxfId="195" dataCellStyle="Linked Cell">
      <calculatedColumnFormula>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calculatedColumnFormula>
    </tableColumn>
    <tableColumn id="6" xr3:uid="{7F36C42D-F453-4314-9D36-4D7ABFAD341E}" name="If the collector is OTR, was the service provided under OTR?" dataDxfId="194" dataCellStyle="Input"/>
    <tableColumn id="28" xr3:uid="{EAEB74C3-6CCC-433A-B877-8FDAA6BCFFBD}" name="OTR Ineligibility Warning" dataDxfId="193" dataCellStyle="Check Cell">
      <calculatedColumnFormula>IF(TR_5ExemptionClaim[[#This Row],[If the collector is OTR, was the service provided under OTR?]]="Yes","Warning: Material collected under OTR service is not eligible for exemption.","")</calculatedColumnFormula>
    </tableColumn>
    <tableColumn id="10" xr3:uid="{D5EE4FA6-43DD-4A3C-9CA4-76C8378FC2F3}" name="Documentation of pounds handled by this collector" dataDxfId="192" dataCellStyle="Input"/>
    <tableColumn id="7" xr3:uid="{3063D0BD-96D2-4FB8-B385-EC8D6DB02A8C}" name="Did a CRPF ever handle the material before it reached the end market?" dataDxfId="191" dataCellStyle="Input"/>
    <tableColumn id="14" xr3:uid="{A85DD155-4493-4A9A-8AAD-A7CC293FB7C5}" name="CRPF name" dataDxfId="190" dataCellStyle="Input"/>
    <tableColumn id="8" xr3:uid="{56880441-2F57-4E1A-AF36-1D5D75330CE3}" name="If a CRPF handled the material, did the material undergo separation from other materials at the CRPF?" dataDxfId="189" dataCellStyle="Input"/>
    <tableColumn id="29" xr3:uid="{F80939FC-A0DD-4CF9-83E1-CD46EBF6B532}" name="CRPF Separation Ineligibility Warning" dataDxfId="188" dataCellStyle="Check Cell">
      <calculatedColumnFormula>IF(TR_5ExemptionClaim[[#This Row],[If a CRPF handled the material, did the material undergo separation from other materials at the CRPF?]]="Yes","Warning: Material separated at a CRPF is not eligible for exemption.","")</calculatedColumnFormula>
    </tableColumn>
    <tableColumn id="5" xr3:uid="{97A968AA-49FC-48F6-97A4-0F9DBA933A85}" name="End Market Name" dataDxfId="187" dataCellStyle="Input"/>
    <tableColumn id="17" xr3:uid="{6FCC8E27-B6F9-493A-9F97-9E896BBE915A}" name="Documentation of pounds sent to this end market" dataDxfId="186" dataCellStyle="Input"/>
    <tableColumn id="15" xr3:uid="{B4E9140D-9CFE-4211-B36E-BD21E62A9118}" name="Check: collection ineligibility" dataDxfId="185" dataCellStyle="Check Cell">
      <calculatedColumnFormula>IF(TR_5ExemptionClaim[[#This Row],[If the collector is OTR, was the service provided under OTR?]]="Yes","Not Eligible","")</calculatedColumnFormula>
    </tableColumn>
    <tableColumn id="12" xr3:uid="{3F9D967B-16AE-407D-AABA-14B437671E0D}" name="Check: CRPF non-separation ineligibility" dataDxfId="184" dataCellStyle="Check Cell">
      <calculatedColumnFormula>IF(TR_5ExemptionClaim[[#This Row],[If a CRPF handled the material, did the material undergo separation from other materials at the CRPF?]]="Yes","Not Eligible","")</calculatedColumnFormula>
    </tableColumn>
    <tableColumn id="46" xr3:uid="{CC6E4D86-9459-4597-8DE1-1B716A82F320}" name="Check: materials not supplied" dataDxfId="183" dataCellStyle="Check Cell">
      <calculatedColumnFormula>IF(TR_5ExemptionClaim[[#This Row],[Material Reporting Category (Exemption Claim)]]="","",(IFERROR(0*MATCH(TR_5ExemptionClaim[[#This Row],[Material Reporting Category (Exemption Claim)]],TR_2SuppliedPounds[Material Reporting Category],0),1)))</calculatedColumnFormula>
    </tableColumn>
    <tableColumn id="36" xr3:uid="{5E4D9803-0326-451E-A15B-F8A809E6BBFE}" name="Check: end market does not exist" dataDxfId="182" dataCellStyle="Check Cell">
      <calculatedColumnFormula>IF(TR_5ExemptionClaim[[#This Row],[End Market Name]]="",0,IFERROR(MATCH(TR_5ExemptionClaim[[#This Row],[End Market Name]],TR_4EndMarkets[Lookup: material+market],0)*0,1))</calculatedColumnFormula>
    </tableColumn>
    <tableColumn id="16" xr3:uid="{75B3CE44-ABEC-4E23-AB02-69CBA869EE63}" name="Check: duplicate pathways" dataDxfId="181" dataCellStyle="Check Cell">
      <calculatedColumnFormula>IF(TR_5ExemptionClaim[[#This Row],[Subcheck: unique]]="",0,IF(COUNTIFS(TR_5ExemptionClaim[Subcheck: unique left],TR_5ExemptionClaim[[#This Row],[Subcheck: unique left]],TR_5ExemptionClaim[Subcheck: unique right],TR_5ExemptionClaim[[#This Row],[Subcheck: unique right]])&gt;1,1,0))</calculatedColumnFormula>
    </tableColumn>
    <tableColumn id="33" xr3:uid="{78136976-597E-4BBE-87B6-DF2457C707A4}" name="Check material+market mismatch" dataDxfId="180" dataCellStyle="Check Cell">
      <calculatedColumnFormula>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calculatedColumnFormula>
    </tableColumn>
    <tableColumn id="21" xr3:uid="{7417F237-A2C3-47E9-91CB-62CE222C56E0}" name="Check: missing info" dataDxfId="179" dataCellStyle="Check Cell">
      <calculatedColumnFormula>IF(TR_5ExemptionClaim[[#This Row],[Material Reporting Category (Exemption Claim)]]=0,0,IF(SUM(TR_5ExemptionClaim[[#This Row],[Subcheck: minimum entry]:[Subcheck: missing CRPF info]])=0,0,1))</calculatedColumnFormula>
    </tableColumn>
    <tableColumn id="32" xr3:uid="{EB652694-700A-436A-AE20-E389383955C1}" name="Check: extra info" dataDxfId="178" dataCellStyle="Check Cell">
      <calculatedColumnFormula>IF(TR_5ExemptionClaim[[#This Row],[Material Reporting Category (Exemption Claim)]]&lt;&gt;"",0,TR_5ExemptionClaim[[#This Row],[Subcheck: any inputs in row]])</calculatedColumnFormula>
    </tableColumn>
    <tableColumn id="27" xr3:uid="{8B21A3FE-46D0-467C-8035-E579ACFE33E4}" name="Check pounds (within row)" dataDxfId="177" dataCellStyle="Check Cell">
      <calculatedColumnFormula>IF(TR_5ExemptionClaim[[#This Row],[How many of the pounds recycled through this pathway were supplied by this producer?]]&gt;TR_5ExemptionClaim[[#This Row],[Pounds Recycled through this Pathway]],1,0)</calculatedColumnFormula>
    </tableColumn>
    <tableColumn id="20" xr3:uid="{F53EBB1B-3C95-4487-88CD-AA499FED979A}" name="Check pounds (against Producer Info)" dataDxfId="176" dataCellStyle="Check Cell">
      <calculatedColumnFormula>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calculatedColumnFormula>
    </tableColumn>
    <tableColumn id="30" xr3:uid="{BF80EA0A-00EC-4578-9336-B4BA80DDF55B}" name="Check pounds (Third Party Substantiated)" dataDxfId="175" dataCellStyle="Check Cell">
      <calculatedColumnFormula>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calculatedColumnFormula>
    </tableColumn>
    <tableColumn id="22" xr3:uid="{DA84764E-B72B-418D-8431-419A9114A309}" name="Subcheck: any inputs in row" dataDxfId="174" dataCellStyle="Check Cell">
      <calculatedColumnFormula>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calculatedColumnFormula>
    </tableColumn>
    <tableColumn id="23" xr3:uid="{B0A3AAF9-570B-4B26-9E6D-C7E5F2FE2F95}" name="Subcheck: minimum entry" dataDxfId="173" dataCellStyle="Check Cell">
      <calculatedColumnFormula>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calculatedColumnFormula>
    </tableColumn>
    <tableColumn id="24" xr3:uid="{979D0355-E50C-4F45-9959-8D69038D3C8B}" name="Subcheck: missing OTR info" dataDxfId="172" dataCellStyle="Check Cell">
      <calculatedColumnFormula>IF(TR_5ExemptionClaim[[#This Row],[Collection Company Type (autofill)]]&lt;&gt;Lookups!$K$13,0,IF(TR_5ExemptionClaim[[#This Row],[If the collector is OTR, was the service provided under OTR?]]&lt;&gt;"",0,1))</calculatedColumnFormula>
    </tableColumn>
    <tableColumn id="25" xr3:uid="{C2EA47EC-400D-4134-BC4B-6B1BA46B8071}" name="Subcheck: missing CRPF info" dataDxfId="171" dataCellStyle="Check Cell">
      <calculatedColumnFormula>IF(TR_5ExemptionClaim[[#This Row],[Did a CRPF ever handle the material before it reached the end market?]]&lt;&gt;"Yes",0,IF(COUNTA(TR_5ExemptionClaim[[#This Row],[CRPF name]:[CRPF Separation Ineligibility Warning]])=3,0,1))</calculatedColumnFormula>
    </tableColumn>
    <tableColumn id="26" xr3:uid="{C39D96FD-32CA-49D3-BAFC-34E063FCB5D4}" name="Subcheck: unique" dataDxfId="170" dataCellStyle="Check Cell">
      <calculatedColumnFormula>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calculatedColumnFormula>
    </tableColumn>
    <tableColumn id="35" xr3:uid="{2084FA29-BD98-40E8-B771-F7EACA4C28AF}" name="Subcheck: unique left" dataDxfId="169" dataCellStyle="Check Cell">
      <calculatedColumnFormula>LEFT(TR_5ExemptionClaim[[#This Row],[Subcheck: unique]],250)</calculatedColumnFormula>
    </tableColumn>
    <tableColumn id="34" xr3:uid="{90FCC178-91A7-4768-A713-1AE764D01F32}" name="Subcheck: unique right" dataDxfId="168" dataCellStyle="Check Cell">
      <calculatedColumnFormula>RIGHT(TR_5ExemptionClaim[[#This Row],[Subcheck: unique]],250)</calculatedColumnFormula>
    </tableColumn>
    <tableColumn id="45" xr3:uid="{D726F739-AF9C-4645-8BD9-586EA526AB56}" name="Include in Summary" dataDxfId="167" dataCellStyle="Check Cell">
      <calculatedColumnFormula>IF(OR(TR_5ExemptionClaim[[#This Row],[Check: collection ineligibility]]="Not Eligible",TR_5ExemptionClaim[[#This Row],[Check: CRPF non-separation ineligibility]]="Not Eligible",SUM(TR_5ExemptionClaim[[#This Row],[Check: end market does not exist]:[Check pounds (Third Party Substantiated)]])&gt;0),0,1)</calculatedColumnFormula>
    </tableColumn>
    <tableColumn id="2" xr3:uid="{383E3705-93FC-4313-BDEB-12336CB8B7BB}" name="Lookup: for arranger tab" dataDxfId="166" dataCellStyle="Check Cell">
      <calculatedColumnFormula>IF(TR_5ExemptionClaim[[#This Row],[Did this producer arrange for the recycling collection?]]="No",TR_5ExemptionClaim[[#This Row],[ID_EC]],"")</calculatedColumnFormula>
    </tableColumn>
    <tableColumn id="31" xr3:uid="{74032FB1-3BC2-4CB7-B253-9555B9678692}" name="Producer ID" dataDxfId="165" dataCellStyle="Linked Cell">
      <calculatedColumnFormula>IF(DR_ProducerID=0,"",DR_ProducerID)</calculatedColumnFormula>
    </tableColumn>
    <tableColumn id="39" xr3:uid="{8A6F5924-226A-49AC-B127-CCF4B1D88DA6}" name="DEQ 2B Notes" dataDxfId="164" dataCellStyle="Linked Cell">
      <calculatedColumnFormula>IFERROR(INDEX(TR_2SuppliedPounds[DEQ 2B Notes],MATCH(TR_5ExemptionClaim[[#This Row],[Material Reporting Category (Exemption Claim)]],TR_2SuppliedPounds[Material Reporting Category],0)),"")</calculatedColumnFormula>
    </tableColumn>
    <tableColumn id="40" xr3:uid="{58598B80-156D-4D7D-A0A3-6AACF190D2DC}" name="DEQ 3B Notes" dataDxfId="163" dataCellStyle="Linked Cell">
      <calculatedColumnFormula>IFERROR(INDEX(TR_3Collectors[DEQ 3B Notes],MATCH(TR_5ExemptionClaim[[#This Row],[Collection or Transportation Service Provider Name]],TR_3Collectors[Collection or Transportation Service Provider Name],0)),"")</calculatedColumnFormula>
    </tableColumn>
    <tableColumn id="41" xr3:uid="{AC80E005-8CFD-43AF-BA23-212533FE7A8D}" name="DEQ 4B Notes" dataDxfId="162" dataCellStyle="Linked Cell">
      <calculatedColumnFormula>IFERROR(INDEX(TR_4EndMarkets[DEQ 4B Notes],MATCH(TR_5ExemptionClaim[[#This Row],[End Market Name]],TR_4EndMarkets[Lookup: material+market],0)),"")</calculatedColumnFormula>
    </tableColumn>
    <tableColumn id="38" xr3:uid="{734D7701-F366-4A9D-BEBF-34BA5AABF53B}" name="DEQ 6B Notes" dataDxfId="161" dataCellStyle="Linked Cell">
      <calculatedColumnFormula>IFERROR(INDEX(TR_6RecyclingArranger[DEQ 6B Notes],MATCH(TR_5ExemptionClaim[[#This Row],[ID_EC]],TR_6RecyclingArranger[ID_EC],0)),"")</calculatedColumnFormula>
    </tableColumn>
    <tableColumn id="44" xr3:uid="{19A86272-F7A5-45C6-A061-64F6FAE20ED9}" name="DEQ 6B Eligible Pounds" dataDxfId="160" dataCellStyle="Linked Cell">
      <calculatedColumnFormula>SUMIFS(TR_6RecyclingArranger[DEQ 6B Eligible Pounds],TR_6RecyclingArranger[ID_EC],TR_5ExemptionClaim[[#This Row],[ID_EC]])</calculatedColumnFormula>
    </tableColumn>
    <tableColumn id="43" xr3:uid="{0FCC28B1-D159-41A6-BB64-6B99B662A2FD}" name="DEQ 5B Notes" dataDxfId="159" dataCellStyle="Note"/>
    <tableColumn id="37" xr3:uid="{681D8E69-5832-4294-80B9-DDE424D343A6}" name="DEQ 5B Eligible Pounds" dataDxfId="158" dataCellStyle="Note"/>
  </tableColumns>
  <tableStyleInfo name="TableStyleLight8"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E26D7AE-E18D-448E-B474-8E95C415284F}" name="TR_6RecyclingArranger" displayName="TR_6RecyclingArranger" ref="A5:U355" totalsRowShown="0" headerRowDxfId="157" dataDxfId="156">
  <autoFilter ref="A5:U355" xr:uid="{8E26D7AE-E18D-448E-B474-8E95C415284F}"/>
  <tableColumns count="21">
    <tableColumn id="1" xr3:uid="{AB426262-18FF-45CB-9B0B-BE5B2FF565DE}" name="ID_RA" dataDxfId="155" dataCellStyle="Linked Cell"/>
    <tableColumn id="2" xr3:uid="{256D6287-6008-461A-A216-70A4AA7F0180}" name="ID_EC" dataDxfId="154" dataCellStyle="Input"/>
    <tableColumn id="6" xr3:uid="{4B650E6A-CAC8-441C-811B-DB1134B5D4CC}" name="Name of Third-Party Recycling Arranger" dataDxfId="153" dataCellStyle="Input"/>
    <tableColumn id="5" xr3:uid="{3E3C8079-A00E-4781-8215-7591BA574F8E}" name="Material and End Market" dataDxfId="152" dataCellStyle="Check Cell">
      <calculatedColumnFormula>IF(TR_6RecyclingArranger[[#This Row],[ID_EC]]="","",INDEX(TR_5ExemptionClaim[End Market Name],MATCH(TR_6RecyclingArranger[[#This Row],[ID_EC]],TR_5ExemptionClaim[ID_EC],0)))</calculatedColumnFormula>
    </tableColumn>
    <tableColumn id="4" xr3:uid="{C23864FD-0E13-4252-9C04-1516B7D3245D}" name="Collection or Transportation Service Provider" dataDxfId="151" dataCellStyle="Check Cell">
      <calculatedColumnFormula>IF(TR_6RecyclingArranger[[#This Row],[ID_EC]]="","",INDEX(TR_5ExemptionClaim[Collection or Transportation Service Provider Name],MATCH(TR_6RecyclingArranger[[#This Row],[ID_EC]],TR_5ExemptionClaim[ID_EC],0)))</calculatedColumnFormula>
    </tableColumn>
    <tableColumn id="22" xr3:uid="{E7954634-B76D-427B-8F16-9F9F2FD769FF}" name="CRPF" dataDxfId="150" dataCellStyle="Check Cell">
      <calculatedColumnFormula>IF(TR_6RecyclingArranger[[#This Row],[ID_EC]]="","",IF(INDEX(TR_5ExemptionClaim[CRPF name],MATCH(TR_6RecyclingArranger[[#This Row],[ID_EC]],TR_5ExemptionClaim[ID_EC],0))=0,"None",INDEX(TR_5ExemptionClaim[CRPF name],MATCH(TR_6RecyclingArranger[[#This Row],[ID_EC]],TR_5ExemptionClaim[ID_EC],0))))</calculatedColumnFormula>
    </tableColumn>
    <tableColumn id="8" xr3:uid="{696E7665-850F-444D-99EF-B075D888937E}" name="Pounds of Producer's Material Recycled by this Recycling Arranger" dataDxfId="149" dataCellStyle="Input"/>
    <tableColumn id="9" xr3:uid="{9E093601-95F6-4708-85D2-F42CE4CC17EB}" name="Recycling Arranger Website" dataDxfId="148" dataCellStyle="Normal"/>
    <tableColumn id="10" xr3:uid="{07FCDEEC-BC5D-4907-9C42-71AA008CC2BA}" name="Recycling Arranger Contact Name" dataDxfId="147" dataCellStyle="Input"/>
    <tableColumn id="11" xr3:uid="{CC98884C-3B37-4AB6-ADEB-BF073C84943E}" name="Recycling Arranger Contact Phone" dataDxfId="146" dataCellStyle="Input"/>
    <tableColumn id="12" xr3:uid="{AAEC6068-44A0-4116-A032-F7797FD6AF1B}" name="Recycling Arranger Contact Email" dataDxfId="145" dataCellStyle="Input"/>
    <tableColumn id="14" xr3:uid="{03B0D2AC-30EC-45BF-AAB6-636EDD162E65}" name="Check: duplicates" dataDxfId="144" dataCellStyle="Check Cell">
      <calculatedColumnFormula>IF(COUNTIFS(TR_6RecyclingArranger[ID_EC],TR_6RecyclingArranger[[#This Row],[ID_EC]],TR_6RecyclingArranger[Name of Third-Party Recycling Arranger],TR_6RecyclingArranger[[#This Row],[Name of Third-Party Recycling Arranger]])&gt;1,1,0)</calculatedColumnFormula>
    </tableColumn>
    <tableColumn id="7" xr3:uid="{19E0B9DF-A79E-4C07-8389-537E866F9E3F}" name="Check: wrong ID_EC" dataDxfId="143" dataCellStyle="Check Cell">
      <calculatedColumnFormula>IF(TR_6RecyclingArranger[[#This Row],[ID_EC]]="",0,IFERROR(0*MATCH(TR_6RecyclingArranger[[#This Row],[ID_EC]],TR_5ExemptionClaim[Lookup: for arranger tab],0),1))</calculatedColumnFormula>
    </tableColumn>
    <tableColumn id="15" xr3:uid="{0775E033-656E-4272-B49C-5F4A6C9F5F37}" name="Check: missing info" dataDxfId="142" dataCellStyle="Check Cell">
      <calculatedColumnFormula>IF(TR_6RecyclingArranger[[#This Row],[ID_EC]]="",0,IF(COUNTA(TR_6RecyclingArranger[[#This Row],[Name of Third-Party Recycling Arranger]],TR_6RecyclingArranger[[#This Row],[Pounds of Producer''s Material Recycled by this Recycling Arranger]:[Recycling Arranger Contact Email]])=7,0,1))</calculatedColumnFormula>
    </tableColumn>
    <tableColumn id="20" xr3:uid="{28F36DB3-3B15-4B9E-BF53-5C1FDBD0723F}" name="Check: extra info" dataDxfId="141" dataCellStyle="Check Cell">
      <calculatedColumnFormula>IF(TR_6RecyclingArranger[[#This Row],[ID_EC]]&lt;&gt;"",0,IF(COUNTA(TR_6RecyclingArranger[[#This Row],[Name of Third-Party Recycling Arranger]],TR_6RecyclingArranger[[#This Row],[Pounds of Producer''s Material Recycled by this Recycling Arranger]:[Recycling Arranger Contact Email]])&gt;0,1,0))</calculatedColumnFormula>
    </tableColumn>
    <tableColumn id="18" xr3:uid="{A2FEAD0C-9CCD-492E-865B-96805EF02C8E}" name="Check: pounds (against full 5B)" dataDxfId="140" dataCellStyle="Check Cell">
      <calculatedColumnFormula>IF(TR_6RecyclingArranger[[#This Row],[Lookup: pounds (this table)]]&gt;TR_6RecyclingArranger[[#This Row],[Lookup: pounds (5B tab)]],1,0)</calculatedColumnFormula>
    </tableColumn>
    <tableColumn id="16" xr3:uid="{9CA115E4-52B5-4E5C-B45F-B9E32C137A2D}" name="Lookup: pounds (this table)" dataDxfId="139" dataCellStyle="Check Cell">
      <calculatedColumnFormula>SUMIFS(TR_6RecyclingArranger[Pounds of Producer''s Material Recycled by this Recycling Arranger],TR_6RecyclingArranger[ID_EC],TR_6RecyclingArranger[[#This Row],[ID_EC]])</calculatedColumnFormula>
    </tableColumn>
    <tableColumn id="17" xr3:uid="{21F85EE8-4BE9-4CF2-B597-B72CC485592E}" name="Lookup: pounds (5B tab)" dataDxfId="138" dataCellStyle="Check Cell">
      <calculatedColumnFormula>IFERROR(INDEX(TR_5ExemptionClaim[How many of the pounds recycled through this pathway were supplied by this producer?],MATCH(TR_6RecyclingArranger[[#This Row],[ID_EC]],TR_5ExemptionClaim[ID_EC],0)),0)</calculatedColumnFormula>
    </tableColumn>
    <tableColumn id="19" xr3:uid="{2E539ECC-5059-418A-A058-FFDE2E955766}" name="Producer ID" dataDxfId="137" dataCellStyle="Linked Cell">
      <calculatedColumnFormula>IF(DR_ProducerID=0,"",DR_ProducerID)</calculatedColumnFormula>
    </tableColumn>
    <tableColumn id="3" xr3:uid="{6788DCA6-42E8-4E27-919D-CBA6C3ECE3F9}" name="DEQ 6B Notes" dataDxfId="136" dataCellStyle="Note"/>
    <tableColumn id="23" xr3:uid="{10C8197F-575A-410A-AFE4-FF53111D1E4C}" name="DEQ 6B Eligible Pounds" dataDxfId="135" dataCellStyle="Note"/>
  </tableColumns>
  <tableStyleInfo name="TableStyleLight8" showFirstColumn="0" showLastColumn="0" showRowStripes="1" showColumnStripes="1"/>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9244B0-79D8-463C-9C07-E34DAE1BDDED}" name="TS_ClaimSummary" displayName="TS_ClaimSummary" ref="A68:E93" totalsRowShown="0" headerRowDxfId="134" dataDxfId="133">
  <autoFilter ref="A68:E93" xr:uid="{549244B0-79D8-463C-9C07-E34DAE1BDDED}"/>
  <tableColumns count="5">
    <tableColumn id="1" xr3:uid="{477FA212-2E67-4964-AB04-7BB14B8C46D9}" name="ID_MS" dataDxfId="132" dataCellStyle="Linked Cell"/>
    <tableColumn id="2" xr3:uid="{A2C53771-B7E4-4714-92AB-5887E1EB2635}" name="Material Reporting Category" dataDxfId="131" dataCellStyle="Linked Cell">
      <calculatedColumnFormula>IF(INDEX(TR_2SuppliedPounds[Material Reporting Category],MATCH(TS_ClaimSummary[[#This Row],[ID_MS]],TR_2SuppliedPounds[ID_MS],0))=0,"",INDEX(TR_2SuppliedPounds[Material Reporting Category],MATCH(TS_ClaimSummary[[#This Row],[ID_MS]],TR_2SuppliedPounds[ID_MS],0)))</calculatedColumnFormula>
    </tableColumn>
    <tableColumn id="3" xr3:uid="{5066EC69-896D-416E-9CF9-271DFC337853}" name="2B Supply Pounds" dataDxfId="130" dataCellStyle="Check Cell">
      <calculatedColumnFormula>INDEX(TR_2SuppliedPounds[Supply Pounds To Use],MATCH(TS_ClaimSummary[[#This Row],[ID_MS]],TR_2SuppliedPounds[ID_MS],0))</calculatedColumnFormula>
    </tableColumn>
    <tableColumn id="4" xr3:uid="{7AACF406-C09D-4814-AD7A-38ADEC432968}" name="5B Exemption Claim Pounds" dataDxfId="129" dataCellStyle="Check Cell">
      <calculatedColumnFormula>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calculatedColumnFormula>
    </tableColumn>
    <tableColumn id="5" xr3:uid="{1F303DE7-9193-4EFC-8ED0-056D633B75A2}" name="5B DEQ Eligible Pounds" dataDxfId="128">
      <calculatedColumnFormula>SUMIFS(TR_5ExemptionClaim[DEQ 5B Eligible Pounds],TR_5ExemptionClaim[Material Reporting Category (Exemption Claim)],TS_ClaimSummary[[#This Row],[Material Reporting Category]])</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691734-9A7E-4680-856A-AB9224F83130}" name="TL_Materials" displayName="TL_Materials" ref="A11:E71" totalsRowShown="0" headerRowDxfId="127" dataDxfId="126">
  <autoFilter ref="A11:E71" xr:uid="{02691734-9A7E-4680-856A-AB9224F83130}"/>
  <sortState xmlns:xlrd2="http://schemas.microsoft.com/office/spreadsheetml/2017/richdata2" ref="A12:E71">
    <sortCondition ref="D12:D71"/>
    <sortCondition ref="C12:C71"/>
    <sortCondition ref="E12:E71"/>
  </sortState>
  <tableColumns count="5">
    <tableColumn id="1" xr3:uid="{74316807-9DAD-4BC2-B696-BF0F1AD6BEDD}" name="Material Class" dataDxfId="125"/>
    <tableColumn id="4" xr3:uid="{BFE3E0C7-45FA-4F3E-93B3-F5D50D55B349}" name="Reporting Category" dataDxfId="124"/>
    <tableColumn id="2" xr3:uid="{3DCED690-0F9F-4C62-B42B-68A013F3A2E9}" name="Class Order" dataDxfId="123"/>
    <tableColumn id="5" xr3:uid="{D65DDEDF-9C85-47D4-BF47-1096ABB4ACA0}" name="Material Order" dataDxfId="122"/>
    <tableColumn id="3" xr3:uid="{066C5EE1-691C-4402-9987-2B558D02C044}" name="Original Order" dataDxfId="121"/>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C36B227-B18F-493C-AC0B-B86DB68956BB}" name="TL_KnownEndMarkets" displayName="TL_KnownEndMarkets" ref="V11:CD71" totalsRowShown="0" headerRowDxfId="120" dataDxfId="119">
  <autoFilter ref="V11:CD71" xr:uid="{7C36B227-B18F-493C-AC0B-B86DB68956BB}"/>
  <tableColumns count="61">
    <tableColumn id="1" xr3:uid="{026A453C-A834-448D-9DF0-F80DEF18358D}" name="Reporting Category" dataDxfId="118"/>
    <tableColumn id="2" xr3:uid="{53545A58-85FC-488B-9E7D-384F5B81F631}" name="Newspapers" dataDxfId="117"/>
    <tableColumn id="3" xr3:uid="{A937C06F-A00E-48F1-A421-F77E4FE566A4}" name="Newsprint (inserts and circulars)" dataDxfId="116"/>
    <tableColumn id="4" xr3:uid="{ED387EAE-8337-4D81-894C-4E977C5ECA00}" name="Magazines, Catalogs and Directories" dataDxfId="115"/>
    <tableColumn id="5" xr3:uid="{041A63C9-354D-4C85-990C-301F8221E70D}" name="Paper for General Use" dataDxfId="114"/>
    <tableColumn id="6" xr3:uid="{765A0BAD-4D87-4109-8508-E9B415A995A8}" name="Other Printed Materials" dataDxfId="113"/>
    <tableColumn id="7" xr3:uid="{0057C235-5012-4851-8BDA-BEC02CB9D003}" name="Glass Bottles and Jars &amp; Other Containers " dataDxfId="112"/>
    <tableColumn id="8" xr3:uid="{920C093C-77C6-409F-AFE5-5FC418991087}" name="Ceramic - All Forms" dataDxfId="111"/>
    <tableColumn id="9" xr3:uid="{8AE84C16-4A29-43E0-BE0D-2890E6363BD9}" name="Aluminum Containers" dataDxfId="110"/>
    <tableColumn id="10" xr3:uid="{4A1E0B3E-A1F8-4881-95DC-23BAC30867E7}" name="Aluminum Foil and Molded Containers" dataDxfId="109"/>
    <tableColumn id="11" xr3:uid="{7F540FA1-A902-4A4D-BD68-6FFA846963E3}" name="Aluminum Aerosol Containers" dataDxfId="108"/>
    <tableColumn id="12" xr3:uid="{C8E867D9-802C-41C8-B5F1-546AC91EA83D}" name="Aluminum - Other Forms" dataDxfId="107"/>
    <tableColumn id="13" xr3:uid="{A27D7E69-5C54-49A8-A697-5C6FCF4736F8}" name="Steel Containers" dataDxfId="106"/>
    <tableColumn id="14" xr3:uid="{4B1A73D0-A985-4786-9E44-4002A966EB55}" name="Steel Aerosol Containers" dataDxfId="105"/>
    <tableColumn id="15" xr3:uid="{CB705179-7F4A-4D94-8819-365BA8678BFB}" name="Steel - Other Forms" dataDxfId="104"/>
    <tableColumn id="16" xr3:uid="{A90AEF43-6891-4D11-8F1A-E55BED38B623}" name="Metal - Small Format" dataDxfId="103"/>
    <tableColumn id="17" xr3:uid="{83ECB957-C0D9-4BD2-BCE4-60BC9501A421}" name="Pressurized cylinders" dataDxfId="102"/>
    <tableColumn id="18" xr3:uid="{DBF24242-9D52-4D5A-978F-569D4E5C18A9}" name="Aseptic and Gable-top Cartons" dataDxfId="101"/>
    <tableColumn id="19" xr3:uid="{FBF46F66-8797-475E-94EB-7843C6E3FC0F}" name="Kraft Paper" dataDxfId="100"/>
    <tableColumn id="20" xr3:uid="{905DD11A-CFD9-4CD0-8424-8055BB5CE32D}" name="Corrugated Cardboard " dataDxfId="99"/>
    <tableColumn id="21" xr3:uid="{C3FFE1AC-7350-4B28-A1D3-4A713B8DA256}" name="Corrugated Cardboard (Tertiary/transport) non-consumer" dataDxfId="98"/>
    <tableColumn id="22" xr3:uid="{E66A0F34-DA95-4E09-92D1-D82959BFF3CB}" name="Paperboard" dataDxfId="97"/>
    <tableColumn id="23" xr3:uid="{919A6D11-0717-4A77-9EAB-889D9D1D465C}" name="Polycoated Paperboard" dataDxfId="96"/>
    <tableColumn id="24" xr3:uid="{862CA48A-C9FA-4845-9DAA-157F6F469693}" name="Other Paper Laminates" dataDxfId="95"/>
    <tableColumn id="25" xr3:uid="{05BCC147-67C3-4F0A-B2A3-80108A52D789}" name="Other Paper Packaging " dataDxfId="94"/>
    <tableColumn id="26" xr3:uid="{E9A21B4C-C8B1-4092-A962-A94ADA9804F1}" name="Paper - Small Format" dataDxfId="93"/>
    <tableColumn id="27" xr3:uid="{E6C30A8A-7252-4E95-A880-AE19CB306E06}" name="PET (#1) - Bottles, Jugs, and Jars (Clear/Natural)" dataDxfId="92"/>
    <tableColumn id="28" xr3:uid="{50AC792E-070B-4D4E-B964-CC8866AAADCD}" name="PET (#1) - Bottles, Jugs, and Jars (Pigmented/Color)" dataDxfId="91"/>
    <tableColumn id="29" xr3:uid="{EC81D23B-3EEC-4159-A32D-285450D610A3}" name="PET (#1) - Tubs" dataDxfId="90"/>
    <tableColumn id="30" xr3:uid="{719CA64A-5EA3-4B82-B34A-8B9DEF754194}" name="PET (#1) - Thermoformed Containers, Cups, Plates, Trays" dataDxfId="89"/>
    <tableColumn id="31" xr3:uid="{96599EAD-284E-4632-88B7-A28238FD2C00}" name="PET (#1) - Lids" dataDxfId="88"/>
    <tableColumn id="32" xr3:uid="{479C15EA-4FD4-4A2B-98B2-662A27C14EC1}" name="PET (#1) - Other Rigid Items " dataDxfId="87"/>
    <tableColumn id="33" xr3:uid="{89D419C2-857C-4F67-ACFD-214B7C80CDBE}" name="HDPE (#2) - Bottles, Jugs and Jars (Clear/Natural)" dataDxfId="86"/>
    <tableColumn id="34" xr3:uid="{28303B69-9C48-41DF-814D-AD60CC98432B}" name="HDPE (#2) - Bottles, Jugs and Jars (Pigmented/Color)" dataDxfId="85"/>
    <tableColumn id="35" xr3:uid="{5C599582-1DAC-40B3-B169-E7F2B66A8E8F}" name="HDPE (#2) - Pails &amp; Buckets" dataDxfId="84"/>
    <tableColumn id="36" xr3:uid="{0E6C67E7-CF24-4946-8C88-E32BA2C44685}" name="HDPE (#2) - Tubs, Nursery (plant) pots &amp; trays" dataDxfId="83"/>
    <tableColumn id="37" xr3:uid="{DEBEFC0E-FBFB-4738-857E-184472E70FE0}" name="HDPE (#2) - Package Handles, Lids" dataDxfId="82"/>
    <tableColumn id="38" xr3:uid="{61021B39-5053-4D1B-891F-46C3EB1369D7}" name="HDPE (#2) - Other Rigid Items " dataDxfId="81"/>
    <tableColumn id="39" xr3:uid="{3730283F-1B9C-4494-BFC7-653DB4C1F5F9}" name="PVC (#3) - Rigid Items" dataDxfId="80"/>
    <tableColumn id="40" xr3:uid="{BCB2B130-F79F-4E29-AC84-BF7EF9423B42}" name="LDPE (#4) - Bottles, Jugs and Jars" dataDxfId="79"/>
    <tableColumn id="41" xr3:uid="{618073F0-D76F-417B-8AFD-A4AFB4454E0D}" name="LDPE (#4) - Lids" dataDxfId="78"/>
    <tableColumn id="42" xr3:uid="{A7020A36-3555-465B-B999-0B6C1EE76585}" name="LDPE (#4) - Other Rigid Items" dataDxfId="77"/>
    <tableColumn id="43" xr3:uid="{76C58C6D-8F9E-4DDC-8C45-BB0BD1A098E6}" name="PP (#5) - Bottles, Jugs and Jars" dataDxfId="76"/>
    <tableColumn id="44" xr3:uid="{72084298-D8E6-4A7D-B056-901A69A6912C}" name="PP (#5) - Tubs, Pails and Buckets, Nursery (plant) pots &amp; trays" dataDxfId="75"/>
    <tableColumn id="45" xr3:uid="{EF50E8FE-5365-40E6-98AD-0B5340F6A42D}" name="PP (#5) - Lids" dataDxfId="74"/>
    <tableColumn id="46" xr3:uid="{A402A6D2-8280-483E-AB13-6885082C9BFF}" name="PP (#5) - Other Rigid Containers, Cups, Plates, Trays (non-nursery (plant))" dataDxfId="73"/>
    <tableColumn id="47" xr3:uid="{4289C63C-52DC-4F0E-8E6A-887CAC17DB38}" name="PP (#5) - Other Rigid Items" dataDxfId="72"/>
    <tableColumn id="48" xr3:uid="{609FD10B-5C9A-4EF2-A534-E43522528881}" name="PS (#6) Expanded/Foamed Hinged Containers, Plates, Cups, Tubs, Trays, and Other Foamed Containers" dataDxfId="71"/>
    <tableColumn id="49" xr3:uid="{627032D7-4917-4B32-8721-AFF96CE06D1B}" name="PS (#6) White Expanded/Foamed Cushioning" dataDxfId="70"/>
    <tableColumn id="50" xr3:uid="{14AC1411-76AE-460E-8960-8531284507DA}" name="PS (#6) Colored Expanded/Foamed Cushioning" dataDxfId="69"/>
    <tableColumn id="51" xr3:uid="{B44AF601-F999-4321-A2D9-7D09A0DDA2ED}" name="PS (#6) Rigid Non-Expanded " dataDxfId="68"/>
    <tableColumn id="52" xr3:uid="{C4202476-30AC-4D7D-BA76-69983FAD417E}" name="PLA, PHA, PHB - Rigid Items" dataDxfId="67"/>
    <tableColumn id="53" xr3:uid="{5E95C8D1-D519-442F-9B35-85D87639EBEB}" name="Other/Mixed Rigid Plastic " dataDxfId="66"/>
    <tableColumn id="54" xr3:uid="{6B87D855-B50A-4EB9-B64F-B7A26F6AB754}" name="HDPE (#2)/LDPE (#4) Flexible and Film Items" dataDxfId="65"/>
    <tableColumn id="55" xr3:uid="{61436303-1B15-40D4-8684-9890799C9EB9}" name="HDPE (#2)/LDPE (#4) (Pallet Wrap) non-consumer" dataDxfId="64"/>
    <tableColumn id="56" xr3:uid="{6C5340C1-E40C-4BFF-965F-FB246DFC2F7C}" name="PP (#5) Flexible and Film Items" dataDxfId="63"/>
    <tableColumn id="57" xr3:uid="{C1179121-27DF-47EF-86C7-275594C95094}" name="PLA, PHA, PHB - Flexible and Film Items" dataDxfId="62"/>
    <tableColumn id="58" xr3:uid="{AB07E0BC-75BD-4F30-9F65-9AB4A9FFEBB8}" name="Plastic Laminates and Other Flexible Plastic Packaging" dataDxfId="61"/>
    <tableColumn id="59" xr3:uid="{D2011886-80BE-4996-990D-DBD51460112F}" name="Plastic - Small Format" dataDxfId="60"/>
    <tableColumn id="60" xr3:uid="{4CB0ADD4-625C-490A-BC98-4B0552986290}" name="Plastic containers for motor oil, antifreeze, or other automotive fluids, pesticides or herbicides, or other hazardous materials (flammable, corrosive, reactive, toxic)" dataDxfId="59"/>
    <tableColumn id="61" xr3:uid="{503930FE-0858-4373-B8DC-3076A23D68F8}" name="Wood and Other Organic Materials" dataDxfId="58"/>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Kirstin's Pretties 2024">
      <a:dk1>
        <a:sysClr val="windowText" lastClr="000000"/>
      </a:dk1>
      <a:lt1>
        <a:sysClr val="window" lastClr="FFFFFF"/>
      </a:lt1>
      <a:dk2>
        <a:srgbClr val="6E5E52"/>
      </a:dk2>
      <a:lt2>
        <a:srgbClr val="E3E2E0"/>
      </a:lt2>
      <a:accent1>
        <a:srgbClr val="4C9CCE"/>
      </a:accent1>
      <a:accent2>
        <a:srgbClr val="42BABE"/>
      </a:accent2>
      <a:accent3>
        <a:srgbClr val="80BC5E"/>
      </a:accent3>
      <a:accent4>
        <a:srgbClr val="C8D64E"/>
      </a:accent4>
      <a:accent5>
        <a:srgbClr val="F0B828"/>
      </a:accent5>
      <a:accent6>
        <a:srgbClr val="D86018"/>
      </a:accent6>
      <a:hlink>
        <a:srgbClr val="4C9CCE"/>
      </a:hlink>
      <a:folHlink>
        <a:srgbClr val="80BC5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regon.gov/deq/about-us/Pages/titleVIaccess.aspx" TargetMode="External"/><Relationship Id="rId13" Type="http://schemas.openxmlformats.org/officeDocument/2006/relationships/hyperlink" Target="https://www.oregon.gov/deq/about-us/Pages/titleVIaccess.aspx" TargetMode="External"/><Relationship Id="rId18" Type="http://schemas.openxmlformats.org/officeDocument/2006/relationships/printerSettings" Target="../printerSettings/printerSettings1.bin"/><Relationship Id="rId3" Type="http://schemas.openxmlformats.org/officeDocument/2006/relationships/hyperlink" Target="https://circularactionalliance.org/producer-resource-center" TargetMode="External"/><Relationship Id="rId7" Type="http://schemas.openxmlformats.org/officeDocument/2006/relationships/hyperlink" Target="mailto:deqinfo@deq.state.or.us" TargetMode="External"/><Relationship Id="rId12" Type="http://schemas.openxmlformats.org/officeDocument/2006/relationships/hyperlink" Target="https://www.oregon.gov/deq/about-us/Pages/titleVIaccess.aspx" TargetMode="External"/><Relationship Id="rId17" Type="http://schemas.openxmlformats.org/officeDocument/2006/relationships/hyperlink" Target="mailto:nicole.portley@deq.oregon.gov?subject=Covered%20Product%20Exemption%20Process%20Question" TargetMode="External"/><Relationship Id="rId2" Type="http://schemas.openxmlformats.org/officeDocument/2006/relationships/hyperlink" Target="mailto:Producer.Support@circularaction.org" TargetMode="External"/><Relationship Id="rId16" Type="http://schemas.openxmlformats.org/officeDocument/2006/relationships/hyperlink" Target="mailto:nicole.portley@deq.oregon.gov?subject=Covered%20Product%20Exemption%20Process%20Question" TargetMode="External"/><Relationship Id="rId1" Type="http://schemas.openxmlformats.org/officeDocument/2006/relationships/hyperlink" Target="https://productstewardship.us/webinar/webinar-series-preparing-producers-for-oregon-packaging-epr" TargetMode="External"/><Relationship Id="rId6" Type="http://schemas.openxmlformats.org/officeDocument/2006/relationships/hyperlink" Target="mailto:product.exemption@deq.oregon.gov" TargetMode="External"/><Relationship Id="rId11" Type="http://schemas.openxmlformats.org/officeDocument/2006/relationships/hyperlink" Target="https://www.oregon.gov/deq/about-us/Pages/titleVIaccess.aspx" TargetMode="External"/><Relationship Id="rId5" Type="http://schemas.openxmlformats.org/officeDocument/2006/relationships/hyperlink" Target="https://www.oregon.gov/deq/recycling/Pages/RMA-Exemptions.aspx" TargetMode="External"/><Relationship Id="rId15" Type="http://schemas.openxmlformats.org/officeDocument/2006/relationships/hyperlink" Target="https://www.oregon.gov/deq/about-us/Pages/titleVIaccess.aspx" TargetMode="External"/><Relationship Id="rId10" Type="http://schemas.openxmlformats.org/officeDocument/2006/relationships/hyperlink" Target="https://www.oregon.gov/deq/about-us/Pages/titleVIaccess.aspx" TargetMode="External"/><Relationship Id="rId4" Type="http://schemas.openxmlformats.org/officeDocument/2006/relationships/hyperlink" Target="https://www.oregon.gov/deq/recycling/Pages/RMA-Exemptions.aspx" TargetMode="External"/><Relationship Id="rId9" Type="http://schemas.openxmlformats.org/officeDocument/2006/relationships/hyperlink" Target="https://www.oregon.gov/deq/about-us/Pages/titleVIaccess.aspx" TargetMode="External"/><Relationship Id="rId14" Type="http://schemas.openxmlformats.org/officeDocument/2006/relationships/hyperlink" Target="https://www.oregon.gov/deq/about-us/Pages/titleVIaccess.aspx" TargetMode="Externa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hyperlink" Target="mailto:product.exemption@deq.oregon.gov"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4"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oregon.gov/deq/recycling/Pages/RMA-Exemptions.aspx"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78FF-DBBB-4BD2-882C-B6E47F146B70}">
  <sheetPr>
    <tabColor theme="1"/>
  </sheetPr>
  <dimension ref="A1:E127"/>
  <sheetViews>
    <sheetView showGridLines="0" tabSelected="1" zoomScaleNormal="100" workbookViewId="0">
      <selection activeCell="A2" sqref="A2"/>
    </sheetView>
  </sheetViews>
  <sheetFormatPr defaultColWidth="0" defaultRowHeight="14.25" x14ac:dyDescent="0.2"/>
  <cols>
    <col min="1" max="1" width="26.75" style="173" customWidth="1"/>
    <col min="2" max="2" width="126.5" style="174" customWidth="1"/>
    <col min="3" max="3" width="15" style="172" customWidth="1"/>
    <col min="4" max="4" width="9" style="172" hidden="1" customWidth="1"/>
    <col min="5" max="5" width="0" style="172" hidden="1" customWidth="1"/>
    <col min="6" max="16384" width="8" style="172" hidden="1"/>
  </cols>
  <sheetData>
    <row r="1" spans="1:3" ht="51.75" customHeight="1" thickBot="1" x14ac:dyDescent="0.4">
      <c r="A1" s="234" t="s">
        <v>834</v>
      </c>
      <c r="B1" s="235" t="e" vm="1">
        <v>#VALUE!</v>
      </c>
      <c r="C1" s="171"/>
    </row>
    <row r="2" spans="1:3" ht="29.25" thickTop="1" x14ac:dyDescent="0.2">
      <c r="A2" s="66" t="s">
        <v>1281</v>
      </c>
      <c r="B2" s="174" t="s">
        <v>1273</v>
      </c>
    </row>
    <row r="4" spans="1:3" ht="20.25" thickBot="1" x14ac:dyDescent="0.25">
      <c r="A4" s="18" t="s">
        <v>806</v>
      </c>
      <c r="B4" s="175"/>
      <c r="C4" s="175"/>
    </row>
    <row r="5" spans="1:3" ht="15" thickTop="1" x14ac:dyDescent="0.2"/>
    <row r="6" spans="1:3" ht="17.25" thickBot="1" x14ac:dyDescent="0.25">
      <c r="A6" s="25" t="s">
        <v>261</v>
      </c>
      <c r="B6" s="31"/>
    </row>
    <row r="7" spans="1:3" ht="43.5" thickTop="1" x14ac:dyDescent="0.2">
      <c r="A7" s="32" t="s">
        <v>1152</v>
      </c>
      <c r="B7" s="109" t="s">
        <v>1249</v>
      </c>
    </row>
    <row r="8" spans="1:3" x14ac:dyDescent="0.2">
      <c r="B8" s="176"/>
    </row>
    <row r="9" spans="1:3" ht="17.25" thickBot="1" x14ac:dyDescent="0.25">
      <c r="A9" s="25" t="s">
        <v>216</v>
      </c>
      <c r="B9" s="31"/>
      <c r="C9" s="31"/>
    </row>
    <row r="10" spans="1:3" ht="29.25" thickTop="1" x14ac:dyDescent="0.2">
      <c r="A10" s="32" t="s">
        <v>1151</v>
      </c>
      <c r="B10" s="174" t="s">
        <v>876</v>
      </c>
    </row>
    <row r="11" spans="1:3" ht="28.5" x14ac:dyDescent="0.2">
      <c r="A11" s="32" t="s">
        <v>807</v>
      </c>
      <c r="B11" s="109" t="s">
        <v>1221</v>
      </c>
    </row>
    <row r="13" spans="1:3" ht="17.25" thickBot="1" x14ac:dyDescent="0.25">
      <c r="A13" s="25" t="s">
        <v>219</v>
      </c>
      <c r="B13" s="31"/>
    </row>
    <row r="14" spans="1:3" ht="43.5" thickTop="1" x14ac:dyDescent="0.2">
      <c r="A14" s="32" t="s">
        <v>808</v>
      </c>
      <c r="B14" s="177" t="s">
        <v>217</v>
      </c>
    </row>
    <row r="15" spans="1:3" ht="28.5" x14ac:dyDescent="0.2">
      <c r="A15" s="32" t="s">
        <v>809</v>
      </c>
      <c r="B15" s="178" t="s">
        <v>1250</v>
      </c>
    </row>
    <row r="17" spans="1:5" ht="17.25" thickBot="1" x14ac:dyDescent="0.25">
      <c r="A17" s="25" t="s">
        <v>215</v>
      </c>
      <c r="B17" s="31"/>
      <c r="C17" s="31"/>
    </row>
    <row r="18" spans="1:5" ht="29.25" thickTop="1" x14ac:dyDescent="0.2">
      <c r="A18" s="32" t="s">
        <v>810</v>
      </c>
      <c r="B18" s="174" t="s">
        <v>1191</v>
      </c>
      <c r="C18" s="2"/>
    </row>
    <row r="20" spans="1:5" s="20" customFormat="1" ht="17.25" thickBot="1" x14ac:dyDescent="0.25">
      <c r="A20" s="25" t="s">
        <v>260</v>
      </c>
      <c r="B20" s="31"/>
    </row>
    <row r="21" spans="1:5" ht="29.25" thickTop="1" x14ac:dyDescent="0.2">
      <c r="A21" s="67" t="s">
        <v>1127</v>
      </c>
      <c r="B21" s="109" t="s">
        <v>1223</v>
      </c>
    </row>
    <row r="22" spans="1:5" x14ac:dyDescent="0.2">
      <c r="A22" s="67" t="s">
        <v>1126</v>
      </c>
      <c r="B22" s="167" t="s">
        <v>1122</v>
      </c>
    </row>
    <row r="23" spans="1:5" ht="28.5" x14ac:dyDescent="0.2">
      <c r="A23" s="67" t="s">
        <v>1179</v>
      </c>
      <c r="B23" s="180" t="s">
        <v>850</v>
      </c>
    </row>
    <row r="24" spans="1:5" ht="28.5" x14ac:dyDescent="0.2">
      <c r="A24" s="67" t="s">
        <v>1129</v>
      </c>
      <c r="B24" s="178" t="s">
        <v>1226</v>
      </c>
      <c r="E24" s="7"/>
    </row>
    <row r="25" spans="1:5" ht="28.5" x14ac:dyDescent="0.2">
      <c r="A25" s="67" t="s">
        <v>1196</v>
      </c>
      <c r="B25" s="178" t="s">
        <v>1191</v>
      </c>
      <c r="E25" s="7"/>
    </row>
    <row r="26" spans="1:5" x14ac:dyDescent="0.2">
      <c r="A26" s="67" t="s">
        <v>1128</v>
      </c>
      <c r="B26" s="181" t="s">
        <v>1176</v>
      </c>
      <c r="E26" s="7"/>
    </row>
    <row r="27" spans="1:5" x14ac:dyDescent="0.2">
      <c r="A27" s="67" t="s">
        <v>1178</v>
      </c>
      <c r="B27" s="128" t="s">
        <v>1175</v>
      </c>
      <c r="E27" s="7"/>
    </row>
    <row r="28" spans="1:5" ht="28.5" x14ac:dyDescent="0.2">
      <c r="A28" s="67" t="s">
        <v>1180</v>
      </c>
      <c r="B28" s="128" t="s">
        <v>1177</v>
      </c>
      <c r="E28" s="7"/>
    </row>
    <row r="29" spans="1:5" ht="57" x14ac:dyDescent="0.2">
      <c r="A29" s="67" t="s">
        <v>1197</v>
      </c>
      <c r="B29" s="128" t="s">
        <v>1195</v>
      </c>
      <c r="E29" s="7"/>
    </row>
    <row r="30" spans="1:5" ht="28.5" x14ac:dyDescent="0.2">
      <c r="A30" s="67" t="s">
        <v>1198</v>
      </c>
      <c r="B30" s="128" t="s">
        <v>1227</v>
      </c>
      <c r="E30" s="7"/>
    </row>
    <row r="31" spans="1:5" ht="42.75" x14ac:dyDescent="0.2">
      <c r="A31" s="67"/>
      <c r="B31" s="128" t="s">
        <v>1225</v>
      </c>
    </row>
    <row r="32" spans="1:5" x14ac:dyDescent="0.2">
      <c r="A32" s="172"/>
      <c r="B32" s="172"/>
    </row>
    <row r="33" spans="1:3" ht="20.25" thickBot="1" x14ac:dyDescent="0.25">
      <c r="A33" s="18" t="s">
        <v>218</v>
      </c>
      <c r="B33" s="175"/>
      <c r="C33" s="13"/>
    </row>
    <row r="34" spans="1:3" ht="15" thickTop="1" x14ac:dyDescent="0.2"/>
    <row r="35" spans="1:3" ht="17.25" thickBot="1" x14ac:dyDescent="0.25">
      <c r="A35" s="25" t="s">
        <v>1148</v>
      </c>
      <c r="B35" s="31"/>
      <c r="C35" s="20"/>
    </row>
    <row r="36" spans="1:3" ht="15.75" thickTop="1" x14ac:dyDescent="0.2">
      <c r="A36" s="33" t="s">
        <v>811</v>
      </c>
      <c r="B36" s="34" t="s">
        <v>204</v>
      </c>
    </row>
    <row r="37" spans="1:3" x14ac:dyDescent="0.2">
      <c r="B37" s="182"/>
    </row>
    <row r="38" spans="1:3" ht="17.25" thickBot="1" x14ac:dyDescent="0.25">
      <c r="A38" s="183" t="s">
        <v>1147</v>
      </c>
      <c r="B38" s="184"/>
      <c r="C38" s="20"/>
    </row>
    <row r="39" spans="1:3" ht="15.75" thickTop="1" x14ac:dyDescent="0.2">
      <c r="A39" s="33" t="s">
        <v>1144</v>
      </c>
      <c r="B39" s="174" t="s">
        <v>205</v>
      </c>
    </row>
    <row r="40" spans="1:3" ht="15" x14ac:dyDescent="0.2">
      <c r="A40" s="33" t="s">
        <v>1145</v>
      </c>
      <c r="B40" s="174" t="s">
        <v>206</v>
      </c>
    </row>
    <row r="41" spans="1:3" ht="15" x14ac:dyDescent="0.2">
      <c r="A41" s="33" t="s">
        <v>1146</v>
      </c>
      <c r="B41" s="65" t="s">
        <v>1121</v>
      </c>
    </row>
    <row r="43" spans="1:3" ht="17.25" thickBot="1" x14ac:dyDescent="0.25">
      <c r="A43" s="25" t="s">
        <v>799</v>
      </c>
      <c r="B43" s="184"/>
      <c r="C43" s="20"/>
    </row>
    <row r="44" spans="1:3" ht="15.75" thickTop="1" x14ac:dyDescent="0.2">
      <c r="A44" s="33" t="s">
        <v>1149</v>
      </c>
      <c r="B44" s="65" t="s">
        <v>1121</v>
      </c>
    </row>
    <row r="45" spans="1:3" ht="15" x14ac:dyDescent="0.2">
      <c r="A45" s="33" t="s">
        <v>1150</v>
      </c>
      <c r="B45" s="185" t="s">
        <v>1131</v>
      </c>
    </row>
    <row r="46" spans="1:3" ht="15" x14ac:dyDescent="0.2">
      <c r="A46" s="33" t="s">
        <v>812</v>
      </c>
      <c r="B46" s="65" t="s">
        <v>1279</v>
      </c>
    </row>
    <row r="47" spans="1:3" ht="15" x14ac:dyDescent="0.2">
      <c r="A47" s="33" t="s">
        <v>1252</v>
      </c>
      <c r="B47" s="65" t="s">
        <v>1280</v>
      </c>
    </row>
    <row r="48" spans="1:3" ht="15" x14ac:dyDescent="0.2">
      <c r="A48" s="33" t="s">
        <v>1123</v>
      </c>
      <c r="B48" s="186" t="s">
        <v>1124</v>
      </c>
    </row>
    <row r="49" spans="1:3" ht="15" x14ac:dyDescent="0.2">
      <c r="A49" s="33" t="s">
        <v>1125</v>
      </c>
      <c r="B49" s="35" t="s">
        <v>798</v>
      </c>
    </row>
    <row r="50" spans="1:3" ht="15" x14ac:dyDescent="0.2">
      <c r="A50" s="33" t="s">
        <v>813</v>
      </c>
      <c r="B50" s="35" t="s">
        <v>797</v>
      </c>
    </row>
    <row r="51" spans="1:3" ht="15" x14ac:dyDescent="0.2">
      <c r="A51" s="33"/>
      <c r="B51" s="35"/>
    </row>
    <row r="53" spans="1:3" ht="17.25" thickBot="1" x14ac:dyDescent="0.25">
      <c r="A53" s="25" t="s">
        <v>214</v>
      </c>
      <c r="B53" s="31"/>
      <c r="C53" s="20"/>
    </row>
    <row r="54" spans="1:3" ht="29.25" thickTop="1" x14ac:dyDescent="0.2">
      <c r="A54" s="32" t="s">
        <v>814</v>
      </c>
      <c r="B54" s="36" t="s">
        <v>210</v>
      </c>
    </row>
    <row r="55" spans="1:3" x14ac:dyDescent="0.2">
      <c r="A55" s="32" t="s">
        <v>815</v>
      </c>
      <c r="B55" s="36" t="s">
        <v>207</v>
      </c>
    </row>
    <row r="56" spans="1:3" x14ac:dyDescent="0.2">
      <c r="A56" s="32" t="s">
        <v>816</v>
      </c>
      <c r="B56" s="36" t="s">
        <v>208</v>
      </c>
    </row>
    <row r="57" spans="1:3" x14ac:dyDescent="0.2">
      <c r="A57" s="32" t="s">
        <v>871</v>
      </c>
      <c r="B57" s="36" t="s">
        <v>209</v>
      </c>
    </row>
    <row r="58" spans="1:3" ht="28.5" x14ac:dyDescent="0.2">
      <c r="A58" s="32" t="s">
        <v>817</v>
      </c>
      <c r="B58" s="114" t="s">
        <v>211</v>
      </c>
    </row>
    <row r="59" spans="1:3" x14ac:dyDescent="0.2">
      <c r="A59" s="32" t="s">
        <v>818</v>
      </c>
      <c r="B59" s="178" t="s">
        <v>212</v>
      </c>
    </row>
    <row r="60" spans="1:3" x14ac:dyDescent="0.2">
      <c r="A60" s="32" t="s">
        <v>819</v>
      </c>
      <c r="B60" s="178" t="s">
        <v>213</v>
      </c>
    </row>
    <row r="61" spans="1:3" x14ac:dyDescent="0.2">
      <c r="A61" s="32" t="s">
        <v>1133</v>
      </c>
      <c r="B61" s="116" t="s">
        <v>1132</v>
      </c>
    </row>
    <row r="62" spans="1:3" x14ac:dyDescent="0.2">
      <c r="A62" s="32" t="s">
        <v>1134</v>
      </c>
      <c r="B62" s="116" t="s">
        <v>1136</v>
      </c>
    </row>
    <row r="63" spans="1:3" x14ac:dyDescent="0.2">
      <c r="A63" s="32" t="s">
        <v>1135</v>
      </c>
      <c r="B63" s="116" t="s">
        <v>1159</v>
      </c>
    </row>
    <row r="64" spans="1:3" x14ac:dyDescent="0.2">
      <c r="A64" s="32" t="s">
        <v>1160</v>
      </c>
      <c r="B64" s="115" t="s">
        <v>1188</v>
      </c>
    </row>
    <row r="66" spans="1:4" ht="17.25" thickBot="1" x14ac:dyDescent="0.25">
      <c r="A66" s="25" t="s">
        <v>155</v>
      </c>
      <c r="B66" s="31"/>
      <c r="C66" s="20"/>
    </row>
    <row r="67" spans="1:4" ht="29.25" thickTop="1" x14ac:dyDescent="0.2">
      <c r="A67" s="118" t="s">
        <v>820</v>
      </c>
      <c r="B67" s="117" t="s">
        <v>1222</v>
      </c>
      <c r="C67" s="7"/>
      <c r="D67" s="7"/>
    </row>
    <row r="68" spans="1:4" ht="15" x14ac:dyDescent="0.2">
      <c r="A68" s="119" t="s">
        <v>821</v>
      </c>
      <c r="B68" s="178" t="s">
        <v>822</v>
      </c>
      <c r="C68" s="7"/>
      <c r="D68" s="7"/>
    </row>
    <row r="69" spans="1:4" ht="15" x14ac:dyDescent="0.2">
      <c r="A69" s="119" t="s">
        <v>93</v>
      </c>
      <c r="B69" s="178" t="s">
        <v>1190</v>
      </c>
      <c r="C69" s="7"/>
      <c r="D69" s="7"/>
    </row>
    <row r="70" spans="1:4" ht="15" x14ac:dyDescent="0.2">
      <c r="A70" s="119" t="s">
        <v>156</v>
      </c>
      <c r="B70" s="178" t="s">
        <v>823</v>
      </c>
    </row>
    <row r="71" spans="1:4" ht="15" x14ac:dyDescent="0.2">
      <c r="A71" s="119" t="s">
        <v>824</v>
      </c>
      <c r="B71" s="178" t="s">
        <v>825</v>
      </c>
    </row>
    <row r="72" spans="1:4" ht="28.5" x14ac:dyDescent="0.2">
      <c r="A72" s="119" t="s">
        <v>1199</v>
      </c>
      <c r="B72" s="178" t="s">
        <v>1248</v>
      </c>
    </row>
    <row r="73" spans="1:4" ht="15" x14ac:dyDescent="0.2">
      <c r="A73" s="119" t="s">
        <v>1034</v>
      </c>
      <c r="B73" s="178" t="s">
        <v>1035</v>
      </c>
    </row>
    <row r="74" spans="1:4" ht="15" x14ac:dyDescent="0.2">
      <c r="A74" s="119" t="s">
        <v>125</v>
      </c>
      <c r="B74" s="178" t="s">
        <v>826</v>
      </c>
    </row>
    <row r="75" spans="1:4" ht="15" x14ac:dyDescent="0.2">
      <c r="A75" s="119" t="s">
        <v>1138</v>
      </c>
      <c r="B75" s="178" t="s">
        <v>1155</v>
      </c>
    </row>
    <row r="76" spans="1:4" ht="30" x14ac:dyDescent="0.2">
      <c r="A76" s="119" t="s">
        <v>827</v>
      </c>
      <c r="B76" s="116" t="s">
        <v>1156</v>
      </c>
    </row>
    <row r="77" spans="1:4" ht="128.25" x14ac:dyDescent="0.2">
      <c r="A77" s="119" t="s">
        <v>828</v>
      </c>
      <c r="B77" s="116" t="s">
        <v>1187</v>
      </c>
      <c r="C77" s="174"/>
    </row>
    <row r="78" spans="1:4" ht="15" x14ac:dyDescent="0.2">
      <c r="A78" s="119" t="s">
        <v>829</v>
      </c>
      <c r="B78" s="178" t="s">
        <v>1137</v>
      </c>
    </row>
    <row r="79" spans="1:4" ht="15" x14ac:dyDescent="0.2">
      <c r="A79" s="119" t="s">
        <v>830</v>
      </c>
      <c r="B79" s="116" t="s">
        <v>1189</v>
      </c>
    </row>
    <row r="80" spans="1:4" ht="28.5" x14ac:dyDescent="0.2">
      <c r="A80" s="119" t="s">
        <v>831</v>
      </c>
      <c r="B80" s="116" t="s">
        <v>1130</v>
      </c>
    </row>
    <row r="82" spans="1:3" ht="20.25" thickBot="1" x14ac:dyDescent="0.25">
      <c r="A82" s="18" t="s">
        <v>220</v>
      </c>
      <c r="B82" s="175"/>
      <c r="C82" s="175"/>
    </row>
    <row r="83" spans="1:3" ht="15" thickTop="1" x14ac:dyDescent="0.2"/>
    <row r="84" spans="1:3" ht="17.25" thickBot="1" x14ac:dyDescent="0.25">
      <c r="A84" s="25" t="s">
        <v>832</v>
      </c>
      <c r="B84" s="31" t="s">
        <v>833</v>
      </c>
      <c r="C84" s="20"/>
    </row>
    <row r="85" spans="1:3" ht="15.75" thickTop="1" x14ac:dyDescent="0.2">
      <c r="A85" s="220" t="s">
        <v>834</v>
      </c>
      <c r="B85" s="177" t="s">
        <v>1061</v>
      </c>
    </row>
    <row r="86" spans="1:3" ht="15" x14ac:dyDescent="0.2">
      <c r="A86" s="221" t="s">
        <v>835</v>
      </c>
      <c r="B86" s="178" t="s">
        <v>1063</v>
      </c>
    </row>
    <row r="87" spans="1:3" ht="15" x14ac:dyDescent="0.2">
      <c r="A87" s="221" t="s">
        <v>836</v>
      </c>
      <c r="B87" s="178" t="s">
        <v>1062</v>
      </c>
    </row>
    <row r="88" spans="1:3" ht="15" x14ac:dyDescent="0.2">
      <c r="A88" s="221" t="s">
        <v>837</v>
      </c>
      <c r="B88" s="178" t="s">
        <v>1072</v>
      </c>
    </row>
    <row r="89" spans="1:3" ht="15" x14ac:dyDescent="0.2">
      <c r="A89" s="221" t="s">
        <v>838</v>
      </c>
      <c r="B89" s="178" t="s">
        <v>1064</v>
      </c>
    </row>
    <row r="90" spans="1:3" ht="28.5" x14ac:dyDescent="0.2">
      <c r="A90" s="221" t="s">
        <v>839</v>
      </c>
      <c r="B90" s="178" t="s">
        <v>1070</v>
      </c>
    </row>
    <row r="91" spans="1:3" ht="15" x14ac:dyDescent="0.2">
      <c r="A91" s="221" t="s">
        <v>840</v>
      </c>
      <c r="B91" s="178" t="s">
        <v>1066</v>
      </c>
    </row>
    <row r="92" spans="1:3" ht="28.5" x14ac:dyDescent="0.2">
      <c r="A92" s="221" t="s">
        <v>841</v>
      </c>
      <c r="B92" s="178" t="s">
        <v>1071</v>
      </c>
    </row>
    <row r="93" spans="1:3" ht="15" x14ac:dyDescent="0.2">
      <c r="A93" s="221" t="s">
        <v>842</v>
      </c>
      <c r="B93" s="178" t="s">
        <v>1065</v>
      </c>
    </row>
    <row r="94" spans="1:3" ht="42.75" x14ac:dyDescent="0.2">
      <c r="A94" s="221" t="s">
        <v>1059</v>
      </c>
      <c r="B94" s="178" t="s">
        <v>1069</v>
      </c>
    </row>
    <row r="95" spans="1:3" ht="15" x14ac:dyDescent="0.2">
      <c r="A95" s="221" t="s">
        <v>1060</v>
      </c>
      <c r="B95" s="178" t="s">
        <v>1067</v>
      </c>
    </row>
    <row r="96" spans="1:3" ht="28.5" x14ac:dyDescent="0.2">
      <c r="A96" s="221" t="s">
        <v>843</v>
      </c>
      <c r="B96" s="178" t="s">
        <v>1068</v>
      </c>
    </row>
    <row r="97" spans="1:3" ht="15" x14ac:dyDescent="0.2">
      <c r="A97" s="221" t="s">
        <v>844</v>
      </c>
      <c r="B97" s="178" t="s">
        <v>1073</v>
      </c>
    </row>
    <row r="98" spans="1:3" ht="28.5" x14ac:dyDescent="0.2">
      <c r="A98" s="221" t="s">
        <v>845</v>
      </c>
      <c r="B98" s="178" t="s">
        <v>1109</v>
      </c>
    </row>
    <row r="100" spans="1:3" ht="17.25" thickBot="1" x14ac:dyDescent="0.25">
      <c r="A100" s="25" t="s">
        <v>221</v>
      </c>
      <c r="B100" s="187"/>
      <c r="C100" s="20"/>
    </row>
    <row r="101" spans="1:3" ht="15" thickTop="1" x14ac:dyDescent="0.2">
      <c r="A101" s="32" t="s">
        <v>846</v>
      </c>
      <c r="B101" s="188" t="s">
        <v>894</v>
      </c>
    </row>
    <row r="102" spans="1:3" ht="15" x14ac:dyDescent="0.2">
      <c r="A102" s="32" t="s">
        <v>123</v>
      </c>
      <c r="B102" s="37" t="s">
        <v>895</v>
      </c>
    </row>
    <row r="103" spans="1:3" ht="15" x14ac:dyDescent="0.2">
      <c r="A103" s="32" t="s">
        <v>892</v>
      </c>
      <c r="B103" s="38" t="s">
        <v>1229</v>
      </c>
    </row>
    <row r="104" spans="1:3" x14ac:dyDescent="0.2">
      <c r="A104" s="32" t="s">
        <v>896</v>
      </c>
      <c r="B104" s="111" t="s">
        <v>897</v>
      </c>
    </row>
    <row r="105" spans="1:3" x14ac:dyDescent="0.2">
      <c r="A105" s="32" t="s">
        <v>847</v>
      </c>
      <c r="B105" s="189" t="s">
        <v>893</v>
      </c>
    </row>
    <row r="106" spans="1:3" x14ac:dyDescent="0.2">
      <c r="A106" s="32" t="s">
        <v>848</v>
      </c>
      <c r="B106" s="216" t="s">
        <v>1228</v>
      </c>
    </row>
    <row r="108" spans="1:3" ht="17.25" thickBot="1" x14ac:dyDescent="0.25">
      <c r="A108" s="25" t="s">
        <v>1241</v>
      </c>
      <c r="B108" s="31"/>
      <c r="C108" s="20"/>
    </row>
    <row r="109" spans="1:3" ht="43.5" thickTop="1" x14ac:dyDescent="0.2">
      <c r="A109" s="118" t="s">
        <v>1242</v>
      </c>
      <c r="B109" s="177" t="s">
        <v>1245</v>
      </c>
    </row>
    <row r="110" spans="1:3" ht="28.5" x14ac:dyDescent="0.2">
      <c r="A110" s="119" t="s">
        <v>1243</v>
      </c>
      <c r="B110" s="178" t="s">
        <v>1244</v>
      </c>
    </row>
    <row r="111" spans="1:3" ht="28.5" x14ac:dyDescent="0.2">
      <c r="A111" s="119" t="s">
        <v>1246</v>
      </c>
      <c r="B111" s="178" t="s">
        <v>1247</v>
      </c>
    </row>
    <row r="113" spans="1:3" ht="17.25" thickBot="1" x14ac:dyDescent="0.25">
      <c r="A113" s="25" t="s">
        <v>1251</v>
      </c>
      <c r="B113" s="31"/>
      <c r="C113" s="20"/>
    </row>
    <row r="114" spans="1:3" ht="15" thickTop="1" x14ac:dyDescent="0.2">
      <c r="A114" s="222" t="s">
        <v>1270</v>
      </c>
      <c r="B114" s="223" t="s">
        <v>1265</v>
      </c>
    </row>
    <row r="115" spans="1:3" ht="28.5" x14ac:dyDescent="0.2">
      <c r="A115" s="224" t="s">
        <v>1268</v>
      </c>
      <c r="B115" s="147" t="s">
        <v>1267</v>
      </c>
    </row>
    <row r="116" spans="1:3" ht="15" x14ac:dyDescent="0.2">
      <c r="A116" s="227" t="s">
        <v>1272</v>
      </c>
      <c r="B116" s="228" t="s">
        <v>1266</v>
      </c>
    </row>
    <row r="117" spans="1:3" ht="15" x14ac:dyDescent="0.2">
      <c r="A117" s="229" t="s">
        <v>1271</v>
      </c>
      <c r="B117" s="230" t="s">
        <v>1264</v>
      </c>
    </row>
    <row r="118" spans="1:3" s="173" customFormat="1" ht="15" x14ac:dyDescent="0.2">
      <c r="A118" s="227" t="s">
        <v>1259</v>
      </c>
      <c r="B118" s="232" t="s">
        <v>1262</v>
      </c>
    </row>
    <row r="119" spans="1:3" s="173" customFormat="1" ht="15.75" x14ac:dyDescent="0.2">
      <c r="A119" s="231" t="s">
        <v>1260</v>
      </c>
      <c r="B119" s="233">
        <v>711</v>
      </c>
    </row>
    <row r="120" spans="1:3" s="173" customFormat="1" ht="15.75" x14ac:dyDescent="0.2">
      <c r="A120" s="226" t="s">
        <v>1261</v>
      </c>
      <c r="B120" s="225" t="s">
        <v>1263</v>
      </c>
    </row>
    <row r="121" spans="1:3" ht="15" x14ac:dyDescent="0.2">
      <c r="A121" s="66" t="s">
        <v>1269</v>
      </c>
      <c r="B121" s="2" t="s">
        <v>1269</v>
      </c>
    </row>
    <row r="122" spans="1:3" x14ac:dyDescent="0.2">
      <c r="A122" s="219" t="s">
        <v>1269</v>
      </c>
      <c r="B122" s="218" t="s">
        <v>1253</v>
      </c>
    </row>
    <row r="123" spans="1:3" x14ac:dyDescent="0.2">
      <c r="A123" s="219" t="s">
        <v>1269</v>
      </c>
      <c r="B123" s="218" t="s">
        <v>1254</v>
      </c>
    </row>
    <row r="124" spans="1:3" x14ac:dyDescent="0.2">
      <c r="A124" s="219" t="s">
        <v>1269</v>
      </c>
      <c r="B124" s="218" t="s">
        <v>1255</v>
      </c>
    </row>
    <row r="125" spans="1:3" x14ac:dyDescent="0.2">
      <c r="A125" s="219" t="s">
        <v>1269</v>
      </c>
      <c r="B125" s="218" t="s">
        <v>1256</v>
      </c>
    </row>
    <row r="126" spans="1:3" x14ac:dyDescent="0.2">
      <c r="A126" s="219" t="s">
        <v>1269</v>
      </c>
      <c r="B126" s="218" t="s">
        <v>1257</v>
      </c>
    </row>
    <row r="127" spans="1:3" x14ac:dyDescent="0.2">
      <c r="A127" s="219" t="s">
        <v>1269</v>
      </c>
      <c r="B127" s="218" t="s">
        <v>1258</v>
      </c>
    </row>
  </sheetData>
  <sheetProtection algorithmName="SHA-512" hashValue="7N1rFcfsWwm1ubKmHHbxixXpF3FRAqbiB9vARHmcYZKore38iVe5ONNFjXfZ/f0itjlCuSNiEAP2jgm1BKYKjg==" saltValue="uvh/6z4ZjsycJJnciisjJw==" spinCount="100000" sheet="1" objects="1" scenarios="1"/>
  <hyperlinks>
    <hyperlink ref="B36" r:id="rId1" xr:uid="{CB65A15E-01E1-45BF-B239-05BA640E3C54}"/>
    <hyperlink ref="B50" r:id="rId2" xr:uid="{322C693C-02EF-430B-8BB9-2131D52F10C8}"/>
    <hyperlink ref="B49" r:id="rId3" tooltip="https://circularactionalliance.org/producer-resource-center" xr:uid="{19EB17FC-0CD7-4CC2-9117-119D79E96DE8}"/>
    <hyperlink ref="B44" r:id="rId4" xr:uid="{91D7FFB0-7989-432F-9DA7-D62419D56446}"/>
    <hyperlink ref="B41" r:id="rId5" xr:uid="{D003E572-CB41-4E3A-929C-5C13E708FEBC}"/>
    <hyperlink ref="B22" r:id="rId6" xr:uid="{71E581F5-4237-46A7-9A40-D9AC3D99C46B}"/>
    <hyperlink ref="B120" r:id="rId7" xr:uid="{F14FA07A-E4DB-41DB-A3A0-8920214AA70F}"/>
    <hyperlink ref="B117" r:id="rId8" xr:uid="{3F452FE3-E06A-4806-B255-79F9BD2820D8}"/>
    <hyperlink ref="B122" r:id="rId9" xr:uid="{8AD86D82-CBC3-4527-AAE5-0D860335333E}"/>
    <hyperlink ref="B123" r:id="rId10" display="https://www.oregon.gov/deq/about-us/Pages/titleVIaccess.aspx" xr:uid="{23C44DBD-12C1-4E8C-B503-177BA87ED435}"/>
    <hyperlink ref="B124" r:id="rId11" display="https://www.oregon.gov/deq/about-us/Pages/titleVIaccess.aspx" xr:uid="{1924E8D7-CE3C-47C8-BEC9-8342BA61A36D}"/>
    <hyperlink ref="B125" r:id="rId12" display="https://www.oregon.gov/deq/about-us/Pages/titleVIaccess.aspx" xr:uid="{A21ED78E-E3DE-47E2-9A07-E46DC771B878}"/>
    <hyperlink ref="B126" r:id="rId13" display="https://www.oregon.gov/deq/about-us/Pages/titleVIaccess.aspx" xr:uid="{25930C8B-3395-47C8-91C5-EEF2E2FB6F8E}"/>
    <hyperlink ref="B127" r:id="rId14" display="https://www.oregon.gov/deq/about-us/Pages/titleVIaccess.aspx" xr:uid="{A28648DE-1051-4B6B-89C2-B66387BA8B00}"/>
    <hyperlink ref="B116" r:id="rId15" display="https://www.oregon.gov/deq/about-us/Pages/titleVIaccess.aspx" xr:uid="{415847A6-9019-4F70-BD2A-065D50D19765}"/>
    <hyperlink ref="B46" r:id="rId16" xr:uid="{D990AB25-3606-4C81-8ADA-1A4DA59C0432}"/>
    <hyperlink ref="B47" r:id="rId17" xr:uid="{25301CF0-90B3-42BF-92A5-0704F4E2133A}"/>
  </hyperlinks>
  <pageMargins left="0.7" right="0.7" top="0.75" bottom="0.75" header="0.3" footer="0.3"/>
  <pageSetup orientation="portrait" horizontalDpi="1200" verticalDpi="1200"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DEE7-9290-45C8-9AD2-1F768B0DAF63}">
  <sheetPr>
    <tabColor theme="8" tint="0.39997558519241921"/>
  </sheetPr>
  <dimension ref="A1:D56"/>
  <sheetViews>
    <sheetView showGridLines="0" workbookViewId="0"/>
  </sheetViews>
  <sheetFormatPr defaultColWidth="0" defaultRowHeight="14.25" zeroHeight="1" x14ac:dyDescent="0.2"/>
  <cols>
    <col min="1" max="1" width="55.375" style="12" customWidth="1"/>
    <col min="2" max="2" width="9" style="87" customWidth="1"/>
    <col min="3" max="3" width="147.625" style="4" customWidth="1"/>
    <col min="4" max="4" width="9" style="69" customWidth="1"/>
    <col min="5" max="16384" width="9" style="69" hidden="1"/>
  </cols>
  <sheetData>
    <row r="1" spans="1:4" ht="24" thickBot="1" x14ac:dyDescent="0.4">
      <c r="A1" s="41" t="s">
        <v>1208</v>
      </c>
      <c r="B1" s="86"/>
      <c r="C1" s="43"/>
      <c r="D1" s="68"/>
    </row>
    <row r="2" spans="1:4" ht="15" thickTop="1" x14ac:dyDescent="0.2"/>
    <row r="3" spans="1:4" ht="20.25" thickBot="1" x14ac:dyDescent="0.35">
      <c r="A3" s="71" t="s">
        <v>884</v>
      </c>
      <c r="B3" s="88"/>
      <c r="C3" s="14"/>
      <c r="D3" s="70"/>
    </row>
    <row r="4" spans="1:4" ht="15" thickTop="1" x14ac:dyDescent="0.2">
      <c r="A4" s="12" t="s">
        <v>1235</v>
      </c>
    </row>
    <row r="5" spans="1:4" x14ac:dyDescent="0.2">
      <c r="A5" s="12" t="s">
        <v>788</v>
      </c>
    </row>
    <row r="6" spans="1:4" x14ac:dyDescent="0.2">
      <c r="A6" s="12" t="s">
        <v>1037</v>
      </c>
    </row>
    <row r="7" spans="1:4" x14ac:dyDescent="0.2"/>
    <row r="8" spans="1:4" ht="17.25" thickBot="1" x14ac:dyDescent="0.3">
      <c r="A8" s="19" t="s">
        <v>254</v>
      </c>
      <c r="B8" s="89" t="s">
        <v>255</v>
      </c>
      <c r="C8" s="21" t="s">
        <v>4</v>
      </c>
      <c r="D8" s="166"/>
    </row>
    <row r="9" spans="1:4" ht="15.75" thickTop="1" x14ac:dyDescent="0.25">
      <c r="A9" s="138" t="str">
        <f>TR_5ExemptionClaim[[#Headers],[ID_EC]]</f>
        <v>ID_EC</v>
      </c>
      <c r="B9" s="124" t="s">
        <v>77</v>
      </c>
      <c r="C9" s="131" t="s">
        <v>164</v>
      </c>
    </row>
    <row r="10" spans="1:4" ht="15" x14ac:dyDescent="0.25">
      <c r="A10" s="139" t="str">
        <f>TR_5ExemptionClaim[[#Headers],[Material Reporting Category (Exemption Claim)]]</f>
        <v>Material Reporting Category (Exemption Claim)</v>
      </c>
      <c r="B10" s="126" t="s">
        <v>80</v>
      </c>
      <c r="C10" s="136" t="s">
        <v>1086</v>
      </c>
    </row>
    <row r="11" spans="1:4" ht="15" x14ac:dyDescent="0.25">
      <c r="A11" s="139" t="str">
        <f>TR_5ExemptionClaim[[#Headers],[Pounds Recycled through this Pathway]]</f>
        <v>Pounds Recycled through this Pathway</v>
      </c>
      <c r="B11" s="126" t="s">
        <v>78</v>
      </c>
      <c r="C11" s="136" t="s">
        <v>1028</v>
      </c>
    </row>
    <row r="12" spans="1:4" ht="30" x14ac:dyDescent="0.25">
      <c r="A12" s="139" t="str">
        <f>TR_5ExemptionClaim[[#Headers],[How many of the pounds recycled through this pathway were supplied by this producer?]]</f>
        <v>How many of the pounds recycled through this pathway were supplied by this producer?</v>
      </c>
      <c r="B12" s="126" t="s">
        <v>81</v>
      </c>
      <c r="C12" s="136" t="s">
        <v>1036</v>
      </c>
    </row>
    <row r="13" spans="1:4" ht="15" x14ac:dyDescent="0.25">
      <c r="A13" s="153" t="str">
        <f>TR_5ExemptionClaim[[#Headers],[Did this producer arrange for the recycling collection?]]</f>
        <v>Did this producer arrange for the recycling collection?</v>
      </c>
      <c r="B13" s="141" t="s">
        <v>82</v>
      </c>
      <c r="C13" s="148" t="s">
        <v>1087</v>
      </c>
    </row>
    <row r="14" spans="1:4" ht="42.75" x14ac:dyDescent="0.25">
      <c r="A14" s="154" t="str">
        <f>TR_5ExemptionClaim[[#Headers],[Did this producer arrange for the recycling collection?]]</f>
        <v>Did this producer arrange for the recycling collection?</v>
      </c>
      <c r="B14" s="144" t="s">
        <v>82</v>
      </c>
      <c r="C14" s="15" t="s">
        <v>1030</v>
      </c>
    </row>
    <row r="15" spans="1:4" ht="28.5" x14ac:dyDescent="0.25">
      <c r="A15" s="154" t="str">
        <f>TR_5ExemptionClaim[[#Headers],[Did this producer arrange for the recycling collection?]]</f>
        <v>Did this producer arrange for the recycling collection?</v>
      </c>
      <c r="B15" s="144" t="s">
        <v>82</v>
      </c>
      <c r="C15" s="155" t="s">
        <v>202</v>
      </c>
    </row>
    <row r="16" spans="1:4" ht="15" x14ac:dyDescent="0.25">
      <c r="A16" s="156" t="str">
        <f>TR_5ExemptionClaim[[#Headers],[Did this producer arrange for the recycling collection?]]</f>
        <v>Did this producer arrange for the recycling collection?</v>
      </c>
      <c r="B16" s="146" t="s">
        <v>82</v>
      </c>
      <c r="C16" s="157" t="s">
        <v>198</v>
      </c>
    </row>
    <row r="17" spans="1:3" ht="15" x14ac:dyDescent="0.25">
      <c r="A17" s="139" t="str">
        <f>TR_5ExemptionClaim[[#Headers],[Third-Party Recycling Arranger Note]]</f>
        <v>Third-Party Recycling Arranger Note</v>
      </c>
      <c r="B17" s="126" t="s">
        <v>83</v>
      </c>
      <c r="C17" s="132" t="s">
        <v>801</v>
      </c>
    </row>
    <row r="18" spans="1:3" ht="15" x14ac:dyDescent="0.25">
      <c r="A18" s="139" t="str">
        <f>TR_5ExemptionClaim[[#Headers],[Collection or Transportation Service Provider Name]]</f>
        <v>Collection or Transportation Service Provider Name</v>
      </c>
      <c r="B18" s="126" t="s">
        <v>84</v>
      </c>
      <c r="C18" s="132" t="s">
        <v>1088</v>
      </c>
    </row>
    <row r="19" spans="1:3" ht="15" x14ac:dyDescent="0.25">
      <c r="A19" s="139" t="str">
        <f>TR_5ExemptionClaim[[#Headers],[Collection Company Type (autofill)]]</f>
        <v>Collection Company Type (autofill)</v>
      </c>
      <c r="B19" s="126" t="s">
        <v>85</v>
      </c>
      <c r="C19" s="132" t="s">
        <v>800</v>
      </c>
    </row>
    <row r="20" spans="1:3" ht="60" x14ac:dyDescent="0.2">
      <c r="A20" s="140" t="str">
        <f>TR_5ExemptionClaim[[#Headers],[If the collector is OTR, was the service provided under OTR?]]</f>
        <v>If the collector is OTR, was the service provided under OTR?</v>
      </c>
      <c r="B20" s="141" t="s">
        <v>86</v>
      </c>
      <c r="C20" s="148" t="s">
        <v>1193</v>
      </c>
    </row>
    <row r="21" spans="1:3" ht="42.75" x14ac:dyDescent="0.25">
      <c r="A21" s="156" t="str">
        <f>TR_5ExemptionClaim[[#Headers],[If the collector is OTR, was the service provided under OTR?]]</f>
        <v>If the collector is OTR, was the service provided under OTR?</v>
      </c>
      <c r="B21" s="146" t="s">
        <v>86</v>
      </c>
      <c r="C21" s="152" t="s">
        <v>1154</v>
      </c>
    </row>
    <row r="22" spans="1:3" ht="15" x14ac:dyDescent="0.25">
      <c r="A22" s="139" t="str">
        <f>TR_5ExemptionClaim[[#Headers],[OTR Ineligibility Warning]]</f>
        <v>OTR Ineligibility Warning</v>
      </c>
      <c r="B22" s="126" t="s">
        <v>87</v>
      </c>
      <c r="C22" s="132" t="s">
        <v>195</v>
      </c>
    </row>
    <row r="23" spans="1:3" ht="15" x14ac:dyDescent="0.25">
      <c r="A23" s="158" t="str">
        <f>TR_5ExemptionClaim[[#Headers],[Documentation of pounds handled by this collector]]</f>
        <v>Documentation of pounds handled by this collector</v>
      </c>
      <c r="B23" s="141" t="s">
        <v>88</v>
      </c>
      <c r="C23" s="148" t="s">
        <v>201</v>
      </c>
    </row>
    <row r="24" spans="1:3" ht="28.5" x14ac:dyDescent="0.25">
      <c r="A24" s="156" t="str">
        <f>TR_5ExemptionClaim[[#Headers],[Documentation of pounds handled by this collector]]</f>
        <v>Documentation of pounds handled by this collector</v>
      </c>
      <c r="B24" s="146" t="s">
        <v>88</v>
      </c>
      <c r="C24" s="152" t="s">
        <v>1192</v>
      </c>
    </row>
    <row r="25" spans="1:3" ht="30" x14ac:dyDescent="0.25">
      <c r="A25" s="139" t="str">
        <f>TR_5ExemptionClaim[[#Headers],[Did a CRPF ever handle the material before it reached the end market?]]</f>
        <v>Did a CRPF ever handle the material before it reached the end market?</v>
      </c>
      <c r="B25" s="126" t="s">
        <v>89</v>
      </c>
      <c r="C25" s="132" t="s">
        <v>1089</v>
      </c>
    </row>
    <row r="26" spans="1:3" ht="15" x14ac:dyDescent="0.25">
      <c r="A26" s="139" t="str">
        <f>TR_5ExemptionClaim[[#Headers],[CRPF name]]</f>
        <v>CRPF name</v>
      </c>
      <c r="B26" s="126" t="s">
        <v>90</v>
      </c>
      <c r="C26" s="132" t="s">
        <v>1090</v>
      </c>
    </row>
    <row r="27" spans="1:3" ht="30" x14ac:dyDescent="0.25">
      <c r="A27" s="139" t="str">
        <f>TR_5ExemptionClaim[[#Headers],[If a CRPF handled the material, did the material undergo separation from other materials at the CRPF?]]</f>
        <v>If a CRPF handled the material, did the material undergo separation from other materials at the CRPF?</v>
      </c>
      <c r="B27" s="126" t="s">
        <v>91</v>
      </c>
      <c r="C27" s="132" t="s">
        <v>199</v>
      </c>
    </row>
    <row r="28" spans="1:3" ht="15" x14ac:dyDescent="0.25">
      <c r="A28" s="139" t="str">
        <f>TR_5ExemptionClaim[[#Headers],[CRPF Separation Ineligibility Warning]]</f>
        <v>CRPF Separation Ineligibility Warning</v>
      </c>
      <c r="B28" s="126" t="s">
        <v>99</v>
      </c>
      <c r="C28" s="132" t="s">
        <v>196</v>
      </c>
    </row>
    <row r="29" spans="1:3" ht="30" x14ac:dyDescent="0.25">
      <c r="A29" s="139" t="str">
        <f>TR_5ExemptionClaim[[#Headers],[End Market Name]]</f>
        <v>End Market Name</v>
      </c>
      <c r="B29" s="126" t="s">
        <v>185</v>
      </c>
      <c r="C29" s="132" t="s">
        <v>1091</v>
      </c>
    </row>
    <row r="30" spans="1:3" ht="15" x14ac:dyDescent="0.25">
      <c r="A30" s="159" t="str">
        <f>TR_5ExemptionClaim[[#Headers],[Documentation of pounds sent to this end market]]</f>
        <v>Documentation of pounds sent to this end market</v>
      </c>
      <c r="B30" s="141" t="s">
        <v>186</v>
      </c>
      <c r="C30" s="148" t="s">
        <v>1038</v>
      </c>
    </row>
    <row r="31" spans="1:3" ht="28.5" x14ac:dyDescent="0.25">
      <c r="A31" s="156" t="str">
        <f>TR_5ExemptionClaim[[#Headers],[Documentation of pounds sent to this end market]]</f>
        <v>Documentation of pounds sent to this end market</v>
      </c>
      <c r="B31" s="146" t="s">
        <v>186</v>
      </c>
      <c r="C31" s="152" t="s">
        <v>237</v>
      </c>
    </row>
    <row r="32" spans="1:3" ht="15" x14ac:dyDescent="0.25">
      <c r="A32" s="139" t="s">
        <v>887</v>
      </c>
      <c r="B32" s="126" t="s">
        <v>1174</v>
      </c>
      <c r="C32" s="132" t="s">
        <v>886</v>
      </c>
    </row>
    <row r="33" spans="1:4" ht="15" x14ac:dyDescent="0.25">
      <c r="A33" s="23"/>
      <c r="B33" s="16"/>
    </row>
    <row r="34" spans="1:4" ht="20.25" thickBot="1" x14ac:dyDescent="0.35">
      <c r="A34" s="71" t="s">
        <v>1274</v>
      </c>
      <c r="B34" s="88"/>
      <c r="C34" s="14"/>
      <c r="D34" s="70"/>
    </row>
    <row r="35" spans="1:4" ht="15.75" thickTop="1" x14ac:dyDescent="0.2">
      <c r="A35" s="83" t="s">
        <v>1163</v>
      </c>
      <c r="B35" s="129" t="s">
        <v>782</v>
      </c>
      <c r="C35" s="130" t="s">
        <v>234</v>
      </c>
    </row>
    <row r="36" spans="1:4" ht="28.5" x14ac:dyDescent="0.2">
      <c r="A36" s="83" t="s">
        <v>1164</v>
      </c>
      <c r="B36" s="137" t="s">
        <v>1166</v>
      </c>
      <c r="C36" s="128" t="s">
        <v>1161</v>
      </c>
    </row>
    <row r="37" spans="1:4" ht="28.5" x14ac:dyDescent="0.2">
      <c r="A37" s="83" t="s">
        <v>1168</v>
      </c>
      <c r="B37" s="137" t="s">
        <v>783</v>
      </c>
      <c r="C37" s="128" t="s">
        <v>1039</v>
      </c>
    </row>
    <row r="38" spans="1:4" ht="28.5" x14ac:dyDescent="0.2">
      <c r="A38" s="83" t="s">
        <v>1169</v>
      </c>
      <c r="B38" s="137" t="s">
        <v>793</v>
      </c>
      <c r="C38" s="127" t="s">
        <v>1040</v>
      </c>
    </row>
    <row r="39" spans="1:4" ht="42.75" x14ac:dyDescent="0.2">
      <c r="A39" s="83" t="s">
        <v>1171</v>
      </c>
      <c r="B39" s="137" t="s">
        <v>794</v>
      </c>
      <c r="C39" s="128" t="s">
        <v>1162</v>
      </c>
    </row>
    <row r="40" spans="1:4" ht="42.75" x14ac:dyDescent="0.2">
      <c r="A40" s="84" t="s">
        <v>1170</v>
      </c>
      <c r="B40" s="137" t="s">
        <v>795</v>
      </c>
      <c r="C40" s="128" t="s">
        <v>1194</v>
      </c>
    </row>
    <row r="41" spans="1:4" ht="42.75" x14ac:dyDescent="0.2">
      <c r="A41" s="83" t="s">
        <v>1172</v>
      </c>
      <c r="B41" s="137" t="s">
        <v>796</v>
      </c>
      <c r="C41" s="128" t="s">
        <v>1236</v>
      </c>
    </row>
    <row r="42" spans="1:4" x14ac:dyDescent="0.2"/>
    <row r="43" spans="1:4" ht="20.25" thickBot="1" x14ac:dyDescent="0.35">
      <c r="A43" s="71" t="s">
        <v>1217</v>
      </c>
      <c r="B43" s="88"/>
      <c r="C43" s="14"/>
      <c r="D43" s="70"/>
    </row>
    <row r="44" spans="1:4" ht="15" thickTop="1" x14ac:dyDescent="0.2">
      <c r="A44" s="160" t="s">
        <v>1113</v>
      </c>
      <c r="B44" s="161">
        <f>SUM(TR_5ExemptionClaim[Check: materials not supplied])</f>
        <v>0</v>
      </c>
      <c r="C44" s="162" t="s">
        <v>1117</v>
      </c>
    </row>
    <row r="45" spans="1:4" ht="28.5" x14ac:dyDescent="0.2">
      <c r="A45" s="134" t="s">
        <v>1186</v>
      </c>
      <c r="B45" s="135">
        <f>COUNTIFS(TR_5ExemptionClaim[Check: collection ineligibility],"Not Eligible")</f>
        <v>0</v>
      </c>
      <c r="C45" s="128" t="s">
        <v>915</v>
      </c>
    </row>
    <row r="46" spans="1:4" ht="28.5" x14ac:dyDescent="0.2">
      <c r="A46" s="134" t="s">
        <v>1185</v>
      </c>
      <c r="B46" s="135">
        <f>COUNTIFS(TR_5ExemptionClaim[Collection Company Type (autofill)],"WARNING*")</f>
        <v>0</v>
      </c>
      <c r="C46" s="128" t="s">
        <v>875</v>
      </c>
    </row>
    <row r="47" spans="1:4" ht="28.5" x14ac:dyDescent="0.2">
      <c r="A47" s="134" t="s">
        <v>1183</v>
      </c>
      <c r="B47" s="135">
        <f>COUNTIFS(TR_5ExemptionClaim[Check: CRPF non-separation ineligibility],"Not Eligible")</f>
        <v>0</v>
      </c>
      <c r="C47" s="128" t="s">
        <v>916</v>
      </c>
    </row>
    <row r="48" spans="1:4" x14ac:dyDescent="0.2">
      <c r="A48" s="134" t="s">
        <v>1184</v>
      </c>
      <c r="B48" s="135">
        <f>SUM(TR_5ExemptionClaim[Check: end market does not exist])</f>
        <v>0</v>
      </c>
      <c r="C48" s="128" t="s">
        <v>888</v>
      </c>
    </row>
    <row r="49" spans="1:3" ht="28.5" x14ac:dyDescent="0.2">
      <c r="A49" s="134" t="s">
        <v>789</v>
      </c>
      <c r="B49" s="135">
        <f>SUM(TR_5ExemptionClaim[Check material+market mismatch])</f>
        <v>0</v>
      </c>
      <c r="C49" s="128" t="s">
        <v>889</v>
      </c>
    </row>
    <row r="50" spans="1:3" ht="28.5" x14ac:dyDescent="0.2">
      <c r="A50" s="134" t="s">
        <v>784</v>
      </c>
      <c r="B50" s="135">
        <f>SUM(TR_5ExemptionClaim[Check: duplicate pathways])</f>
        <v>0</v>
      </c>
      <c r="C50" s="128" t="s">
        <v>890</v>
      </c>
    </row>
    <row r="51" spans="1:3" x14ac:dyDescent="0.2">
      <c r="A51" s="134" t="s">
        <v>785</v>
      </c>
      <c r="B51" s="135">
        <f>SUM(TR_5ExemptionClaim[Check: missing info])</f>
        <v>0</v>
      </c>
      <c r="C51" s="128" t="s">
        <v>908</v>
      </c>
    </row>
    <row r="52" spans="1:3" ht="28.5" x14ac:dyDescent="0.2">
      <c r="A52" s="134" t="s">
        <v>786</v>
      </c>
      <c r="B52" s="135">
        <f>SUM(TR_5ExemptionClaim[Check: extra info])</f>
        <v>0</v>
      </c>
      <c r="C52" s="128" t="s">
        <v>1119</v>
      </c>
    </row>
    <row r="53" spans="1:3" ht="28.5" x14ac:dyDescent="0.2">
      <c r="A53" s="134" t="s">
        <v>790</v>
      </c>
      <c r="B53" s="135">
        <f>SUM(TR_5ExemptionClaim[Check pounds (within row)])</f>
        <v>0</v>
      </c>
      <c r="C53" s="128" t="s">
        <v>1044</v>
      </c>
    </row>
    <row r="54" spans="1:3" ht="28.5" x14ac:dyDescent="0.2">
      <c r="A54" s="134" t="s">
        <v>791</v>
      </c>
      <c r="B54" s="135">
        <f>SUM(TR_5ExemptionClaim[Check pounds (against Producer Info)])</f>
        <v>0</v>
      </c>
      <c r="C54" s="128" t="s">
        <v>891</v>
      </c>
    </row>
    <row r="55" spans="1:3" ht="42.75" x14ac:dyDescent="0.2">
      <c r="A55" s="134" t="s">
        <v>792</v>
      </c>
      <c r="B55" s="135">
        <f>SUM(TR_5ExemptionClaim[Check pounds (Third Party Substantiated)])</f>
        <v>0</v>
      </c>
      <c r="C55" s="128" t="s">
        <v>1237</v>
      </c>
    </row>
    <row r="56" spans="1:3" x14ac:dyDescent="0.2"/>
  </sheetData>
  <sheetProtection algorithmName="SHA-512" hashValue="Dq76Cl/e5/4ucoqilBaVJaECBCdjB+Ler6HR9/Ibhzcro3ynPdGj23FhD+SET/xisQokCXWTTgZ2aV17qDQAuQ==" saltValue="4MtM2sZcjqTGuryZpsNgcQ==" spinCount="100000" sheet="1" objects="1" scenarios="1"/>
  <conditionalFormatting sqref="B44:B55">
    <cfRule type="expression" dxfId="25" priority="1">
      <formula>B44&gt;0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109B-F77C-40E9-8D8E-EB01EDE944A4}">
  <sheetPr>
    <tabColor theme="8" tint="-0.249977111117893"/>
  </sheetPr>
  <dimension ref="A1:AT106"/>
  <sheetViews>
    <sheetView showGridLines="0" zoomScaleNormal="100" workbookViewId="0"/>
  </sheetViews>
  <sheetFormatPr defaultColWidth="0" defaultRowHeight="14.25" zeroHeight="1" outlineLevelCol="1" x14ac:dyDescent="0.2"/>
  <cols>
    <col min="1" max="1" width="10.75" style="17" customWidth="1"/>
    <col min="2" max="2" width="51.875" customWidth="1"/>
    <col min="3" max="5" width="23.25" customWidth="1"/>
    <col min="6" max="6" width="59.75" customWidth="1"/>
    <col min="7" max="7" width="28.25" customWidth="1"/>
    <col min="8" max="8" width="47.625" customWidth="1"/>
    <col min="9" max="9" width="23.25" customWidth="1"/>
    <col min="10" max="10" width="55.625" customWidth="1"/>
    <col min="11" max="12" width="23.25" customWidth="1"/>
    <col min="13" max="13" width="48.875" customWidth="1"/>
    <col min="14" max="14" width="23.25" customWidth="1"/>
    <col min="15" max="15" width="54.375" customWidth="1"/>
    <col min="16" max="16" width="78.5" customWidth="1"/>
    <col min="17" max="17" width="21.25" customWidth="1"/>
    <col min="18" max="37" width="13.75" hidden="1" customWidth="1" outlineLevel="1"/>
    <col min="38" max="42" width="9" hidden="1" customWidth="1" outlineLevel="1"/>
    <col min="43" max="43" width="12.375" hidden="1" customWidth="1" outlineLevel="1"/>
    <col min="44" max="44" width="31" hidden="1" customWidth="1" outlineLevel="1"/>
    <col min="45" max="45" width="10.875" hidden="1" customWidth="1" outlineLevel="1"/>
    <col min="46" max="46" width="9" customWidth="1" collapsed="1"/>
    <col min="47" max="16384" width="8" hidden="1"/>
  </cols>
  <sheetData>
    <row r="1" spans="1:46" ht="24" thickBot="1" x14ac:dyDescent="0.25">
      <c r="A1" s="44" t="s">
        <v>1209</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row>
    <row r="2" spans="1:46" ht="15" thickTop="1" x14ac:dyDescent="0.2"/>
    <row r="3" spans="1:46" ht="28.5" x14ac:dyDescent="0.2">
      <c r="A3" s="60" t="s">
        <v>124</v>
      </c>
      <c r="B3" s="96" t="s">
        <v>1079</v>
      </c>
      <c r="C3" s="96" t="s">
        <v>779</v>
      </c>
      <c r="D3" s="96" t="s">
        <v>779</v>
      </c>
      <c r="E3" s="96" t="s">
        <v>1092</v>
      </c>
      <c r="F3" s="96" t="s">
        <v>175</v>
      </c>
      <c r="G3" s="96" t="s">
        <v>1093</v>
      </c>
      <c r="H3" s="96" t="s">
        <v>1033</v>
      </c>
      <c r="I3" s="96" t="s">
        <v>1092</v>
      </c>
      <c r="J3" s="96" t="s">
        <v>175</v>
      </c>
      <c r="K3" s="97" t="s">
        <v>236</v>
      </c>
      <c r="L3" s="96" t="s">
        <v>1092</v>
      </c>
      <c r="M3" s="96" t="s">
        <v>1094</v>
      </c>
      <c r="N3" s="96" t="s">
        <v>1092</v>
      </c>
      <c r="O3" s="96" t="s">
        <v>175</v>
      </c>
      <c r="P3" s="96" t="s">
        <v>1095</v>
      </c>
      <c r="Q3" s="97" t="s">
        <v>236</v>
      </c>
      <c r="R3" s="30" t="s">
        <v>248</v>
      </c>
      <c r="S3" s="30" t="s">
        <v>248</v>
      </c>
      <c r="T3" s="30" t="s">
        <v>248</v>
      </c>
      <c r="U3" s="30" t="s">
        <v>248</v>
      </c>
      <c r="V3" s="30" t="s">
        <v>248</v>
      </c>
      <c r="W3" s="30" t="s">
        <v>248</v>
      </c>
      <c r="X3" s="30" t="s">
        <v>248</v>
      </c>
      <c r="Y3" s="30" t="s">
        <v>248</v>
      </c>
      <c r="Z3" s="30" t="s">
        <v>248</v>
      </c>
      <c r="AA3" s="30" t="s">
        <v>248</v>
      </c>
      <c r="AB3" s="30" t="s">
        <v>248</v>
      </c>
      <c r="AC3" s="30" t="s">
        <v>248</v>
      </c>
      <c r="AD3" s="30" t="s">
        <v>248</v>
      </c>
      <c r="AE3" s="30" t="s">
        <v>248</v>
      </c>
      <c r="AF3" s="30" t="s">
        <v>248</v>
      </c>
      <c r="AG3" s="30" t="s">
        <v>248</v>
      </c>
      <c r="AH3" s="30" t="s">
        <v>248</v>
      </c>
      <c r="AI3" s="30" t="s">
        <v>248</v>
      </c>
      <c r="AJ3" s="30" t="s">
        <v>917</v>
      </c>
      <c r="AK3" s="30" t="s">
        <v>917</v>
      </c>
      <c r="AL3" s="30" t="s">
        <v>917</v>
      </c>
      <c r="AM3" s="30" t="s">
        <v>917</v>
      </c>
      <c r="AN3" s="30" t="s">
        <v>917</v>
      </c>
      <c r="AO3" s="30" t="s">
        <v>917</v>
      </c>
      <c r="AP3" s="30" t="s">
        <v>917</v>
      </c>
      <c r="AQ3" s="30"/>
      <c r="AR3" s="30" t="s">
        <v>904</v>
      </c>
      <c r="AS3" s="30" t="s">
        <v>904</v>
      </c>
    </row>
    <row r="4" spans="1:46" ht="15" x14ac:dyDescent="0.2">
      <c r="A4" s="24" t="s">
        <v>77</v>
      </c>
      <c r="B4" s="16" t="s">
        <v>80</v>
      </c>
      <c r="C4" s="16" t="s">
        <v>78</v>
      </c>
      <c r="D4" s="16" t="s">
        <v>81</v>
      </c>
      <c r="E4" s="16" t="s">
        <v>82</v>
      </c>
      <c r="F4" s="16" t="s">
        <v>83</v>
      </c>
      <c r="G4" s="16" t="s">
        <v>84</v>
      </c>
      <c r="H4" s="16" t="s">
        <v>85</v>
      </c>
      <c r="I4" s="16" t="s">
        <v>86</v>
      </c>
      <c r="J4" s="16" t="s">
        <v>87</v>
      </c>
      <c r="K4" s="16" t="s">
        <v>88</v>
      </c>
      <c r="L4" s="16" t="s">
        <v>89</v>
      </c>
      <c r="M4" s="16" t="s">
        <v>90</v>
      </c>
      <c r="N4" s="16" t="s">
        <v>91</v>
      </c>
      <c r="O4" s="16" t="s">
        <v>99</v>
      </c>
      <c r="P4" s="16" t="s">
        <v>185</v>
      </c>
      <c r="Q4" s="16" t="s">
        <v>186</v>
      </c>
      <c r="R4" s="16" t="s">
        <v>187</v>
      </c>
      <c r="S4" s="16" t="s">
        <v>159</v>
      </c>
      <c r="T4" s="16" t="s">
        <v>160</v>
      </c>
      <c r="U4" s="16" t="s">
        <v>188</v>
      </c>
      <c r="V4" s="16" t="s">
        <v>189</v>
      </c>
      <c r="W4" s="16" t="s">
        <v>190</v>
      </c>
      <c r="X4" s="16" t="s">
        <v>193</v>
      </c>
      <c r="Y4" s="16" t="s">
        <v>191</v>
      </c>
      <c r="Z4" s="16" t="s">
        <v>192</v>
      </c>
      <c r="AA4" s="16" t="s">
        <v>194</v>
      </c>
      <c r="AB4" s="16" t="s">
        <v>256</v>
      </c>
      <c r="AC4" s="16" t="s">
        <v>257</v>
      </c>
      <c r="AD4" s="16" t="s">
        <v>258</v>
      </c>
      <c r="AE4" s="16" t="s">
        <v>740</v>
      </c>
      <c r="AF4" s="16" t="s">
        <v>749</v>
      </c>
      <c r="AG4" s="16" t="s">
        <v>750</v>
      </c>
      <c r="AH4" s="16" t="s">
        <v>751</v>
      </c>
      <c r="AI4" s="16" t="s">
        <v>752</v>
      </c>
      <c r="AJ4" s="16" t="s">
        <v>898</v>
      </c>
      <c r="AK4" s="16" t="s">
        <v>905</v>
      </c>
      <c r="AL4" s="16" t="s">
        <v>1045</v>
      </c>
      <c r="AM4" s="16" t="s">
        <v>1046</v>
      </c>
      <c r="AN4" s="16" t="s">
        <v>1052</v>
      </c>
      <c r="AO4" s="16" t="s">
        <v>1053</v>
      </c>
      <c r="AP4" s="16" t="s">
        <v>1054</v>
      </c>
      <c r="AQ4" s="16" t="s">
        <v>1058</v>
      </c>
      <c r="AR4" s="16" t="s">
        <v>1100</v>
      </c>
      <c r="AS4" s="16" t="s">
        <v>1114</v>
      </c>
    </row>
    <row r="5" spans="1:46" ht="75" x14ac:dyDescent="0.2">
      <c r="A5" s="106" t="s">
        <v>906</v>
      </c>
      <c r="B5" s="107" t="s">
        <v>885</v>
      </c>
      <c r="C5" s="107" t="s">
        <v>182</v>
      </c>
      <c r="D5" s="107" t="s">
        <v>183</v>
      </c>
      <c r="E5" s="107" t="s">
        <v>197</v>
      </c>
      <c r="F5" s="107" t="s">
        <v>764</v>
      </c>
      <c r="G5" s="107" t="s">
        <v>168</v>
      </c>
      <c r="H5" s="107" t="s">
        <v>157</v>
      </c>
      <c r="I5" s="107" t="s">
        <v>765</v>
      </c>
      <c r="J5" s="107" t="s">
        <v>1025</v>
      </c>
      <c r="K5" s="107" t="s">
        <v>222</v>
      </c>
      <c r="L5" s="107" t="s">
        <v>158</v>
      </c>
      <c r="M5" s="107" t="s">
        <v>766</v>
      </c>
      <c r="N5" s="107" t="s">
        <v>118</v>
      </c>
      <c r="O5" s="107" t="s">
        <v>1026</v>
      </c>
      <c r="P5" s="107" t="s">
        <v>200</v>
      </c>
      <c r="Q5" s="107" t="s">
        <v>223</v>
      </c>
      <c r="R5" s="107" t="s">
        <v>767</v>
      </c>
      <c r="S5" s="107" t="s">
        <v>768</v>
      </c>
      <c r="T5" s="107" t="s">
        <v>1115</v>
      </c>
      <c r="U5" s="107" t="s">
        <v>756</v>
      </c>
      <c r="V5" s="107" t="s">
        <v>753</v>
      </c>
      <c r="W5" s="107" t="s">
        <v>769</v>
      </c>
      <c r="X5" s="107" t="s">
        <v>758</v>
      </c>
      <c r="Y5" s="107" t="s">
        <v>759</v>
      </c>
      <c r="Z5" s="3" t="s">
        <v>770</v>
      </c>
      <c r="AA5" s="4" t="s">
        <v>771</v>
      </c>
      <c r="AB5" s="107" t="s">
        <v>772</v>
      </c>
      <c r="AC5" s="107" t="s">
        <v>745</v>
      </c>
      <c r="AD5" s="107" t="s">
        <v>120</v>
      </c>
      <c r="AE5" s="107" t="s">
        <v>746</v>
      </c>
      <c r="AF5" s="107" t="s">
        <v>747</v>
      </c>
      <c r="AG5" s="107" t="s">
        <v>773</v>
      </c>
      <c r="AH5" s="107" t="s">
        <v>774</v>
      </c>
      <c r="AI5" s="107" t="s">
        <v>775</v>
      </c>
      <c r="AJ5" s="107" t="s">
        <v>1101</v>
      </c>
      <c r="AK5" s="107" t="s">
        <v>776</v>
      </c>
      <c r="AL5" s="107" t="s">
        <v>262</v>
      </c>
      <c r="AM5" s="107" t="s">
        <v>1047</v>
      </c>
      <c r="AN5" s="107" t="s">
        <v>1048</v>
      </c>
      <c r="AO5" s="107" t="s">
        <v>1049</v>
      </c>
      <c r="AP5" s="107" t="s">
        <v>1050</v>
      </c>
      <c r="AQ5" s="107" t="s">
        <v>1057</v>
      </c>
      <c r="AR5" s="3" t="s">
        <v>1055</v>
      </c>
      <c r="AS5" s="3" t="s">
        <v>1056</v>
      </c>
    </row>
    <row r="6" spans="1:46" ht="30" customHeight="1" x14ac:dyDescent="0.2">
      <c r="A6" s="82" t="s">
        <v>920</v>
      </c>
      <c r="B6" s="46"/>
      <c r="C6" s="45"/>
      <c r="D6" s="45"/>
      <c r="E6" s="74"/>
      <c r="F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 s="47"/>
      <c r="H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 s="74"/>
      <c r="J6" s="75" t="str">
        <f>IF(TR_5ExemptionClaim[[#This Row],[If the collector is OTR, was the service provided under OTR?]]="Yes","Warning: Material collected under OTR service is not eligible for exemption.","")</f>
        <v/>
      </c>
      <c r="K6" s="47"/>
      <c r="L6" s="76"/>
      <c r="M6" s="47"/>
      <c r="N6" s="76"/>
      <c r="O6" s="104" t="str">
        <f>IF(TR_5ExemptionClaim[[#This Row],[If a CRPF handled the material, did the material undergo separation from other materials at the CRPF?]]="Yes","Warning: Material separated at a CRPF is not eligible for exemption.","")</f>
        <v/>
      </c>
      <c r="P6" s="47"/>
      <c r="Q6" s="47"/>
      <c r="R6" s="77" t="str">
        <f>IF(TR_5ExemptionClaim[[#This Row],[If the collector is OTR, was the service provided under OTR?]]="Yes","Not Eligible","")</f>
        <v/>
      </c>
      <c r="S6" s="77" t="str">
        <f>IF(TR_5ExemptionClaim[[#This Row],[If a CRPF handled the material, did the material undergo separation from other materials at the CRPF?]]="Yes","Not Eligible","")</f>
        <v/>
      </c>
      <c r="T6" s="79" t="str">
        <f>IF(TR_5ExemptionClaim[[#This Row],[Material Reporting Category (Exemption Claim)]]="","",(IFERROR(0*MATCH(TR_5ExemptionClaim[[#This Row],[Material Reporting Category (Exemption Claim)]],TR_2SuppliedPounds[Material Reporting Category],0),1)))</f>
        <v/>
      </c>
      <c r="U6" s="79">
        <f>IF(TR_5ExemptionClaim[[#This Row],[End Market Name]]="",0,IFERROR(MATCH(TR_5ExemptionClaim[[#This Row],[End Market Name]],TR_4EndMarkets[Lookup: material+market],0)*0,1))</f>
        <v>0</v>
      </c>
      <c r="V6" s="79">
        <f>IF(TR_5ExemptionClaim[[#This Row],[Subcheck: unique]]="",0,IF(COUNTIFS(TR_5ExemptionClaim[Subcheck: unique left],TR_5ExemptionClaim[[#This Row],[Subcheck: unique left]],TR_5ExemptionClaim[Subcheck: unique right],TR_5ExemptionClaim[[#This Row],[Subcheck: unique right]])&gt;1,1,0))</f>
        <v>0</v>
      </c>
      <c r="W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 s="79">
        <f>IF(TR_5ExemptionClaim[[#This Row],[Material Reporting Category (Exemption Claim)]]=0,0,IF(SUM(TR_5ExemptionClaim[[#This Row],[Subcheck: minimum entry]:[Subcheck: missing CRPF info]])=0,0,1))</f>
        <v>0</v>
      </c>
      <c r="Y6" s="79">
        <f>IF(TR_5ExemptionClaim[[#This Row],[Material Reporting Category (Exemption Claim)]]&lt;&gt;"",0,TR_5ExemptionClaim[[#This Row],[Subcheck: any inputs in row]])</f>
        <v>0</v>
      </c>
      <c r="Z6" s="79">
        <f>IF(TR_5ExemptionClaim[[#This Row],[How many of the pounds recycled through this pathway were supplied by this producer?]]&gt;TR_5ExemptionClaim[[#This Row],[Pounds Recycled through this Pathway]],1,0)</f>
        <v>0</v>
      </c>
      <c r="AA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 s="79">
        <f>IF(TR_5ExemptionClaim[[#This Row],[Collection Company Type (autofill)]]&lt;&gt;Lookups!$K$13,0,IF(TR_5ExemptionClaim[[#This Row],[If the collector is OTR, was the service provided under OTR?]]&lt;&gt;"",0,1))</f>
        <v>0</v>
      </c>
      <c r="AF6" s="79">
        <f>IF(TR_5ExemptionClaim[[#This Row],[Did a CRPF ever handle the material before it reached the end market?]]&lt;&gt;"Yes",0,IF(COUNTA(TR_5ExemptionClaim[[#This Row],[CRPF name]:[CRPF Separation Ineligibility Warning]])=3,0,1))</f>
        <v>0</v>
      </c>
      <c r="AG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 s="77" t="str">
        <f>LEFT(TR_5ExemptionClaim[[#This Row],[Subcheck: unique]],250)</f>
        <v/>
      </c>
      <c r="AI6" s="77" t="str">
        <f>RIGHT(TR_5ExemptionClaim[[#This Row],[Subcheck: unique]],250)</f>
        <v/>
      </c>
      <c r="AJ6" s="77">
        <f>IF(OR(TR_5ExemptionClaim[[#This Row],[Check: collection ineligibility]]="Not Eligible",TR_5ExemptionClaim[[#This Row],[Check: CRPF non-separation ineligibility]]="Not Eligible",SUM(TR_5ExemptionClaim[[#This Row],[Check: end market does not exist]:[Check pounds (Third Party Substantiated)]])&gt;0),0,1)</f>
        <v>1</v>
      </c>
      <c r="AK6" s="78" t="str">
        <f>IF(TR_5ExemptionClaim[[#This Row],[Did this producer arrange for the recycling collection?]]="No",TR_5ExemptionClaim[[#This Row],[ID_EC]],"")</f>
        <v/>
      </c>
      <c r="AL6" s="80" t="str">
        <f t="shared" ref="AL6:AL37" si="0">IF(DR_ProducerID=0,"",DR_ProducerID)</f>
        <v/>
      </c>
      <c r="AM6" s="80" t="str">
        <f>IFERROR(INDEX(TR_2SuppliedPounds[DEQ 2B Notes],MATCH(TR_5ExemptionClaim[[#This Row],[Material Reporting Category (Exemption Claim)]],TR_2SuppliedPounds[Material Reporting Category],0)),"")</f>
        <v/>
      </c>
      <c r="AN6" s="80" t="str">
        <f>IFERROR(INDEX(TR_3Collectors[DEQ 3B Notes],MATCH(TR_5ExemptionClaim[[#This Row],[Collection or Transportation Service Provider Name]],TR_3Collectors[Collection or Transportation Service Provider Name],0)),"")</f>
        <v/>
      </c>
      <c r="AO6" s="80" t="str">
        <f>IFERROR(INDEX(TR_4EndMarkets[DEQ 4B Notes],MATCH(TR_5ExemptionClaim[[#This Row],[End Market Name]],TR_4EndMarkets[Lookup: material+market],0)),"")</f>
        <v/>
      </c>
      <c r="AP6" s="81" t="str">
        <f>IFERROR(INDEX(TR_6RecyclingArranger[DEQ 6B Notes],MATCH(TR_5ExemptionClaim[[#This Row],[ID_EC]],TR_6RecyclingArranger[ID_EC],0)),"")</f>
        <v/>
      </c>
      <c r="AQ6" s="81">
        <f>SUMIFS(TR_6RecyclingArranger[DEQ 6B Eligible Pounds],TR_6RecyclingArranger[ID_EC],TR_5ExemptionClaim[[#This Row],[ID_EC]])</f>
        <v>0</v>
      </c>
      <c r="AR6" s="40"/>
      <c r="AS6" s="58"/>
    </row>
    <row r="7" spans="1:46" ht="30" customHeight="1" x14ac:dyDescent="0.2">
      <c r="A7" s="82" t="s">
        <v>921</v>
      </c>
      <c r="B7" s="46"/>
      <c r="C7" s="45"/>
      <c r="D7" s="45"/>
      <c r="E7" s="74"/>
      <c r="F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 s="47"/>
      <c r="H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 s="74"/>
      <c r="J7" s="75" t="str">
        <f>IF(TR_5ExemptionClaim[[#This Row],[If the collector is OTR, was the service provided under OTR?]]="Yes","Warning: Material collected under OTR service is not eligible for exemption.","")</f>
        <v/>
      </c>
      <c r="K7" s="47"/>
      <c r="L7" s="76"/>
      <c r="M7" s="47"/>
      <c r="N7" s="76"/>
      <c r="O7" s="104" t="str">
        <f>IF(TR_5ExemptionClaim[[#This Row],[If a CRPF handled the material, did the material undergo separation from other materials at the CRPF?]]="Yes","Warning: Material separated at a CRPF is not eligible for exemption.","")</f>
        <v/>
      </c>
      <c r="P7" s="47"/>
      <c r="Q7" s="47"/>
      <c r="R7" s="77" t="str">
        <f>IF(TR_5ExemptionClaim[[#This Row],[If the collector is OTR, was the service provided under OTR?]]="Yes","Not Eligible","")</f>
        <v/>
      </c>
      <c r="S7" s="77" t="str">
        <f>IF(TR_5ExemptionClaim[[#This Row],[If a CRPF handled the material, did the material undergo separation from other materials at the CRPF?]]="Yes","Not Eligible","")</f>
        <v/>
      </c>
      <c r="T7" s="79" t="str">
        <f>IF(TR_5ExemptionClaim[[#This Row],[Material Reporting Category (Exemption Claim)]]="","",(IFERROR(0*MATCH(TR_5ExemptionClaim[[#This Row],[Material Reporting Category (Exemption Claim)]],TR_2SuppliedPounds[Material Reporting Category],0),1)))</f>
        <v/>
      </c>
      <c r="U7" s="79">
        <f>IF(TR_5ExemptionClaim[[#This Row],[End Market Name]]="",0,IFERROR(MATCH(TR_5ExemptionClaim[[#This Row],[End Market Name]],TR_4EndMarkets[Lookup: material+market],0)*0,1))</f>
        <v>0</v>
      </c>
      <c r="V7" s="79">
        <f>IF(TR_5ExemptionClaim[[#This Row],[Subcheck: unique]]="",0,IF(COUNTIFS(TR_5ExemptionClaim[Subcheck: unique left],TR_5ExemptionClaim[[#This Row],[Subcheck: unique left]],TR_5ExemptionClaim[Subcheck: unique right],TR_5ExemptionClaim[[#This Row],[Subcheck: unique right]])&gt;1,1,0))</f>
        <v>0</v>
      </c>
      <c r="W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 s="79">
        <f>IF(TR_5ExemptionClaim[[#This Row],[Material Reporting Category (Exemption Claim)]]=0,0,IF(SUM(TR_5ExemptionClaim[[#This Row],[Subcheck: minimum entry]:[Subcheck: missing CRPF info]])=0,0,1))</f>
        <v>0</v>
      </c>
      <c r="Y7" s="79">
        <f>IF(TR_5ExemptionClaim[[#This Row],[Material Reporting Category (Exemption Claim)]]&lt;&gt;"",0,TR_5ExemptionClaim[[#This Row],[Subcheck: any inputs in row]])</f>
        <v>0</v>
      </c>
      <c r="Z7" s="79">
        <f>IF(TR_5ExemptionClaim[[#This Row],[How many of the pounds recycled through this pathway were supplied by this producer?]]&gt;TR_5ExemptionClaim[[#This Row],[Pounds Recycled through this Pathway]],1,0)</f>
        <v>0</v>
      </c>
      <c r="AA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 s="79">
        <f>IF(TR_5ExemptionClaim[[#This Row],[Collection Company Type (autofill)]]&lt;&gt;Lookups!$K$13,0,IF(TR_5ExemptionClaim[[#This Row],[If the collector is OTR, was the service provided under OTR?]]&lt;&gt;"",0,1))</f>
        <v>0</v>
      </c>
      <c r="AF7" s="79">
        <f>IF(TR_5ExemptionClaim[[#This Row],[Did a CRPF ever handle the material before it reached the end market?]]&lt;&gt;"Yes",0,IF(COUNTA(TR_5ExemptionClaim[[#This Row],[CRPF name]:[CRPF Separation Ineligibility Warning]])=3,0,1))</f>
        <v>0</v>
      </c>
      <c r="AG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 s="77" t="str">
        <f>LEFT(TR_5ExemptionClaim[[#This Row],[Subcheck: unique]],250)</f>
        <v/>
      </c>
      <c r="AI7" s="77" t="str">
        <f>RIGHT(TR_5ExemptionClaim[[#This Row],[Subcheck: unique]],250)</f>
        <v/>
      </c>
      <c r="AJ7" s="77">
        <f>IF(OR(TR_5ExemptionClaim[[#This Row],[Check: collection ineligibility]]="Not Eligible",TR_5ExemptionClaim[[#This Row],[Check: CRPF non-separation ineligibility]]="Not Eligible",SUM(TR_5ExemptionClaim[[#This Row],[Check: end market does not exist]:[Check pounds (Third Party Substantiated)]])&gt;0),0,1)</f>
        <v>1</v>
      </c>
      <c r="AK7" s="78" t="str">
        <f>IF(TR_5ExemptionClaim[[#This Row],[Did this producer arrange for the recycling collection?]]="No",TR_5ExemptionClaim[[#This Row],[ID_EC]],"")</f>
        <v/>
      </c>
      <c r="AL7" s="80" t="str">
        <f t="shared" si="0"/>
        <v/>
      </c>
      <c r="AM7" s="80" t="str">
        <f>IFERROR(INDEX(TR_2SuppliedPounds[DEQ 2B Notes],MATCH(TR_5ExemptionClaim[[#This Row],[Material Reporting Category (Exemption Claim)]],TR_2SuppliedPounds[Material Reporting Category],0)),"")</f>
        <v/>
      </c>
      <c r="AN7" s="80" t="str">
        <f>IFERROR(INDEX(TR_3Collectors[DEQ 3B Notes],MATCH(TR_5ExemptionClaim[[#This Row],[Collection or Transportation Service Provider Name]],TR_3Collectors[Collection or Transportation Service Provider Name],0)),"")</f>
        <v/>
      </c>
      <c r="AO7" s="80" t="str">
        <f>IFERROR(INDEX(TR_4EndMarkets[DEQ 4B Notes],MATCH(TR_5ExemptionClaim[[#This Row],[End Market Name]],TR_4EndMarkets[Lookup: material+market],0)),"")</f>
        <v/>
      </c>
      <c r="AP7" s="81" t="str">
        <f>IFERROR(INDEX(TR_6RecyclingArranger[DEQ 6B Notes],MATCH(TR_5ExemptionClaim[[#This Row],[ID_EC]],TR_6RecyclingArranger[ID_EC],0)),"")</f>
        <v/>
      </c>
      <c r="AQ7" s="81">
        <f>SUMIFS(TR_6RecyclingArranger[DEQ 6B Eligible Pounds],TR_6RecyclingArranger[ID_EC],TR_5ExemptionClaim[[#This Row],[ID_EC]])</f>
        <v>0</v>
      </c>
      <c r="AR7" s="40"/>
      <c r="AS7" s="58"/>
    </row>
    <row r="8" spans="1:46" ht="30" customHeight="1" x14ac:dyDescent="0.2">
      <c r="A8" s="82" t="s">
        <v>922</v>
      </c>
      <c r="B8" s="46"/>
      <c r="C8" s="45"/>
      <c r="D8" s="45"/>
      <c r="E8" s="74"/>
      <c r="F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 s="47"/>
      <c r="H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 s="74"/>
      <c r="J8" s="75" t="str">
        <f>IF(TR_5ExemptionClaim[[#This Row],[If the collector is OTR, was the service provided under OTR?]]="Yes","Warning: Material collected under OTR service is not eligible for exemption.","")</f>
        <v/>
      </c>
      <c r="K8" s="47"/>
      <c r="L8" s="76"/>
      <c r="M8" s="47"/>
      <c r="N8" s="76"/>
      <c r="O8" s="104" t="str">
        <f>IF(TR_5ExemptionClaim[[#This Row],[If a CRPF handled the material, did the material undergo separation from other materials at the CRPF?]]="Yes","Warning: Material separated at a CRPF is not eligible for exemption.","")</f>
        <v/>
      </c>
      <c r="P8" s="47"/>
      <c r="Q8" s="47"/>
      <c r="R8" s="77" t="str">
        <f>IF(TR_5ExemptionClaim[[#This Row],[If the collector is OTR, was the service provided under OTR?]]="Yes","Not Eligible","")</f>
        <v/>
      </c>
      <c r="S8" s="77" t="str">
        <f>IF(TR_5ExemptionClaim[[#This Row],[If a CRPF handled the material, did the material undergo separation from other materials at the CRPF?]]="Yes","Not Eligible","")</f>
        <v/>
      </c>
      <c r="T8" s="79" t="str">
        <f>IF(TR_5ExemptionClaim[[#This Row],[Material Reporting Category (Exemption Claim)]]="","",(IFERROR(0*MATCH(TR_5ExemptionClaim[[#This Row],[Material Reporting Category (Exemption Claim)]],TR_2SuppliedPounds[Material Reporting Category],0),1)))</f>
        <v/>
      </c>
      <c r="U8" s="79">
        <f>IF(TR_5ExemptionClaim[[#This Row],[End Market Name]]="",0,IFERROR(MATCH(TR_5ExemptionClaim[[#This Row],[End Market Name]],TR_4EndMarkets[Lookup: material+market],0)*0,1))</f>
        <v>0</v>
      </c>
      <c r="V8" s="79">
        <f>IF(TR_5ExemptionClaim[[#This Row],[Subcheck: unique]]="",0,IF(COUNTIFS(TR_5ExemptionClaim[Subcheck: unique left],TR_5ExemptionClaim[[#This Row],[Subcheck: unique left]],TR_5ExemptionClaim[Subcheck: unique right],TR_5ExemptionClaim[[#This Row],[Subcheck: unique right]])&gt;1,1,0))</f>
        <v>0</v>
      </c>
      <c r="W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 s="79">
        <f>IF(TR_5ExemptionClaim[[#This Row],[Material Reporting Category (Exemption Claim)]]=0,0,IF(SUM(TR_5ExemptionClaim[[#This Row],[Subcheck: minimum entry]:[Subcheck: missing CRPF info]])=0,0,1))</f>
        <v>0</v>
      </c>
      <c r="Y8" s="79">
        <f>IF(TR_5ExemptionClaim[[#This Row],[Material Reporting Category (Exemption Claim)]]&lt;&gt;"",0,TR_5ExemptionClaim[[#This Row],[Subcheck: any inputs in row]])</f>
        <v>0</v>
      </c>
      <c r="Z8" s="79">
        <f>IF(TR_5ExemptionClaim[[#This Row],[How many of the pounds recycled through this pathway were supplied by this producer?]]&gt;TR_5ExemptionClaim[[#This Row],[Pounds Recycled through this Pathway]],1,0)</f>
        <v>0</v>
      </c>
      <c r="AA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 s="79">
        <f>IF(TR_5ExemptionClaim[[#This Row],[Collection Company Type (autofill)]]&lt;&gt;Lookups!$K$13,0,IF(TR_5ExemptionClaim[[#This Row],[If the collector is OTR, was the service provided under OTR?]]&lt;&gt;"",0,1))</f>
        <v>0</v>
      </c>
      <c r="AF8" s="79">
        <f>IF(TR_5ExemptionClaim[[#This Row],[Did a CRPF ever handle the material before it reached the end market?]]&lt;&gt;"Yes",0,IF(COUNTA(TR_5ExemptionClaim[[#This Row],[CRPF name]:[CRPF Separation Ineligibility Warning]])=3,0,1))</f>
        <v>0</v>
      </c>
      <c r="AG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 s="77" t="str">
        <f>LEFT(TR_5ExemptionClaim[[#This Row],[Subcheck: unique]],250)</f>
        <v/>
      </c>
      <c r="AI8" s="77" t="str">
        <f>RIGHT(TR_5ExemptionClaim[[#This Row],[Subcheck: unique]],250)</f>
        <v/>
      </c>
      <c r="AJ8" s="77">
        <f>IF(OR(TR_5ExemptionClaim[[#This Row],[Check: collection ineligibility]]="Not Eligible",TR_5ExemptionClaim[[#This Row],[Check: CRPF non-separation ineligibility]]="Not Eligible",SUM(TR_5ExemptionClaim[[#This Row],[Check: end market does not exist]:[Check pounds (Third Party Substantiated)]])&gt;0),0,1)</f>
        <v>1</v>
      </c>
      <c r="AK8" s="78" t="str">
        <f>IF(TR_5ExemptionClaim[[#This Row],[Did this producer arrange for the recycling collection?]]="No",TR_5ExemptionClaim[[#This Row],[ID_EC]],"")</f>
        <v/>
      </c>
      <c r="AL8" s="80" t="str">
        <f t="shared" si="0"/>
        <v/>
      </c>
      <c r="AM8" s="80" t="str">
        <f>IFERROR(INDEX(TR_2SuppliedPounds[DEQ 2B Notes],MATCH(TR_5ExemptionClaim[[#This Row],[Material Reporting Category (Exemption Claim)]],TR_2SuppliedPounds[Material Reporting Category],0)),"")</f>
        <v/>
      </c>
      <c r="AN8" s="80" t="str">
        <f>IFERROR(INDEX(TR_3Collectors[DEQ 3B Notes],MATCH(TR_5ExemptionClaim[[#This Row],[Collection or Transportation Service Provider Name]],TR_3Collectors[Collection or Transportation Service Provider Name],0)),"")</f>
        <v/>
      </c>
      <c r="AO8" s="80" t="str">
        <f>IFERROR(INDEX(TR_4EndMarkets[DEQ 4B Notes],MATCH(TR_5ExemptionClaim[[#This Row],[End Market Name]],TR_4EndMarkets[Lookup: material+market],0)),"")</f>
        <v/>
      </c>
      <c r="AP8" s="81" t="str">
        <f>IFERROR(INDEX(TR_6RecyclingArranger[DEQ 6B Notes],MATCH(TR_5ExemptionClaim[[#This Row],[ID_EC]],TR_6RecyclingArranger[ID_EC],0)),"")</f>
        <v/>
      </c>
      <c r="AQ8" s="81">
        <f>SUMIFS(TR_6RecyclingArranger[DEQ 6B Eligible Pounds],TR_6RecyclingArranger[ID_EC],TR_5ExemptionClaim[[#This Row],[ID_EC]])</f>
        <v>0</v>
      </c>
      <c r="AR8" s="40"/>
      <c r="AS8" s="58"/>
    </row>
    <row r="9" spans="1:46" ht="30" customHeight="1" x14ac:dyDescent="0.2">
      <c r="A9" s="82" t="s">
        <v>923</v>
      </c>
      <c r="B9" s="46"/>
      <c r="C9" s="45"/>
      <c r="D9" s="45"/>
      <c r="E9" s="74"/>
      <c r="F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 s="47"/>
      <c r="H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 s="74"/>
      <c r="J9" s="75" t="str">
        <f>IF(TR_5ExemptionClaim[[#This Row],[If the collector is OTR, was the service provided under OTR?]]="Yes","Warning: Material collected under OTR service is not eligible for exemption.","")</f>
        <v/>
      </c>
      <c r="K9" s="47"/>
      <c r="L9" s="76"/>
      <c r="M9" s="47"/>
      <c r="N9" s="76"/>
      <c r="O9" s="104" t="str">
        <f>IF(TR_5ExemptionClaim[[#This Row],[If a CRPF handled the material, did the material undergo separation from other materials at the CRPF?]]="Yes","Warning: Material separated at a CRPF is not eligible for exemption.","")</f>
        <v/>
      </c>
      <c r="P9" s="47"/>
      <c r="Q9" s="47"/>
      <c r="R9" s="77" t="str">
        <f>IF(TR_5ExemptionClaim[[#This Row],[If the collector is OTR, was the service provided under OTR?]]="Yes","Not Eligible","")</f>
        <v/>
      </c>
      <c r="S9" s="77" t="str">
        <f>IF(TR_5ExemptionClaim[[#This Row],[If a CRPF handled the material, did the material undergo separation from other materials at the CRPF?]]="Yes","Not Eligible","")</f>
        <v/>
      </c>
      <c r="T9" s="79" t="str">
        <f>IF(TR_5ExemptionClaim[[#This Row],[Material Reporting Category (Exemption Claim)]]="","",(IFERROR(0*MATCH(TR_5ExemptionClaim[[#This Row],[Material Reporting Category (Exemption Claim)]],TR_2SuppliedPounds[Material Reporting Category],0),1)))</f>
        <v/>
      </c>
      <c r="U9" s="79">
        <f>IF(TR_5ExemptionClaim[[#This Row],[End Market Name]]="",0,IFERROR(MATCH(TR_5ExemptionClaim[[#This Row],[End Market Name]],TR_4EndMarkets[Lookup: material+market],0)*0,1))</f>
        <v>0</v>
      </c>
      <c r="V9" s="79">
        <f>IF(TR_5ExemptionClaim[[#This Row],[Subcheck: unique]]="",0,IF(COUNTIFS(TR_5ExemptionClaim[Subcheck: unique left],TR_5ExemptionClaim[[#This Row],[Subcheck: unique left]],TR_5ExemptionClaim[Subcheck: unique right],TR_5ExemptionClaim[[#This Row],[Subcheck: unique right]])&gt;1,1,0))</f>
        <v>0</v>
      </c>
      <c r="W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 s="79">
        <f>IF(TR_5ExemptionClaim[[#This Row],[Material Reporting Category (Exemption Claim)]]=0,0,IF(SUM(TR_5ExemptionClaim[[#This Row],[Subcheck: minimum entry]:[Subcheck: missing CRPF info]])=0,0,1))</f>
        <v>0</v>
      </c>
      <c r="Y9" s="79">
        <f>IF(TR_5ExemptionClaim[[#This Row],[Material Reporting Category (Exemption Claim)]]&lt;&gt;"",0,TR_5ExemptionClaim[[#This Row],[Subcheck: any inputs in row]])</f>
        <v>0</v>
      </c>
      <c r="Z9" s="79">
        <f>IF(TR_5ExemptionClaim[[#This Row],[How many of the pounds recycled through this pathway were supplied by this producer?]]&gt;TR_5ExemptionClaim[[#This Row],[Pounds Recycled through this Pathway]],1,0)</f>
        <v>0</v>
      </c>
      <c r="AA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 s="79">
        <f>IF(TR_5ExemptionClaim[[#This Row],[Collection Company Type (autofill)]]&lt;&gt;Lookups!$K$13,0,IF(TR_5ExemptionClaim[[#This Row],[If the collector is OTR, was the service provided under OTR?]]&lt;&gt;"",0,1))</f>
        <v>0</v>
      </c>
      <c r="AF9" s="79">
        <f>IF(TR_5ExemptionClaim[[#This Row],[Did a CRPF ever handle the material before it reached the end market?]]&lt;&gt;"Yes",0,IF(COUNTA(TR_5ExemptionClaim[[#This Row],[CRPF name]:[CRPF Separation Ineligibility Warning]])=3,0,1))</f>
        <v>0</v>
      </c>
      <c r="AG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 s="77" t="str">
        <f>LEFT(TR_5ExemptionClaim[[#This Row],[Subcheck: unique]],250)</f>
        <v/>
      </c>
      <c r="AI9" s="77" t="str">
        <f>RIGHT(TR_5ExemptionClaim[[#This Row],[Subcheck: unique]],250)</f>
        <v/>
      </c>
      <c r="AJ9" s="77">
        <f>IF(OR(TR_5ExemptionClaim[[#This Row],[Check: collection ineligibility]]="Not Eligible",TR_5ExemptionClaim[[#This Row],[Check: CRPF non-separation ineligibility]]="Not Eligible",SUM(TR_5ExemptionClaim[[#This Row],[Check: end market does not exist]:[Check pounds (Third Party Substantiated)]])&gt;0),0,1)</f>
        <v>1</v>
      </c>
      <c r="AK9" s="78" t="str">
        <f>IF(TR_5ExemptionClaim[[#This Row],[Did this producer arrange for the recycling collection?]]="No",TR_5ExemptionClaim[[#This Row],[ID_EC]],"")</f>
        <v/>
      </c>
      <c r="AL9" s="80" t="str">
        <f t="shared" si="0"/>
        <v/>
      </c>
      <c r="AM9" s="80" t="str">
        <f>IFERROR(INDEX(TR_2SuppliedPounds[DEQ 2B Notes],MATCH(TR_5ExemptionClaim[[#This Row],[Material Reporting Category (Exemption Claim)]],TR_2SuppliedPounds[Material Reporting Category],0)),"")</f>
        <v/>
      </c>
      <c r="AN9" s="80" t="str">
        <f>IFERROR(INDEX(TR_3Collectors[DEQ 3B Notes],MATCH(TR_5ExemptionClaim[[#This Row],[Collection or Transportation Service Provider Name]],TR_3Collectors[Collection or Transportation Service Provider Name],0)),"")</f>
        <v/>
      </c>
      <c r="AO9" s="80" t="str">
        <f>IFERROR(INDEX(TR_4EndMarkets[DEQ 4B Notes],MATCH(TR_5ExemptionClaim[[#This Row],[End Market Name]],TR_4EndMarkets[Lookup: material+market],0)),"")</f>
        <v/>
      </c>
      <c r="AP9" s="81" t="str">
        <f>IFERROR(INDEX(TR_6RecyclingArranger[DEQ 6B Notes],MATCH(TR_5ExemptionClaim[[#This Row],[ID_EC]],TR_6RecyclingArranger[ID_EC],0)),"")</f>
        <v/>
      </c>
      <c r="AQ9" s="81">
        <f>SUMIFS(TR_6RecyclingArranger[DEQ 6B Eligible Pounds],TR_6RecyclingArranger[ID_EC],TR_5ExemptionClaim[[#This Row],[ID_EC]])</f>
        <v>0</v>
      </c>
      <c r="AR9" s="40"/>
      <c r="AS9" s="58"/>
    </row>
    <row r="10" spans="1:46" ht="30" customHeight="1" x14ac:dyDescent="0.2">
      <c r="A10" s="82" t="s">
        <v>924</v>
      </c>
      <c r="B10" s="46"/>
      <c r="C10" s="45"/>
      <c r="D10" s="45"/>
      <c r="E10" s="74"/>
      <c r="F1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 s="47"/>
      <c r="H1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 s="74"/>
      <c r="J10" s="75" t="str">
        <f>IF(TR_5ExemptionClaim[[#This Row],[If the collector is OTR, was the service provided under OTR?]]="Yes","Warning: Material collected under OTR service is not eligible for exemption.","")</f>
        <v/>
      </c>
      <c r="K10" s="47"/>
      <c r="L10" s="76"/>
      <c r="M10" s="47"/>
      <c r="N10" s="76"/>
      <c r="O10" s="104" t="str">
        <f>IF(TR_5ExemptionClaim[[#This Row],[If a CRPF handled the material, did the material undergo separation from other materials at the CRPF?]]="Yes","Warning: Material separated at a CRPF is not eligible for exemption.","")</f>
        <v/>
      </c>
      <c r="P10" s="47"/>
      <c r="Q10" s="47"/>
      <c r="R10" s="77" t="str">
        <f>IF(TR_5ExemptionClaim[[#This Row],[If the collector is OTR, was the service provided under OTR?]]="Yes","Not Eligible","")</f>
        <v/>
      </c>
      <c r="S10" s="77" t="str">
        <f>IF(TR_5ExemptionClaim[[#This Row],[If a CRPF handled the material, did the material undergo separation from other materials at the CRPF?]]="Yes","Not Eligible","")</f>
        <v/>
      </c>
      <c r="T10" s="79" t="str">
        <f>IF(TR_5ExemptionClaim[[#This Row],[Material Reporting Category (Exemption Claim)]]="","",(IFERROR(0*MATCH(TR_5ExemptionClaim[[#This Row],[Material Reporting Category (Exemption Claim)]],TR_2SuppliedPounds[Material Reporting Category],0),1)))</f>
        <v/>
      </c>
      <c r="U10" s="79">
        <f>IF(TR_5ExemptionClaim[[#This Row],[End Market Name]]="",0,IFERROR(MATCH(TR_5ExemptionClaim[[#This Row],[End Market Name]],TR_4EndMarkets[Lookup: material+market],0)*0,1))</f>
        <v>0</v>
      </c>
      <c r="V10" s="79">
        <f>IF(TR_5ExemptionClaim[[#This Row],[Subcheck: unique]]="",0,IF(COUNTIFS(TR_5ExemptionClaim[Subcheck: unique left],TR_5ExemptionClaim[[#This Row],[Subcheck: unique left]],TR_5ExemptionClaim[Subcheck: unique right],TR_5ExemptionClaim[[#This Row],[Subcheck: unique right]])&gt;1,1,0))</f>
        <v>0</v>
      </c>
      <c r="W1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 s="79">
        <f>IF(TR_5ExemptionClaim[[#This Row],[Material Reporting Category (Exemption Claim)]]=0,0,IF(SUM(TR_5ExemptionClaim[[#This Row],[Subcheck: minimum entry]:[Subcheck: missing CRPF info]])=0,0,1))</f>
        <v>0</v>
      </c>
      <c r="Y10" s="79">
        <f>IF(TR_5ExemptionClaim[[#This Row],[Material Reporting Category (Exemption Claim)]]&lt;&gt;"",0,TR_5ExemptionClaim[[#This Row],[Subcheck: any inputs in row]])</f>
        <v>0</v>
      </c>
      <c r="Z10" s="79">
        <f>IF(TR_5ExemptionClaim[[#This Row],[How many of the pounds recycled through this pathway were supplied by this producer?]]&gt;TR_5ExemptionClaim[[#This Row],[Pounds Recycled through this Pathway]],1,0)</f>
        <v>0</v>
      </c>
      <c r="AA1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 s="79">
        <f>IF(TR_5ExemptionClaim[[#This Row],[Collection Company Type (autofill)]]&lt;&gt;Lookups!$K$13,0,IF(TR_5ExemptionClaim[[#This Row],[If the collector is OTR, was the service provided under OTR?]]&lt;&gt;"",0,1))</f>
        <v>0</v>
      </c>
      <c r="AF10" s="79">
        <f>IF(TR_5ExemptionClaim[[#This Row],[Did a CRPF ever handle the material before it reached the end market?]]&lt;&gt;"Yes",0,IF(COUNTA(TR_5ExemptionClaim[[#This Row],[CRPF name]:[CRPF Separation Ineligibility Warning]])=3,0,1))</f>
        <v>0</v>
      </c>
      <c r="AG1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 s="77" t="str">
        <f>LEFT(TR_5ExemptionClaim[[#This Row],[Subcheck: unique]],250)</f>
        <v/>
      </c>
      <c r="AI10" s="77" t="str">
        <f>RIGHT(TR_5ExemptionClaim[[#This Row],[Subcheck: unique]],250)</f>
        <v/>
      </c>
      <c r="AJ10" s="77">
        <f>IF(OR(TR_5ExemptionClaim[[#This Row],[Check: collection ineligibility]]="Not Eligible",TR_5ExemptionClaim[[#This Row],[Check: CRPF non-separation ineligibility]]="Not Eligible",SUM(TR_5ExemptionClaim[[#This Row],[Check: end market does not exist]:[Check pounds (Third Party Substantiated)]])&gt;0),0,1)</f>
        <v>1</v>
      </c>
      <c r="AK10" s="78" t="str">
        <f>IF(TR_5ExemptionClaim[[#This Row],[Did this producer arrange for the recycling collection?]]="No",TR_5ExemptionClaim[[#This Row],[ID_EC]],"")</f>
        <v/>
      </c>
      <c r="AL10" s="80" t="str">
        <f t="shared" si="0"/>
        <v/>
      </c>
      <c r="AM10" s="80" t="str">
        <f>IFERROR(INDEX(TR_2SuppliedPounds[DEQ 2B Notes],MATCH(TR_5ExemptionClaim[[#This Row],[Material Reporting Category (Exemption Claim)]],TR_2SuppliedPounds[Material Reporting Category],0)),"")</f>
        <v/>
      </c>
      <c r="AN10" s="80" t="str">
        <f>IFERROR(INDEX(TR_3Collectors[DEQ 3B Notes],MATCH(TR_5ExemptionClaim[[#This Row],[Collection or Transportation Service Provider Name]],TR_3Collectors[Collection or Transportation Service Provider Name],0)),"")</f>
        <v/>
      </c>
      <c r="AO10" s="80" t="str">
        <f>IFERROR(INDEX(TR_4EndMarkets[DEQ 4B Notes],MATCH(TR_5ExemptionClaim[[#This Row],[End Market Name]],TR_4EndMarkets[Lookup: material+market],0)),"")</f>
        <v/>
      </c>
      <c r="AP10" s="81" t="str">
        <f>IFERROR(INDEX(TR_6RecyclingArranger[DEQ 6B Notes],MATCH(TR_5ExemptionClaim[[#This Row],[ID_EC]],TR_6RecyclingArranger[ID_EC],0)),"")</f>
        <v/>
      </c>
      <c r="AQ10" s="81">
        <f>SUMIFS(TR_6RecyclingArranger[DEQ 6B Eligible Pounds],TR_6RecyclingArranger[ID_EC],TR_5ExemptionClaim[[#This Row],[ID_EC]])</f>
        <v>0</v>
      </c>
      <c r="AR10" s="40"/>
      <c r="AS10" s="58"/>
    </row>
    <row r="11" spans="1:46" ht="30" customHeight="1" x14ac:dyDescent="0.2">
      <c r="A11" s="82" t="s">
        <v>925</v>
      </c>
      <c r="B11" s="46"/>
      <c r="C11" s="45"/>
      <c r="D11" s="45"/>
      <c r="E11" s="74"/>
      <c r="F1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1" s="47"/>
      <c r="H1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1" s="74"/>
      <c r="J11" s="75" t="str">
        <f>IF(TR_5ExemptionClaim[[#This Row],[If the collector is OTR, was the service provided under OTR?]]="Yes","Warning: Material collected under OTR service is not eligible for exemption.","")</f>
        <v/>
      </c>
      <c r="K11" s="47"/>
      <c r="L11" s="76"/>
      <c r="M11" s="47"/>
      <c r="N11" s="76"/>
      <c r="O11" s="104" t="str">
        <f>IF(TR_5ExemptionClaim[[#This Row],[If a CRPF handled the material, did the material undergo separation from other materials at the CRPF?]]="Yes","Warning: Material separated at a CRPF is not eligible for exemption.","")</f>
        <v/>
      </c>
      <c r="P11" s="47"/>
      <c r="Q11" s="47"/>
      <c r="R11" s="77" t="str">
        <f>IF(TR_5ExemptionClaim[[#This Row],[If the collector is OTR, was the service provided under OTR?]]="Yes","Not Eligible","")</f>
        <v/>
      </c>
      <c r="S11" s="77" t="str">
        <f>IF(TR_5ExemptionClaim[[#This Row],[If a CRPF handled the material, did the material undergo separation from other materials at the CRPF?]]="Yes","Not Eligible","")</f>
        <v/>
      </c>
      <c r="T11" s="79" t="str">
        <f>IF(TR_5ExemptionClaim[[#This Row],[Material Reporting Category (Exemption Claim)]]="","",(IFERROR(0*MATCH(TR_5ExemptionClaim[[#This Row],[Material Reporting Category (Exemption Claim)]],TR_2SuppliedPounds[Material Reporting Category],0),1)))</f>
        <v/>
      </c>
      <c r="U11" s="79">
        <f>IF(TR_5ExemptionClaim[[#This Row],[End Market Name]]="",0,IFERROR(MATCH(TR_5ExemptionClaim[[#This Row],[End Market Name]],TR_4EndMarkets[Lookup: material+market],0)*0,1))</f>
        <v>0</v>
      </c>
      <c r="V11" s="79">
        <f>IF(TR_5ExemptionClaim[[#This Row],[Subcheck: unique]]="",0,IF(COUNTIFS(TR_5ExemptionClaim[Subcheck: unique left],TR_5ExemptionClaim[[#This Row],[Subcheck: unique left]],TR_5ExemptionClaim[Subcheck: unique right],TR_5ExemptionClaim[[#This Row],[Subcheck: unique right]])&gt;1,1,0))</f>
        <v>0</v>
      </c>
      <c r="W1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1" s="79">
        <f>IF(TR_5ExemptionClaim[[#This Row],[Material Reporting Category (Exemption Claim)]]=0,0,IF(SUM(TR_5ExemptionClaim[[#This Row],[Subcheck: minimum entry]:[Subcheck: missing CRPF info]])=0,0,1))</f>
        <v>0</v>
      </c>
      <c r="Y11" s="79">
        <f>IF(TR_5ExemptionClaim[[#This Row],[Material Reporting Category (Exemption Claim)]]&lt;&gt;"",0,TR_5ExemptionClaim[[#This Row],[Subcheck: any inputs in row]])</f>
        <v>0</v>
      </c>
      <c r="Z11" s="79">
        <f>IF(TR_5ExemptionClaim[[#This Row],[How many of the pounds recycled through this pathway were supplied by this producer?]]&gt;TR_5ExemptionClaim[[#This Row],[Pounds Recycled through this Pathway]],1,0)</f>
        <v>0</v>
      </c>
      <c r="AA1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1" s="79">
        <f>IF(TR_5ExemptionClaim[[#This Row],[Collection Company Type (autofill)]]&lt;&gt;Lookups!$K$13,0,IF(TR_5ExemptionClaim[[#This Row],[If the collector is OTR, was the service provided under OTR?]]&lt;&gt;"",0,1))</f>
        <v>0</v>
      </c>
      <c r="AF11" s="79">
        <f>IF(TR_5ExemptionClaim[[#This Row],[Did a CRPF ever handle the material before it reached the end market?]]&lt;&gt;"Yes",0,IF(COUNTA(TR_5ExemptionClaim[[#This Row],[CRPF name]:[CRPF Separation Ineligibility Warning]])=3,0,1))</f>
        <v>0</v>
      </c>
      <c r="AG1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1" s="77" t="str">
        <f>LEFT(TR_5ExemptionClaim[[#This Row],[Subcheck: unique]],250)</f>
        <v/>
      </c>
      <c r="AI11" s="77" t="str">
        <f>RIGHT(TR_5ExemptionClaim[[#This Row],[Subcheck: unique]],250)</f>
        <v/>
      </c>
      <c r="AJ11" s="77">
        <f>IF(OR(TR_5ExemptionClaim[[#This Row],[Check: collection ineligibility]]="Not Eligible",TR_5ExemptionClaim[[#This Row],[Check: CRPF non-separation ineligibility]]="Not Eligible",SUM(TR_5ExemptionClaim[[#This Row],[Check: end market does not exist]:[Check pounds (Third Party Substantiated)]])&gt;0),0,1)</f>
        <v>1</v>
      </c>
      <c r="AK11" s="78" t="str">
        <f>IF(TR_5ExemptionClaim[[#This Row],[Did this producer arrange for the recycling collection?]]="No",TR_5ExemptionClaim[[#This Row],[ID_EC]],"")</f>
        <v/>
      </c>
      <c r="AL11" s="80" t="str">
        <f t="shared" si="0"/>
        <v/>
      </c>
      <c r="AM11" s="80" t="str">
        <f>IFERROR(INDEX(TR_2SuppliedPounds[DEQ 2B Notes],MATCH(TR_5ExemptionClaim[[#This Row],[Material Reporting Category (Exemption Claim)]],TR_2SuppliedPounds[Material Reporting Category],0)),"")</f>
        <v/>
      </c>
      <c r="AN11" s="80" t="str">
        <f>IFERROR(INDEX(TR_3Collectors[DEQ 3B Notes],MATCH(TR_5ExemptionClaim[[#This Row],[Collection or Transportation Service Provider Name]],TR_3Collectors[Collection or Transportation Service Provider Name],0)),"")</f>
        <v/>
      </c>
      <c r="AO11" s="80" t="str">
        <f>IFERROR(INDEX(TR_4EndMarkets[DEQ 4B Notes],MATCH(TR_5ExemptionClaim[[#This Row],[End Market Name]],TR_4EndMarkets[Lookup: material+market],0)),"")</f>
        <v/>
      </c>
      <c r="AP11" s="81" t="str">
        <f>IFERROR(INDEX(TR_6RecyclingArranger[DEQ 6B Notes],MATCH(TR_5ExemptionClaim[[#This Row],[ID_EC]],TR_6RecyclingArranger[ID_EC],0)),"")</f>
        <v/>
      </c>
      <c r="AQ11" s="81">
        <f>SUMIFS(TR_6RecyclingArranger[DEQ 6B Eligible Pounds],TR_6RecyclingArranger[ID_EC],TR_5ExemptionClaim[[#This Row],[ID_EC]])</f>
        <v>0</v>
      </c>
      <c r="AR11" s="40"/>
      <c r="AS11" s="58"/>
    </row>
    <row r="12" spans="1:46" ht="30" customHeight="1" x14ac:dyDescent="0.2">
      <c r="A12" s="82" t="s">
        <v>926</v>
      </c>
      <c r="B12" s="46"/>
      <c r="C12" s="45"/>
      <c r="D12" s="45"/>
      <c r="E12" s="74"/>
      <c r="F1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2" s="47"/>
      <c r="H1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2" s="74"/>
      <c r="J12" s="75" t="str">
        <f>IF(TR_5ExemptionClaim[[#This Row],[If the collector is OTR, was the service provided under OTR?]]="Yes","Warning: Material collected under OTR service is not eligible for exemption.","")</f>
        <v/>
      </c>
      <c r="K12" s="47"/>
      <c r="L12" s="76"/>
      <c r="M12" s="47"/>
      <c r="N12" s="76"/>
      <c r="O12" s="104" t="str">
        <f>IF(TR_5ExemptionClaim[[#This Row],[If a CRPF handled the material, did the material undergo separation from other materials at the CRPF?]]="Yes","Warning: Material separated at a CRPF is not eligible for exemption.","")</f>
        <v/>
      </c>
      <c r="P12" s="47"/>
      <c r="Q12" s="47"/>
      <c r="R12" s="77" t="str">
        <f>IF(TR_5ExemptionClaim[[#This Row],[If the collector is OTR, was the service provided under OTR?]]="Yes","Not Eligible","")</f>
        <v/>
      </c>
      <c r="S12" s="77" t="str">
        <f>IF(TR_5ExemptionClaim[[#This Row],[If a CRPF handled the material, did the material undergo separation from other materials at the CRPF?]]="Yes","Not Eligible","")</f>
        <v/>
      </c>
      <c r="T12" s="79" t="str">
        <f>IF(TR_5ExemptionClaim[[#This Row],[Material Reporting Category (Exemption Claim)]]="","",(IFERROR(0*MATCH(TR_5ExemptionClaim[[#This Row],[Material Reporting Category (Exemption Claim)]],TR_2SuppliedPounds[Material Reporting Category],0),1)))</f>
        <v/>
      </c>
      <c r="U12" s="79">
        <f>IF(TR_5ExemptionClaim[[#This Row],[End Market Name]]="",0,IFERROR(MATCH(TR_5ExemptionClaim[[#This Row],[End Market Name]],TR_4EndMarkets[Lookup: material+market],0)*0,1))</f>
        <v>0</v>
      </c>
      <c r="V12" s="79">
        <f>IF(TR_5ExemptionClaim[[#This Row],[Subcheck: unique]]="",0,IF(COUNTIFS(TR_5ExemptionClaim[Subcheck: unique left],TR_5ExemptionClaim[[#This Row],[Subcheck: unique left]],TR_5ExemptionClaim[Subcheck: unique right],TR_5ExemptionClaim[[#This Row],[Subcheck: unique right]])&gt;1,1,0))</f>
        <v>0</v>
      </c>
      <c r="W1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2" s="79">
        <f>IF(TR_5ExemptionClaim[[#This Row],[Material Reporting Category (Exemption Claim)]]=0,0,IF(SUM(TR_5ExemptionClaim[[#This Row],[Subcheck: minimum entry]:[Subcheck: missing CRPF info]])=0,0,1))</f>
        <v>0</v>
      </c>
      <c r="Y12" s="79">
        <f>IF(TR_5ExemptionClaim[[#This Row],[Material Reporting Category (Exemption Claim)]]&lt;&gt;"",0,TR_5ExemptionClaim[[#This Row],[Subcheck: any inputs in row]])</f>
        <v>0</v>
      </c>
      <c r="Z12" s="79">
        <f>IF(TR_5ExemptionClaim[[#This Row],[How many of the pounds recycled through this pathway were supplied by this producer?]]&gt;TR_5ExemptionClaim[[#This Row],[Pounds Recycled through this Pathway]],1,0)</f>
        <v>0</v>
      </c>
      <c r="AA1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2" s="79">
        <f>IF(TR_5ExemptionClaim[[#This Row],[Collection Company Type (autofill)]]&lt;&gt;Lookups!$K$13,0,IF(TR_5ExemptionClaim[[#This Row],[If the collector is OTR, was the service provided under OTR?]]&lt;&gt;"",0,1))</f>
        <v>0</v>
      </c>
      <c r="AF12" s="79">
        <f>IF(TR_5ExemptionClaim[[#This Row],[Did a CRPF ever handle the material before it reached the end market?]]&lt;&gt;"Yes",0,IF(COUNTA(TR_5ExemptionClaim[[#This Row],[CRPF name]:[CRPF Separation Ineligibility Warning]])=3,0,1))</f>
        <v>0</v>
      </c>
      <c r="AG1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2" s="77" t="str">
        <f>LEFT(TR_5ExemptionClaim[[#This Row],[Subcheck: unique]],250)</f>
        <v/>
      </c>
      <c r="AI12" s="77" t="str">
        <f>RIGHT(TR_5ExemptionClaim[[#This Row],[Subcheck: unique]],250)</f>
        <v/>
      </c>
      <c r="AJ12" s="77">
        <f>IF(OR(TR_5ExemptionClaim[[#This Row],[Check: collection ineligibility]]="Not Eligible",TR_5ExemptionClaim[[#This Row],[Check: CRPF non-separation ineligibility]]="Not Eligible",SUM(TR_5ExemptionClaim[[#This Row],[Check: end market does not exist]:[Check pounds (Third Party Substantiated)]])&gt;0),0,1)</f>
        <v>1</v>
      </c>
      <c r="AK12" s="78" t="str">
        <f>IF(TR_5ExemptionClaim[[#This Row],[Did this producer arrange for the recycling collection?]]="No",TR_5ExemptionClaim[[#This Row],[ID_EC]],"")</f>
        <v/>
      </c>
      <c r="AL12" s="80" t="str">
        <f t="shared" si="0"/>
        <v/>
      </c>
      <c r="AM12" s="80" t="str">
        <f>IFERROR(INDEX(TR_2SuppliedPounds[DEQ 2B Notes],MATCH(TR_5ExemptionClaim[[#This Row],[Material Reporting Category (Exemption Claim)]],TR_2SuppliedPounds[Material Reporting Category],0)),"")</f>
        <v/>
      </c>
      <c r="AN12" s="80" t="str">
        <f>IFERROR(INDEX(TR_3Collectors[DEQ 3B Notes],MATCH(TR_5ExemptionClaim[[#This Row],[Collection or Transportation Service Provider Name]],TR_3Collectors[Collection or Transportation Service Provider Name],0)),"")</f>
        <v/>
      </c>
      <c r="AO12" s="80" t="str">
        <f>IFERROR(INDEX(TR_4EndMarkets[DEQ 4B Notes],MATCH(TR_5ExemptionClaim[[#This Row],[End Market Name]],TR_4EndMarkets[Lookup: material+market],0)),"")</f>
        <v/>
      </c>
      <c r="AP12" s="81" t="str">
        <f>IFERROR(INDEX(TR_6RecyclingArranger[DEQ 6B Notes],MATCH(TR_5ExemptionClaim[[#This Row],[ID_EC]],TR_6RecyclingArranger[ID_EC],0)),"")</f>
        <v/>
      </c>
      <c r="AQ12" s="81">
        <f>SUMIFS(TR_6RecyclingArranger[DEQ 6B Eligible Pounds],TR_6RecyclingArranger[ID_EC],TR_5ExemptionClaim[[#This Row],[ID_EC]])</f>
        <v>0</v>
      </c>
      <c r="AR12" s="40"/>
      <c r="AS12" s="58"/>
    </row>
    <row r="13" spans="1:46" ht="30" customHeight="1" x14ac:dyDescent="0.2">
      <c r="A13" s="82" t="s">
        <v>927</v>
      </c>
      <c r="B13" s="46"/>
      <c r="C13" s="45"/>
      <c r="D13" s="45"/>
      <c r="E13" s="74"/>
      <c r="F1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3" s="47"/>
      <c r="H1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3" s="74"/>
      <c r="J13" s="75" t="str">
        <f>IF(TR_5ExemptionClaim[[#This Row],[If the collector is OTR, was the service provided under OTR?]]="Yes","Warning: Material collected under OTR service is not eligible for exemption.","")</f>
        <v/>
      </c>
      <c r="K13" s="47"/>
      <c r="L13" s="76"/>
      <c r="M13" s="47"/>
      <c r="N13" s="76"/>
      <c r="O13" s="104" t="str">
        <f>IF(TR_5ExemptionClaim[[#This Row],[If a CRPF handled the material, did the material undergo separation from other materials at the CRPF?]]="Yes","Warning: Material separated at a CRPF is not eligible for exemption.","")</f>
        <v/>
      </c>
      <c r="P13" s="47"/>
      <c r="Q13" s="47"/>
      <c r="R13" s="77" t="str">
        <f>IF(TR_5ExemptionClaim[[#This Row],[If the collector is OTR, was the service provided under OTR?]]="Yes","Not Eligible","")</f>
        <v/>
      </c>
      <c r="S13" s="77" t="str">
        <f>IF(TR_5ExemptionClaim[[#This Row],[If a CRPF handled the material, did the material undergo separation from other materials at the CRPF?]]="Yes","Not Eligible","")</f>
        <v/>
      </c>
      <c r="T13" s="79" t="str">
        <f>IF(TR_5ExemptionClaim[[#This Row],[Material Reporting Category (Exemption Claim)]]="","",(IFERROR(0*MATCH(TR_5ExemptionClaim[[#This Row],[Material Reporting Category (Exemption Claim)]],TR_2SuppliedPounds[Material Reporting Category],0),1)))</f>
        <v/>
      </c>
      <c r="U13" s="79">
        <f>IF(TR_5ExemptionClaim[[#This Row],[End Market Name]]="",0,IFERROR(MATCH(TR_5ExemptionClaim[[#This Row],[End Market Name]],TR_4EndMarkets[Lookup: material+market],0)*0,1))</f>
        <v>0</v>
      </c>
      <c r="V13" s="79">
        <f>IF(TR_5ExemptionClaim[[#This Row],[Subcheck: unique]]="",0,IF(COUNTIFS(TR_5ExemptionClaim[Subcheck: unique left],TR_5ExemptionClaim[[#This Row],[Subcheck: unique left]],TR_5ExemptionClaim[Subcheck: unique right],TR_5ExemptionClaim[[#This Row],[Subcheck: unique right]])&gt;1,1,0))</f>
        <v>0</v>
      </c>
      <c r="W1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3" s="79">
        <f>IF(TR_5ExemptionClaim[[#This Row],[Material Reporting Category (Exemption Claim)]]=0,0,IF(SUM(TR_5ExemptionClaim[[#This Row],[Subcheck: minimum entry]:[Subcheck: missing CRPF info]])=0,0,1))</f>
        <v>0</v>
      </c>
      <c r="Y13" s="79">
        <f>IF(TR_5ExemptionClaim[[#This Row],[Material Reporting Category (Exemption Claim)]]&lt;&gt;"",0,TR_5ExemptionClaim[[#This Row],[Subcheck: any inputs in row]])</f>
        <v>0</v>
      </c>
      <c r="Z13" s="79">
        <f>IF(TR_5ExemptionClaim[[#This Row],[How many of the pounds recycled through this pathway were supplied by this producer?]]&gt;TR_5ExemptionClaim[[#This Row],[Pounds Recycled through this Pathway]],1,0)</f>
        <v>0</v>
      </c>
      <c r="AA1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3" s="79">
        <f>IF(TR_5ExemptionClaim[[#This Row],[Collection Company Type (autofill)]]&lt;&gt;Lookups!$K$13,0,IF(TR_5ExemptionClaim[[#This Row],[If the collector is OTR, was the service provided under OTR?]]&lt;&gt;"",0,1))</f>
        <v>0</v>
      </c>
      <c r="AF13" s="79">
        <f>IF(TR_5ExemptionClaim[[#This Row],[Did a CRPF ever handle the material before it reached the end market?]]&lt;&gt;"Yes",0,IF(COUNTA(TR_5ExemptionClaim[[#This Row],[CRPF name]:[CRPF Separation Ineligibility Warning]])=3,0,1))</f>
        <v>0</v>
      </c>
      <c r="AG1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3" s="77" t="str">
        <f>LEFT(TR_5ExemptionClaim[[#This Row],[Subcheck: unique]],250)</f>
        <v/>
      </c>
      <c r="AI13" s="77" t="str">
        <f>RIGHT(TR_5ExemptionClaim[[#This Row],[Subcheck: unique]],250)</f>
        <v/>
      </c>
      <c r="AJ13" s="77">
        <f>IF(OR(TR_5ExemptionClaim[[#This Row],[Check: collection ineligibility]]="Not Eligible",TR_5ExemptionClaim[[#This Row],[Check: CRPF non-separation ineligibility]]="Not Eligible",SUM(TR_5ExemptionClaim[[#This Row],[Check: end market does not exist]:[Check pounds (Third Party Substantiated)]])&gt;0),0,1)</f>
        <v>1</v>
      </c>
      <c r="AK13" s="78" t="str">
        <f>IF(TR_5ExemptionClaim[[#This Row],[Did this producer arrange for the recycling collection?]]="No",TR_5ExemptionClaim[[#This Row],[ID_EC]],"")</f>
        <v/>
      </c>
      <c r="AL13" s="80" t="str">
        <f t="shared" si="0"/>
        <v/>
      </c>
      <c r="AM13" s="80" t="str">
        <f>IFERROR(INDEX(TR_2SuppliedPounds[DEQ 2B Notes],MATCH(TR_5ExemptionClaim[[#This Row],[Material Reporting Category (Exemption Claim)]],TR_2SuppliedPounds[Material Reporting Category],0)),"")</f>
        <v/>
      </c>
      <c r="AN13" s="80" t="str">
        <f>IFERROR(INDEX(TR_3Collectors[DEQ 3B Notes],MATCH(TR_5ExemptionClaim[[#This Row],[Collection or Transportation Service Provider Name]],TR_3Collectors[Collection or Transportation Service Provider Name],0)),"")</f>
        <v/>
      </c>
      <c r="AO13" s="80" t="str">
        <f>IFERROR(INDEX(TR_4EndMarkets[DEQ 4B Notes],MATCH(TR_5ExemptionClaim[[#This Row],[End Market Name]],TR_4EndMarkets[Lookup: material+market],0)),"")</f>
        <v/>
      </c>
      <c r="AP13" s="81" t="str">
        <f>IFERROR(INDEX(TR_6RecyclingArranger[DEQ 6B Notes],MATCH(TR_5ExemptionClaim[[#This Row],[ID_EC]],TR_6RecyclingArranger[ID_EC],0)),"")</f>
        <v/>
      </c>
      <c r="AQ13" s="81">
        <f>SUMIFS(TR_6RecyclingArranger[DEQ 6B Eligible Pounds],TR_6RecyclingArranger[ID_EC],TR_5ExemptionClaim[[#This Row],[ID_EC]])</f>
        <v>0</v>
      </c>
      <c r="AR13" s="40"/>
      <c r="AS13" s="58"/>
    </row>
    <row r="14" spans="1:46" ht="30" customHeight="1" x14ac:dyDescent="0.2">
      <c r="A14" s="82" t="s">
        <v>928</v>
      </c>
      <c r="B14" s="46"/>
      <c r="C14" s="45"/>
      <c r="D14" s="45"/>
      <c r="E14" s="74"/>
      <c r="F1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4" s="47"/>
      <c r="H1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4" s="74"/>
      <c r="J14" s="75" t="str">
        <f>IF(TR_5ExemptionClaim[[#This Row],[If the collector is OTR, was the service provided under OTR?]]="Yes","Warning: Material collected under OTR service is not eligible for exemption.","")</f>
        <v/>
      </c>
      <c r="K14" s="47"/>
      <c r="L14" s="76"/>
      <c r="M14" s="47"/>
      <c r="N14" s="76"/>
      <c r="O14" s="104" t="str">
        <f>IF(TR_5ExemptionClaim[[#This Row],[If a CRPF handled the material, did the material undergo separation from other materials at the CRPF?]]="Yes","Warning: Material separated at a CRPF is not eligible for exemption.","")</f>
        <v/>
      </c>
      <c r="P14" s="47"/>
      <c r="Q14" s="47"/>
      <c r="R14" s="77" t="str">
        <f>IF(TR_5ExemptionClaim[[#This Row],[If the collector is OTR, was the service provided under OTR?]]="Yes","Not Eligible","")</f>
        <v/>
      </c>
      <c r="S14" s="77" t="str">
        <f>IF(TR_5ExemptionClaim[[#This Row],[If a CRPF handled the material, did the material undergo separation from other materials at the CRPF?]]="Yes","Not Eligible","")</f>
        <v/>
      </c>
      <c r="T14" s="79" t="str">
        <f>IF(TR_5ExemptionClaim[[#This Row],[Material Reporting Category (Exemption Claim)]]="","",(IFERROR(0*MATCH(TR_5ExemptionClaim[[#This Row],[Material Reporting Category (Exemption Claim)]],TR_2SuppliedPounds[Material Reporting Category],0),1)))</f>
        <v/>
      </c>
      <c r="U14" s="79">
        <f>IF(TR_5ExemptionClaim[[#This Row],[End Market Name]]="",0,IFERROR(MATCH(TR_5ExemptionClaim[[#This Row],[End Market Name]],TR_4EndMarkets[Lookup: material+market],0)*0,1))</f>
        <v>0</v>
      </c>
      <c r="V14" s="79">
        <f>IF(TR_5ExemptionClaim[[#This Row],[Subcheck: unique]]="",0,IF(COUNTIFS(TR_5ExemptionClaim[Subcheck: unique left],TR_5ExemptionClaim[[#This Row],[Subcheck: unique left]],TR_5ExemptionClaim[Subcheck: unique right],TR_5ExemptionClaim[[#This Row],[Subcheck: unique right]])&gt;1,1,0))</f>
        <v>0</v>
      </c>
      <c r="W1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4" s="79">
        <f>IF(TR_5ExemptionClaim[[#This Row],[Material Reporting Category (Exemption Claim)]]=0,0,IF(SUM(TR_5ExemptionClaim[[#This Row],[Subcheck: minimum entry]:[Subcheck: missing CRPF info]])=0,0,1))</f>
        <v>0</v>
      </c>
      <c r="Y14" s="79">
        <f>IF(TR_5ExemptionClaim[[#This Row],[Material Reporting Category (Exemption Claim)]]&lt;&gt;"",0,TR_5ExemptionClaim[[#This Row],[Subcheck: any inputs in row]])</f>
        <v>0</v>
      </c>
      <c r="Z14" s="79">
        <f>IF(TR_5ExemptionClaim[[#This Row],[How many of the pounds recycled through this pathway were supplied by this producer?]]&gt;TR_5ExemptionClaim[[#This Row],[Pounds Recycled through this Pathway]],1,0)</f>
        <v>0</v>
      </c>
      <c r="AA1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4" s="79">
        <f>IF(TR_5ExemptionClaim[[#This Row],[Collection Company Type (autofill)]]&lt;&gt;Lookups!$K$13,0,IF(TR_5ExemptionClaim[[#This Row],[If the collector is OTR, was the service provided under OTR?]]&lt;&gt;"",0,1))</f>
        <v>0</v>
      </c>
      <c r="AF14" s="79">
        <f>IF(TR_5ExemptionClaim[[#This Row],[Did a CRPF ever handle the material before it reached the end market?]]&lt;&gt;"Yes",0,IF(COUNTA(TR_5ExemptionClaim[[#This Row],[CRPF name]:[CRPF Separation Ineligibility Warning]])=3,0,1))</f>
        <v>0</v>
      </c>
      <c r="AG1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4" s="77" t="str">
        <f>LEFT(TR_5ExemptionClaim[[#This Row],[Subcheck: unique]],250)</f>
        <v/>
      </c>
      <c r="AI14" s="77" t="str">
        <f>RIGHT(TR_5ExemptionClaim[[#This Row],[Subcheck: unique]],250)</f>
        <v/>
      </c>
      <c r="AJ14" s="77">
        <f>IF(OR(TR_5ExemptionClaim[[#This Row],[Check: collection ineligibility]]="Not Eligible",TR_5ExemptionClaim[[#This Row],[Check: CRPF non-separation ineligibility]]="Not Eligible",SUM(TR_5ExemptionClaim[[#This Row],[Check: end market does not exist]:[Check pounds (Third Party Substantiated)]])&gt;0),0,1)</f>
        <v>1</v>
      </c>
      <c r="AK14" s="78" t="str">
        <f>IF(TR_5ExemptionClaim[[#This Row],[Did this producer arrange for the recycling collection?]]="No",TR_5ExemptionClaim[[#This Row],[ID_EC]],"")</f>
        <v/>
      </c>
      <c r="AL14" s="80" t="str">
        <f t="shared" si="0"/>
        <v/>
      </c>
      <c r="AM14" s="80" t="str">
        <f>IFERROR(INDEX(TR_2SuppliedPounds[DEQ 2B Notes],MATCH(TR_5ExemptionClaim[[#This Row],[Material Reporting Category (Exemption Claim)]],TR_2SuppliedPounds[Material Reporting Category],0)),"")</f>
        <v/>
      </c>
      <c r="AN14" s="80" t="str">
        <f>IFERROR(INDEX(TR_3Collectors[DEQ 3B Notes],MATCH(TR_5ExemptionClaim[[#This Row],[Collection or Transportation Service Provider Name]],TR_3Collectors[Collection or Transportation Service Provider Name],0)),"")</f>
        <v/>
      </c>
      <c r="AO14" s="80" t="str">
        <f>IFERROR(INDEX(TR_4EndMarkets[DEQ 4B Notes],MATCH(TR_5ExemptionClaim[[#This Row],[End Market Name]],TR_4EndMarkets[Lookup: material+market],0)),"")</f>
        <v/>
      </c>
      <c r="AP14" s="81" t="str">
        <f>IFERROR(INDEX(TR_6RecyclingArranger[DEQ 6B Notes],MATCH(TR_5ExemptionClaim[[#This Row],[ID_EC]],TR_6RecyclingArranger[ID_EC],0)),"")</f>
        <v/>
      </c>
      <c r="AQ14" s="81">
        <f>SUMIFS(TR_6RecyclingArranger[DEQ 6B Eligible Pounds],TR_6RecyclingArranger[ID_EC],TR_5ExemptionClaim[[#This Row],[ID_EC]])</f>
        <v>0</v>
      </c>
      <c r="AR14" s="40"/>
      <c r="AS14" s="58"/>
    </row>
    <row r="15" spans="1:46" ht="30" customHeight="1" x14ac:dyDescent="0.2">
      <c r="A15" s="82" t="s">
        <v>929</v>
      </c>
      <c r="B15" s="46"/>
      <c r="C15" s="45"/>
      <c r="D15" s="45"/>
      <c r="E15" s="74"/>
      <c r="F1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5" s="47"/>
      <c r="H1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5" s="74"/>
      <c r="J15" s="75" t="str">
        <f>IF(TR_5ExemptionClaim[[#This Row],[If the collector is OTR, was the service provided under OTR?]]="Yes","Warning: Material collected under OTR service is not eligible for exemption.","")</f>
        <v/>
      </c>
      <c r="K15" s="47"/>
      <c r="L15" s="76"/>
      <c r="M15" s="47"/>
      <c r="N15" s="76"/>
      <c r="O15" s="104" t="str">
        <f>IF(TR_5ExemptionClaim[[#This Row],[If a CRPF handled the material, did the material undergo separation from other materials at the CRPF?]]="Yes","Warning: Material separated at a CRPF is not eligible for exemption.","")</f>
        <v/>
      </c>
      <c r="P15" s="47"/>
      <c r="Q15" s="47"/>
      <c r="R15" s="77" t="str">
        <f>IF(TR_5ExemptionClaim[[#This Row],[If the collector is OTR, was the service provided under OTR?]]="Yes","Not Eligible","")</f>
        <v/>
      </c>
      <c r="S15" s="77" t="str">
        <f>IF(TR_5ExemptionClaim[[#This Row],[If a CRPF handled the material, did the material undergo separation from other materials at the CRPF?]]="Yes","Not Eligible","")</f>
        <v/>
      </c>
      <c r="T15" s="79" t="str">
        <f>IF(TR_5ExemptionClaim[[#This Row],[Material Reporting Category (Exemption Claim)]]="","",(IFERROR(0*MATCH(TR_5ExemptionClaim[[#This Row],[Material Reporting Category (Exemption Claim)]],TR_2SuppliedPounds[Material Reporting Category],0),1)))</f>
        <v/>
      </c>
      <c r="U15" s="79">
        <f>IF(TR_5ExemptionClaim[[#This Row],[End Market Name]]="",0,IFERROR(MATCH(TR_5ExemptionClaim[[#This Row],[End Market Name]],TR_4EndMarkets[Lookup: material+market],0)*0,1))</f>
        <v>0</v>
      </c>
      <c r="V15" s="79">
        <f>IF(TR_5ExemptionClaim[[#This Row],[Subcheck: unique]]="",0,IF(COUNTIFS(TR_5ExemptionClaim[Subcheck: unique left],TR_5ExemptionClaim[[#This Row],[Subcheck: unique left]],TR_5ExemptionClaim[Subcheck: unique right],TR_5ExemptionClaim[[#This Row],[Subcheck: unique right]])&gt;1,1,0))</f>
        <v>0</v>
      </c>
      <c r="W1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5" s="79">
        <f>IF(TR_5ExemptionClaim[[#This Row],[Material Reporting Category (Exemption Claim)]]=0,0,IF(SUM(TR_5ExemptionClaim[[#This Row],[Subcheck: minimum entry]:[Subcheck: missing CRPF info]])=0,0,1))</f>
        <v>0</v>
      </c>
      <c r="Y15" s="79">
        <f>IF(TR_5ExemptionClaim[[#This Row],[Material Reporting Category (Exemption Claim)]]&lt;&gt;"",0,TR_5ExemptionClaim[[#This Row],[Subcheck: any inputs in row]])</f>
        <v>0</v>
      </c>
      <c r="Z15" s="79">
        <f>IF(TR_5ExemptionClaim[[#This Row],[How many of the pounds recycled through this pathway were supplied by this producer?]]&gt;TR_5ExemptionClaim[[#This Row],[Pounds Recycled through this Pathway]],1,0)</f>
        <v>0</v>
      </c>
      <c r="AA1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5" s="79">
        <f>IF(TR_5ExemptionClaim[[#This Row],[Collection Company Type (autofill)]]&lt;&gt;Lookups!$K$13,0,IF(TR_5ExemptionClaim[[#This Row],[If the collector is OTR, was the service provided under OTR?]]&lt;&gt;"",0,1))</f>
        <v>0</v>
      </c>
      <c r="AF15" s="79">
        <f>IF(TR_5ExemptionClaim[[#This Row],[Did a CRPF ever handle the material before it reached the end market?]]&lt;&gt;"Yes",0,IF(COUNTA(TR_5ExemptionClaim[[#This Row],[CRPF name]:[CRPF Separation Ineligibility Warning]])=3,0,1))</f>
        <v>0</v>
      </c>
      <c r="AG1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5" s="77" t="str">
        <f>LEFT(TR_5ExemptionClaim[[#This Row],[Subcheck: unique]],250)</f>
        <v/>
      </c>
      <c r="AI15" s="77" t="str">
        <f>RIGHT(TR_5ExemptionClaim[[#This Row],[Subcheck: unique]],250)</f>
        <v/>
      </c>
      <c r="AJ15" s="77">
        <f>IF(OR(TR_5ExemptionClaim[[#This Row],[Check: collection ineligibility]]="Not Eligible",TR_5ExemptionClaim[[#This Row],[Check: CRPF non-separation ineligibility]]="Not Eligible",SUM(TR_5ExemptionClaim[[#This Row],[Check: end market does not exist]:[Check pounds (Third Party Substantiated)]])&gt;0),0,1)</f>
        <v>1</v>
      </c>
      <c r="AK15" s="78" t="str">
        <f>IF(TR_5ExemptionClaim[[#This Row],[Did this producer arrange for the recycling collection?]]="No",TR_5ExemptionClaim[[#This Row],[ID_EC]],"")</f>
        <v/>
      </c>
      <c r="AL15" s="80" t="str">
        <f t="shared" si="0"/>
        <v/>
      </c>
      <c r="AM15" s="80" t="str">
        <f>IFERROR(INDEX(TR_2SuppliedPounds[DEQ 2B Notes],MATCH(TR_5ExemptionClaim[[#This Row],[Material Reporting Category (Exemption Claim)]],TR_2SuppliedPounds[Material Reporting Category],0)),"")</f>
        <v/>
      </c>
      <c r="AN15" s="80" t="str">
        <f>IFERROR(INDEX(TR_3Collectors[DEQ 3B Notes],MATCH(TR_5ExemptionClaim[[#This Row],[Collection or Transportation Service Provider Name]],TR_3Collectors[Collection or Transportation Service Provider Name],0)),"")</f>
        <v/>
      </c>
      <c r="AO15" s="80" t="str">
        <f>IFERROR(INDEX(TR_4EndMarkets[DEQ 4B Notes],MATCH(TR_5ExemptionClaim[[#This Row],[End Market Name]],TR_4EndMarkets[Lookup: material+market],0)),"")</f>
        <v/>
      </c>
      <c r="AP15" s="81" t="str">
        <f>IFERROR(INDEX(TR_6RecyclingArranger[DEQ 6B Notes],MATCH(TR_5ExemptionClaim[[#This Row],[ID_EC]],TR_6RecyclingArranger[ID_EC],0)),"")</f>
        <v/>
      </c>
      <c r="AQ15" s="81">
        <f>SUMIFS(TR_6RecyclingArranger[DEQ 6B Eligible Pounds],TR_6RecyclingArranger[ID_EC],TR_5ExemptionClaim[[#This Row],[ID_EC]])</f>
        <v>0</v>
      </c>
      <c r="AR15" s="40"/>
      <c r="AS15" s="58"/>
    </row>
    <row r="16" spans="1:46" ht="30" customHeight="1" x14ac:dyDescent="0.2">
      <c r="A16" s="82" t="s">
        <v>930</v>
      </c>
      <c r="B16" s="46"/>
      <c r="C16" s="45"/>
      <c r="D16" s="45"/>
      <c r="E16" s="74"/>
      <c r="F1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6" s="47"/>
      <c r="H1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6" s="74"/>
      <c r="J16" s="75" t="str">
        <f>IF(TR_5ExemptionClaim[[#This Row],[If the collector is OTR, was the service provided under OTR?]]="Yes","Warning: Material collected under OTR service is not eligible for exemption.","")</f>
        <v/>
      </c>
      <c r="K16" s="47"/>
      <c r="L16" s="76"/>
      <c r="M16" s="47"/>
      <c r="N16" s="76"/>
      <c r="O16" s="104" t="str">
        <f>IF(TR_5ExemptionClaim[[#This Row],[If a CRPF handled the material, did the material undergo separation from other materials at the CRPF?]]="Yes","Warning: Material separated at a CRPF is not eligible for exemption.","")</f>
        <v/>
      </c>
      <c r="P16" s="47"/>
      <c r="Q16" s="47"/>
      <c r="R16" s="77" t="str">
        <f>IF(TR_5ExemptionClaim[[#This Row],[If the collector is OTR, was the service provided under OTR?]]="Yes","Not Eligible","")</f>
        <v/>
      </c>
      <c r="S16" s="77" t="str">
        <f>IF(TR_5ExemptionClaim[[#This Row],[If a CRPF handled the material, did the material undergo separation from other materials at the CRPF?]]="Yes","Not Eligible","")</f>
        <v/>
      </c>
      <c r="T16" s="79" t="str">
        <f>IF(TR_5ExemptionClaim[[#This Row],[Material Reporting Category (Exemption Claim)]]="","",(IFERROR(0*MATCH(TR_5ExemptionClaim[[#This Row],[Material Reporting Category (Exemption Claim)]],TR_2SuppliedPounds[Material Reporting Category],0),1)))</f>
        <v/>
      </c>
      <c r="U16" s="79">
        <f>IF(TR_5ExemptionClaim[[#This Row],[End Market Name]]="",0,IFERROR(MATCH(TR_5ExemptionClaim[[#This Row],[End Market Name]],TR_4EndMarkets[Lookup: material+market],0)*0,1))</f>
        <v>0</v>
      </c>
      <c r="V16" s="79">
        <f>IF(TR_5ExemptionClaim[[#This Row],[Subcheck: unique]]="",0,IF(COUNTIFS(TR_5ExemptionClaim[Subcheck: unique left],TR_5ExemptionClaim[[#This Row],[Subcheck: unique left]],TR_5ExemptionClaim[Subcheck: unique right],TR_5ExemptionClaim[[#This Row],[Subcheck: unique right]])&gt;1,1,0))</f>
        <v>0</v>
      </c>
      <c r="W1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6" s="79">
        <f>IF(TR_5ExemptionClaim[[#This Row],[Material Reporting Category (Exemption Claim)]]=0,0,IF(SUM(TR_5ExemptionClaim[[#This Row],[Subcheck: minimum entry]:[Subcheck: missing CRPF info]])=0,0,1))</f>
        <v>0</v>
      </c>
      <c r="Y16" s="79">
        <f>IF(TR_5ExemptionClaim[[#This Row],[Material Reporting Category (Exemption Claim)]]&lt;&gt;"",0,TR_5ExemptionClaim[[#This Row],[Subcheck: any inputs in row]])</f>
        <v>0</v>
      </c>
      <c r="Z16" s="79">
        <f>IF(TR_5ExemptionClaim[[#This Row],[How many of the pounds recycled through this pathway were supplied by this producer?]]&gt;TR_5ExemptionClaim[[#This Row],[Pounds Recycled through this Pathway]],1,0)</f>
        <v>0</v>
      </c>
      <c r="AA1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6" s="79">
        <f>IF(TR_5ExemptionClaim[[#This Row],[Collection Company Type (autofill)]]&lt;&gt;Lookups!$K$13,0,IF(TR_5ExemptionClaim[[#This Row],[If the collector is OTR, was the service provided under OTR?]]&lt;&gt;"",0,1))</f>
        <v>0</v>
      </c>
      <c r="AF16" s="79">
        <f>IF(TR_5ExemptionClaim[[#This Row],[Did a CRPF ever handle the material before it reached the end market?]]&lt;&gt;"Yes",0,IF(COUNTA(TR_5ExemptionClaim[[#This Row],[CRPF name]:[CRPF Separation Ineligibility Warning]])=3,0,1))</f>
        <v>0</v>
      </c>
      <c r="AG1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6" s="77" t="str">
        <f>LEFT(TR_5ExemptionClaim[[#This Row],[Subcheck: unique]],250)</f>
        <v/>
      </c>
      <c r="AI16" s="77" t="str">
        <f>RIGHT(TR_5ExemptionClaim[[#This Row],[Subcheck: unique]],250)</f>
        <v/>
      </c>
      <c r="AJ16" s="77">
        <f>IF(OR(TR_5ExemptionClaim[[#This Row],[Check: collection ineligibility]]="Not Eligible",TR_5ExemptionClaim[[#This Row],[Check: CRPF non-separation ineligibility]]="Not Eligible",SUM(TR_5ExemptionClaim[[#This Row],[Check: end market does not exist]:[Check pounds (Third Party Substantiated)]])&gt;0),0,1)</f>
        <v>1</v>
      </c>
      <c r="AK16" s="78" t="str">
        <f>IF(TR_5ExemptionClaim[[#This Row],[Did this producer arrange for the recycling collection?]]="No",TR_5ExemptionClaim[[#This Row],[ID_EC]],"")</f>
        <v/>
      </c>
      <c r="AL16" s="80" t="str">
        <f t="shared" si="0"/>
        <v/>
      </c>
      <c r="AM16" s="80" t="str">
        <f>IFERROR(INDEX(TR_2SuppliedPounds[DEQ 2B Notes],MATCH(TR_5ExemptionClaim[[#This Row],[Material Reporting Category (Exemption Claim)]],TR_2SuppliedPounds[Material Reporting Category],0)),"")</f>
        <v/>
      </c>
      <c r="AN16" s="80" t="str">
        <f>IFERROR(INDEX(TR_3Collectors[DEQ 3B Notes],MATCH(TR_5ExemptionClaim[[#This Row],[Collection or Transportation Service Provider Name]],TR_3Collectors[Collection or Transportation Service Provider Name],0)),"")</f>
        <v/>
      </c>
      <c r="AO16" s="80" t="str">
        <f>IFERROR(INDEX(TR_4EndMarkets[DEQ 4B Notes],MATCH(TR_5ExemptionClaim[[#This Row],[End Market Name]],TR_4EndMarkets[Lookup: material+market],0)),"")</f>
        <v/>
      </c>
      <c r="AP16" s="81" t="str">
        <f>IFERROR(INDEX(TR_6RecyclingArranger[DEQ 6B Notes],MATCH(TR_5ExemptionClaim[[#This Row],[ID_EC]],TR_6RecyclingArranger[ID_EC],0)),"")</f>
        <v/>
      </c>
      <c r="AQ16" s="81">
        <f>SUMIFS(TR_6RecyclingArranger[DEQ 6B Eligible Pounds],TR_6RecyclingArranger[ID_EC],TR_5ExemptionClaim[[#This Row],[ID_EC]])</f>
        <v>0</v>
      </c>
      <c r="AR16" s="40"/>
      <c r="AS16" s="58"/>
    </row>
    <row r="17" spans="1:45" ht="30" customHeight="1" x14ac:dyDescent="0.2">
      <c r="A17" s="82" t="s">
        <v>931</v>
      </c>
      <c r="B17" s="46"/>
      <c r="C17" s="45"/>
      <c r="D17" s="45"/>
      <c r="E17" s="74"/>
      <c r="F1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7" s="47"/>
      <c r="H1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7" s="74"/>
      <c r="J17" s="75" t="str">
        <f>IF(TR_5ExemptionClaim[[#This Row],[If the collector is OTR, was the service provided under OTR?]]="Yes","Warning: Material collected under OTR service is not eligible for exemption.","")</f>
        <v/>
      </c>
      <c r="K17" s="47"/>
      <c r="L17" s="76"/>
      <c r="M17" s="47"/>
      <c r="N17" s="76"/>
      <c r="O17" s="104" t="str">
        <f>IF(TR_5ExemptionClaim[[#This Row],[If a CRPF handled the material, did the material undergo separation from other materials at the CRPF?]]="Yes","Warning: Material separated at a CRPF is not eligible for exemption.","")</f>
        <v/>
      </c>
      <c r="P17" s="47"/>
      <c r="Q17" s="47"/>
      <c r="R17" s="77" t="str">
        <f>IF(TR_5ExemptionClaim[[#This Row],[If the collector is OTR, was the service provided under OTR?]]="Yes","Not Eligible","")</f>
        <v/>
      </c>
      <c r="S17" s="77" t="str">
        <f>IF(TR_5ExemptionClaim[[#This Row],[If a CRPF handled the material, did the material undergo separation from other materials at the CRPF?]]="Yes","Not Eligible","")</f>
        <v/>
      </c>
      <c r="T17" s="79" t="str">
        <f>IF(TR_5ExemptionClaim[[#This Row],[Material Reporting Category (Exemption Claim)]]="","",(IFERROR(0*MATCH(TR_5ExemptionClaim[[#This Row],[Material Reporting Category (Exemption Claim)]],TR_2SuppliedPounds[Material Reporting Category],0),1)))</f>
        <v/>
      </c>
      <c r="U17" s="79">
        <f>IF(TR_5ExemptionClaim[[#This Row],[End Market Name]]="",0,IFERROR(MATCH(TR_5ExemptionClaim[[#This Row],[End Market Name]],TR_4EndMarkets[Lookup: material+market],0)*0,1))</f>
        <v>0</v>
      </c>
      <c r="V17" s="79">
        <f>IF(TR_5ExemptionClaim[[#This Row],[Subcheck: unique]]="",0,IF(COUNTIFS(TR_5ExemptionClaim[Subcheck: unique left],TR_5ExemptionClaim[[#This Row],[Subcheck: unique left]],TR_5ExemptionClaim[Subcheck: unique right],TR_5ExemptionClaim[[#This Row],[Subcheck: unique right]])&gt;1,1,0))</f>
        <v>0</v>
      </c>
      <c r="W1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7" s="79">
        <f>IF(TR_5ExemptionClaim[[#This Row],[Material Reporting Category (Exemption Claim)]]=0,0,IF(SUM(TR_5ExemptionClaim[[#This Row],[Subcheck: minimum entry]:[Subcheck: missing CRPF info]])=0,0,1))</f>
        <v>0</v>
      </c>
      <c r="Y17" s="79">
        <f>IF(TR_5ExemptionClaim[[#This Row],[Material Reporting Category (Exemption Claim)]]&lt;&gt;"",0,TR_5ExemptionClaim[[#This Row],[Subcheck: any inputs in row]])</f>
        <v>0</v>
      </c>
      <c r="Z17" s="79">
        <f>IF(TR_5ExemptionClaim[[#This Row],[How many of the pounds recycled through this pathway were supplied by this producer?]]&gt;TR_5ExemptionClaim[[#This Row],[Pounds Recycled through this Pathway]],1,0)</f>
        <v>0</v>
      </c>
      <c r="AA1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7" s="79">
        <f>IF(TR_5ExemptionClaim[[#This Row],[Collection Company Type (autofill)]]&lt;&gt;Lookups!$K$13,0,IF(TR_5ExemptionClaim[[#This Row],[If the collector is OTR, was the service provided under OTR?]]&lt;&gt;"",0,1))</f>
        <v>0</v>
      </c>
      <c r="AF17" s="79">
        <f>IF(TR_5ExemptionClaim[[#This Row],[Did a CRPF ever handle the material before it reached the end market?]]&lt;&gt;"Yes",0,IF(COUNTA(TR_5ExemptionClaim[[#This Row],[CRPF name]:[CRPF Separation Ineligibility Warning]])=3,0,1))</f>
        <v>0</v>
      </c>
      <c r="AG1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7" s="77" t="str">
        <f>LEFT(TR_5ExemptionClaim[[#This Row],[Subcheck: unique]],250)</f>
        <v/>
      </c>
      <c r="AI17" s="77" t="str">
        <f>RIGHT(TR_5ExemptionClaim[[#This Row],[Subcheck: unique]],250)</f>
        <v/>
      </c>
      <c r="AJ17" s="77">
        <f>IF(OR(TR_5ExemptionClaim[[#This Row],[Check: collection ineligibility]]="Not Eligible",TR_5ExemptionClaim[[#This Row],[Check: CRPF non-separation ineligibility]]="Not Eligible",SUM(TR_5ExemptionClaim[[#This Row],[Check: end market does not exist]:[Check pounds (Third Party Substantiated)]])&gt;0),0,1)</f>
        <v>1</v>
      </c>
      <c r="AK17" s="78" t="str">
        <f>IF(TR_5ExemptionClaim[[#This Row],[Did this producer arrange for the recycling collection?]]="No",TR_5ExemptionClaim[[#This Row],[ID_EC]],"")</f>
        <v/>
      </c>
      <c r="AL17" s="80" t="str">
        <f t="shared" si="0"/>
        <v/>
      </c>
      <c r="AM17" s="80" t="str">
        <f>IFERROR(INDEX(TR_2SuppliedPounds[DEQ 2B Notes],MATCH(TR_5ExemptionClaim[[#This Row],[Material Reporting Category (Exemption Claim)]],TR_2SuppliedPounds[Material Reporting Category],0)),"")</f>
        <v/>
      </c>
      <c r="AN17" s="80" t="str">
        <f>IFERROR(INDEX(TR_3Collectors[DEQ 3B Notes],MATCH(TR_5ExemptionClaim[[#This Row],[Collection or Transportation Service Provider Name]],TR_3Collectors[Collection or Transportation Service Provider Name],0)),"")</f>
        <v/>
      </c>
      <c r="AO17" s="80" t="str">
        <f>IFERROR(INDEX(TR_4EndMarkets[DEQ 4B Notes],MATCH(TR_5ExemptionClaim[[#This Row],[End Market Name]],TR_4EndMarkets[Lookup: material+market],0)),"")</f>
        <v/>
      </c>
      <c r="AP17" s="81" t="str">
        <f>IFERROR(INDEX(TR_6RecyclingArranger[DEQ 6B Notes],MATCH(TR_5ExemptionClaim[[#This Row],[ID_EC]],TR_6RecyclingArranger[ID_EC],0)),"")</f>
        <v/>
      </c>
      <c r="AQ17" s="81">
        <f>SUMIFS(TR_6RecyclingArranger[DEQ 6B Eligible Pounds],TR_6RecyclingArranger[ID_EC],TR_5ExemptionClaim[[#This Row],[ID_EC]])</f>
        <v>0</v>
      </c>
      <c r="AR17" s="40"/>
      <c r="AS17" s="58"/>
    </row>
    <row r="18" spans="1:45" ht="30" customHeight="1" x14ac:dyDescent="0.2">
      <c r="A18" s="82" t="s">
        <v>932</v>
      </c>
      <c r="B18" s="46"/>
      <c r="C18" s="45"/>
      <c r="D18" s="45"/>
      <c r="E18" s="74"/>
      <c r="F1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8" s="47"/>
      <c r="H1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8" s="74"/>
      <c r="J18" s="75" t="str">
        <f>IF(TR_5ExemptionClaim[[#This Row],[If the collector is OTR, was the service provided under OTR?]]="Yes","Warning: Material collected under OTR service is not eligible for exemption.","")</f>
        <v/>
      </c>
      <c r="K18" s="47"/>
      <c r="L18" s="76"/>
      <c r="M18" s="47"/>
      <c r="N18" s="76"/>
      <c r="O18" s="104" t="str">
        <f>IF(TR_5ExemptionClaim[[#This Row],[If a CRPF handled the material, did the material undergo separation from other materials at the CRPF?]]="Yes","Warning: Material separated at a CRPF is not eligible for exemption.","")</f>
        <v/>
      </c>
      <c r="P18" s="47"/>
      <c r="Q18" s="47"/>
      <c r="R18" s="77" t="str">
        <f>IF(TR_5ExemptionClaim[[#This Row],[If the collector is OTR, was the service provided under OTR?]]="Yes","Not Eligible","")</f>
        <v/>
      </c>
      <c r="S18" s="77" t="str">
        <f>IF(TR_5ExemptionClaim[[#This Row],[If a CRPF handled the material, did the material undergo separation from other materials at the CRPF?]]="Yes","Not Eligible","")</f>
        <v/>
      </c>
      <c r="T18" s="79" t="str">
        <f>IF(TR_5ExemptionClaim[[#This Row],[Material Reporting Category (Exemption Claim)]]="","",(IFERROR(0*MATCH(TR_5ExemptionClaim[[#This Row],[Material Reporting Category (Exemption Claim)]],TR_2SuppliedPounds[Material Reporting Category],0),1)))</f>
        <v/>
      </c>
      <c r="U18" s="79">
        <f>IF(TR_5ExemptionClaim[[#This Row],[End Market Name]]="",0,IFERROR(MATCH(TR_5ExemptionClaim[[#This Row],[End Market Name]],TR_4EndMarkets[Lookup: material+market],0)*0,1))</f>
        <v>0</v>
      </c>
      <c r="V18" s="79">
        <f>IF(TR_5ExemptionClaim[[#This Row],[Subcheck: unique]]="",0,IF(COUNTIFS(TR_5ExemptionClaim[Subcheck: unique left],TR_5ExemptionClaim[[#This Row],[Subcheck: unique left]],TR_5ExemptionClaim[Subcheck: unique right],TR_5ExemptionClaim[[#This Row],[Subcheck: unique right]])&gt;1,1,0))</f>
        <v>0</v>
      </c>
      <c r="W1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8" s="79">
        <f>IF(TR_5ExemptionClaim[[#This Row],[Material Reporting Category (Exemption Claim)]]=0,0,IF(SUM(TR_5ExemptionClaim[[#This Row],[Subcheck: minimum entry]:[Subcheck: missing CRPF info]])=0,0,1))</f>
        <v>0</v>
      </c>
      <c r="Y18" s="79">
        <f>IF(TR_5ExemptionClaim[[#This Row],[Material Reporting Category (Exemption Claim)]]&lt;&gt;"",0,TR_5ExemptionClaim[[#This Row],[Subcheck: any inputs in row]])</f>
        <v>0</v>
      </c>
      <c r="Z18" s="79">
        <f>IF(TR_5ExemptionClaim[[#This Row],[How many of the pounds recycled through this pathway were supplied by this producer?]]&gt;TR_5ExemptionClaim[[#This Row],[Pounds Recycled through this Pathway]],1,0)</f>
        <v>0</v>
      </c>
      <c r="AA1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8" s="79">
        <f>IF(TR_5ExemptionClaim[[#This Row],[Collection Company Type (autofill)]]&lt;&gt;Lookups!$K$13,0,IF(TR_5ExemptionClaim[[#This Row],[If the collector is OTR, was the service provided under OTR?]]&lt;&gt;"",0,1))</f>
        <v>0</v>
      </c>
      <c r="AF18" s="79">
        <f>IF(TR_5ExemptionClaim[[#This Row],[Did a CRPF ever handle the material before it reached the end market?]]&lt;&gt;"Yes",0,IF(COUNTA(TR_5ExemptionClaim[[#This Row],[CRPF name]:[CRPF Separation Ineligibility Warning]])=3,0,1))</f>
        <v>0</v>
      </c>
      <c r="AG1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8" s="77" t="str">
        <f>LEFT(TR_5ExemptionClaim[[#This Row],[Subcheck: unique]],250)</f>
        <v/>
      </c>
      <c r="AI18" s="77" t="str">
        <f>RIGHT(TR_5ExemptionClaim[[#This Row],[Subcheck: unique]],250)</f>
        <v/>
      </c>
      <c r="AJ18" s="77">
        <f>IF(OR(TR_5ExemptionClaim[[#This Row],[Check: collection ineligibility]]="Not Eligible",TR_5ExemptionClaim[[#This Row],[Check: CRPF non-separation ineligibility]]="Not Eligible",SUM(TR_5ExemptionClaim[[#This Row],[Check: end market does not exist]:[Check pounds (Third Party Substantiated)]])&gt;0),0,1)</f>
        <v>1</v>
      </c>
      <c r="AK18" s="78" t="str">
        <f>IF(TR_5ExemptionClaim[[#This Row],[Did this producer arrange for the recycling collection?]]="No",TR_5ExemptionClaim[[#This Row],[ID_EC]],"")</f>
        <v/>
      </c>
      <c r="AL18" s="80" t="str">
        <f t="shared" si="0"/>
        <v/>
      </c>
      <c r="AM18" s="80" t="str">
        <f>IFERROR(INDEX(TR_2SuppliedPounds[DEQ 2B Notes],MATCH(TR_5ExemptionClaim[[#This Row],[Material Reporting Category (Exemption Claim)]],TR_2SuppliedPounds[Material Reporting Category],0)),"")</f>
        <v/>
      </c>
      <c r="AN18" s="80" t="str">
        <f>IFERROR(INDEX(TR_3Collectors[DEQ 3B Notes],MATCH(TR_5ExemptionClaim[[#This Row],[Collection or Transportation Service Provider Name]],TR_3Collectors[Collection or Transportation Service Provider Name],0)),"")</f>
        <v/>
      </c>
      <c r="AO18" s="80" t="str">
        <f>IFERROR(INDEX(TR_4EndMarkets[DEQ 4B Notes],MATCH(TR_5ExemptionClaim[[#This Row],[End Market Name]],TR_4EndMarkets[Lookup: material+market],0)),"")</f>
        <v/>
      </c>
      <c r="AP18" s="81" t="str">
        <f>IFERROR(INDEX(TR_6RecyclingArranger[DEQ 6B Notes],MATCH(TR_5ExemptionClaim[[#This Row],[ID_EC]],TR_6RecyclingArranger[ID_EC],0)),"")</f>
        <v/>
      </c>
      <c r="AQ18" s="81">
        <f>SUMIFS(TR_6RecyclingArranger[DEQ 6B Eligible Pounds],TR_6RecyclingArranger[ID_EC],TR_5ExemptionClaim[[#This Row],[ID_EC]])</f>
        <v>0</v>
      </c>
      <c r="AR18" s="40"/>
      <c r="AS18" s="58"/>
    </row>
    <row r="19" spans="1:45" ht="30" customHeight="1" x14ac:dyDescent="0.2">
      <c r="A19" s="82" t="s">
        <v>933</v>
      </c>
      <c r="B19" s="46"/>
      <c r="C19" s="45"/>
      <c r="D19" s="45"/>
      <c r="E19" s="74"/>
      <c r="F1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9" s="47"/>
      <c r="H1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9" s="74"/>
      <c r="J19" s="75" t="str">
        <f>IF(TR_5ExemptionClaim[[#This Row],[If the collector is OTR, was the service provided under OTR?]]="Yes","Warning: Material collected under OTR service is not eligible for exemption.","")</f>
        <v/>
      </c>
      <c r="K19" s="47"/>
      <c r="L19" s="76"/>
      <c r="M19" s="47"/>
      <c r="N19" s="76"/>
      <c r="O19" s="104" t="str">
        <f>IF(TR_5ExemptionClaim[[#This Row],[If a CRPF handled the material, did the material undergo separation from other materials at the CRPF?]]="Yes","Warning: Material separated at a CRPF is not eligible for exemption.","")</f>
        <v/>
      </c>
      <c r="P19" s="47"/>
      <c r="Q19" s="47"/>
      <c r="R19" s="77" t="str">
        <f>IF(TR_5ExemptionClaim[[#This Row],[If the collector is OTR, was the service provided under OTR?]]="Yes","Not Eligible","")</f>
        <v/>
      </c>
      <c r="S19" s="77" t="str">
        <f>IF(TR_5ExemptionClaim[[#This Row],[If a CRPF handled the material, did the material undergo separation from other materials at the CRPF?]]="Yes","Not Eligible","")</f>
        <v/>
      </c>
      <c r="T19" s="79" t="str">
        <f>IF(TR_5ExemptionClaim[[#This Row],[Material Reporting Category (Exemption Claim)]]="","",(IFERROR(0*MATCH(TR_5ExemptionClaim[[#This Row],[Material Reporting Category (Exemption Claim)]],TR_2SuppliedPounds[Material Reporting Category],0),1)))</f>
        <v/>
      </c>
      <c r="U19" s="79">
        <f>IF(TR_5ExemptionClaim[[#This Row],[End Market Name]]="",0,IFERROR(MATCH(TR_5ExemptionClaim[[#This Row],[End Market Name]],TR_4EndMarkets[Lookup: material+market],0)*0,1))</f>
        <v>0</v>
      </c>
      <c r="V19" s="79">
        <f>IF(TR_5ExemptionClaim[[#This Row],[Subcheck: unique]]="",0,IF(COUNTIFS(TR_5ExemptionClaim[Subcheck: unique left],TR_5ExemptionClaim[[#This Row],[Subcheck: unique left]],TR_5ExemptionClaim[Subcheck: unique right],TR_5ExemptionClaim[[#This Row],[Subcheck: unique right]])&gt;1,1,0))</f>
        <v>0</v>
      </c>
      <c r="W1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9" s="79">
        <f>IF(TR_5ExemptionClaim[[#This Row],[Material Reporting Category (Exemption Claim)]]=0,0,IF(SUM(TR_5ExemptionClaim[[#This Row],[Subcheck: minimum entry]:[Subcheck: missing CRPF info]])=0,0,1))</f>
        <v>0</v>
      </c>
      <c r="Y19" s="79">
        <f>IF(TR_5ExemptionClaim[[#This Row],[Material Reporting Category (Exemption Claim)]]&lt;&gt;"",0,TR_5ExemptionClaim[[#This Row],[Subcheck: any inputs in row]])</f>
        <v>0</v>
      </c>
      <c r="Z19" s="79">
        <f>IF(TR_5ExemptionClaim[[#This Row],[How many of the pounds recycled through this pathway were supplied by this producer?]]&gt;TR_5ExemptionClaim[[#This Row],[Pounds Recycled through this Pathway]],1,0)</f>
        <v>0</v>
      </c>
      <c r="AA1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9" s="79">
        <f>IF(TR_5ExemptionClaim[[#This Row],[Collection Company Type (autofill)]]&lt;&gt;Lookups!$K$13,0,IF(TR_5ExemptionClaim[[#This Row],[If the collector is OTR, was the service provided under OTR?]]&lt;&gt;"",0,1))</f>
        <v>0</v>
      </c>
      <c r="AF19" s="79">
        <f>IF(TR_5ExemptionClaim[[#This Row],[Did a CRPF ever handle the material before it reached the end market?]]&lt;&gt;"Yes",0,IF(COUNTA(TR_5ExemptionClaim[[#This Row],[CRPF name]:[CRPF Separation Ineligibility Warning]])=3,0,1))</f>
        <v>0</v>
      </c>
      <c r="AG1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9" s="77" t="str">
        <f>LEFT(TR_5ExemptionClaim[[#This Row],[Subcheck: unique]],250)</f>
        <v/>
      </c>
      <c r="AI19" s="77" t="str">
        <f>RIGHT(TR_5ExemptionClaim[[#This Row],[Subcheck: unique]],250)</f>
        <v/>
      </c>
      <c r="AJ19" s="77">
        <f>IF(OR(TR_5ExemptionClaim[[#This Row],[Check: collection ineligibility]]="Not Eligible",TR_5ExemptionClaim[[#This Row],[Check: CRPF non-separation ineligibility]]="Not Eligible",SUM(TR_5ExemptionClaim[[#This Row],[Check: end market does not exist]:[Check pounds (Third Party Substantiated)]])&gt;0),0,1)</f>
        <v>1</v>
      </c>
      <c r="AK19" s="78" t="str">
        <f>IF(TR_5ExemptionClaim[[#This Row],[Did this producer arrange for the recycling collection?]]="No",TR_5ExemptionClaim[[#This Row],[ID_EC]],"")</f>
        <v/>
      </c>
      <c r="AL19" s="80" t="str">
        <f t="shared" si="0"/>
        <v/>
      </c>
      <c r="AM19" s="80" t="str">
        <f>IFERROR(INDEX(TR_2SuppliedPounds[DEQ 2B Notes],MATCH(TR_5ExemptionClaim[[#This Row],[Material Reporting Category (Exemption Claim)]],TR_2SuppliedPounds[Material Reporting Category],0)),"")</f>
        <v/>
      </c>
      <c r="AN19" s="80" t="str">
        <f>IFERROR(INDEX(TR_3Collectors[DEQ 3B Notes],MATCH(TR_5ExemptionClaim[[#This Row],[Collection or Transportation Service Provider Name]],TR_3Collectors[Collection or Transportation Service Provider Name],0)),"")</f>
        <v/>
      </c>
      <c r="AO19" s="80" t="str">
        <f>IFERROR(INDEX(TR_4EndMarkets[DEQ 4B Notes],MATCH(TR_5ExemptionClaim[[#This Row],[End Market Name]],TR_4EndMarkets[Lookup: material+market],0)),"")</f>
        <v/>
      </c>
      <c r="AP19" s="81" t="str">
        <f>IFERROR(INDEX(TR_6RecyclingArranger[DEQ 6B Notes],MATCH(TR_5ExemptionClaim[[#This Row],[ID_EC]],TR_6RecyclingArranger[ID_EC],0)),"")</f>
        <v/>
      </c>
      <c r="AQ19" s="81">
        <f>SUMIFS(TR_6RecyclingArranger[DEQ 6B Eligible Pounds],TR_6RecyclingArranger[ID_EC],TR_5ExemptionClaim[[#This Row],[ID_EC]])</f>
        <v>0</v>
      </c>
      <c r="AR19" s="40"/>
      <c r="AS19" s="58"/>
    </row>
    <row r="20" spans="1:45" ht="30" customHeight="1" x14ac:dyDescent="0.2">
      <c r="A20" s="82" t="s">
        <v>934</v>
      </c>
      <c r="B20" s="46"/>
      <c r="C20" s="45"/>
      <c r="D20" s="45"/>
      <c r="E20" s="74"/>
      <c r="F2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0" s="47"/>
      <c r="H2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0" s="74"/>
      <c r="J20" s="75" t="str">
        <f>IF(TR_5ExemptionClaim[[#This Row],[If the collector is OTR, was the service provided under OTR?]]="Yes","Warning: Material collected under OTR service is not eligible for exemption.","")</f>
        <v/>
      </c>
      <c r="K20" s="47"/>
      <c r="L20" s="76"/>
      <c r="M20" s="47"/>
      <c r="N20" s="76"/>
      <c r="O20" s="104" t="str">
        <f>IF(TR_5ExemptionClaim[[#This Row],[If a CRPF handled the material, did the material undergo separation from other materials at the CRPF?]]="Yes","Warning: Material separated at a CRPF is not eligible for exemption.","")</f>
        <v/>
      </c>
      <c r="P20" s="47"/>
      <c r="Q20" s="47"/>
      <c r="R20" s="77" t="str">
        <f>IF(TR_5ExemptionClaim[[#This Row],[If the collector is OTR, was the service provided under OTR?]]="Yes","Not Eligible","")</f>
        <v/>
      </c>
      <c r="S20" s="77" t="str">
        <f>IF(TR_5ExemptionClaim[[#This Row],[If a CRPF handled the material, did the material undergo separation from other materials at the CRPF?]]="Yes","Not Eligible","")</f>
        <v/>
      </c>
      <c r="T20" s="79" t="str">
        <f>IF(TR_5ExemptionClaim[[#This Row],[Material Reporting Category (Exemption Claim)]]="","",(IFERROR(0*MATCH(TR_5ExemptionClaim[[#This Row],[Material Reporting Category (Exemption Claim)]],TR_2SuppliedPounds[Material Reporting Category],0),1)))</f>
        <v/>
      </c>
      <c r="U20" s="79">
        <f>IF(TR_5ExemptionClaim[[#This Row],[End Market Name]]="",0,IFERROR(MATCH(TR_5ExemptionClaim[[#This Row],[End Market Name]],TR_4EndMarkets[Lookup: material+market],0)*0,1))</f>
        <v>0</v>
      </c>
      <c r="V20" s="79">
        <f>IF(TR_5ExemptionClaim[[#This Row],[Subcheck: unique]]="",0,IF(COUNTIFS(TR_5ExemptionClaim[Subcheck: unique left],TR_5ExemptionClaim[[#This Row],[Subcheck: unique left]],TR_5ExemptionClaim[Subcheck: unique right],TR_5ExemptionClaim[[#This Row],[Subcheck: unique right]])&gt;1,1,0))</f>
        <v>0</v>
      </c>
      <c r="W2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0" s="79">
        <f>IF(TR_5ExemptionClaim[[#This Row],[Material Reporting Category (Exemption Claim)]]=0,0,IF(SUM(TR_5ExemptionClaim[[#This Row],[Subcheck: minimum entry]:[Subcheck: missing CRPF info]])=0,0,1))</f>
        <v>0</v>
      </c>
      <c r="Y20" s="79">
        <f>IF(TR_5ExemptionClaim[[#This Row],[Material Reporting Category (Exemption Claim)]]&lt;&gt;"",0,TR_5ExemptionClaim[[#This Row],[Subcheck: any inputs in row]])</f>
        <v>0</v>
      </c>
      <c r="Z20" s="79">
        <f>IF(TR_5ExemptionClaim[[#This Row],[How many of the pounds recycled through this pathway were supplied by this producer?]]&gt;TR_5ExemptionClaim[[#This Row],[Pounds Recycled through this Pathway]],1,0)</f>
        <v>0</v>
      </c>
      <c r="AA2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0" s="79">
        <f>IF(TR_5ExemptionClaim[[#This Row],[Collection Company Type (autofill)]]&lt;&gt;Lookups!$K$13,0,IF(TR_5ExemptionClaim[[#This Row],[If the collector is OTR, was the service provided under OTR?]]&lt;&gt;"",0,1))</f>
        <v>0</v>
      </c>
      <c r="AF20" s="79">
        <f>IF(TR_5ExemptionClaim[[#This Row],[Did a CRPF ever handle the material before it reached the end market?]]&lt;&gt;"Yes",0,IF(COUNTA(TR_5ExemptionClaim[[#This Row],[CRPF name]:[CRPF Separation Ineligibility Warning]])=3,0,1))</f>
        <v>0</v>
      </c>
      <c r="AG2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0" s="77" t="str">
        <f>LEFT(TR_5ExemptionClaim[[#This Row],[Subcheck: unique]],250)</f>
        <v/>
      </c>
      <c r="AI20" s="77" t="str">
        <f>RIGHT(TR_5ExemptionClaim[[#This Row],[Subcheck: unique]],250)</f>
        <v/>
      </c>
      <c r="AJ20" s="77">
        <f>IF(OR(TR_5ExemptionClaim[[#This Row],[Check: collection ineligibility]]="Not Eligible",TR_5ExemptionClaim[[#This Row],[Check: CRPF non-separation ineligibility]]="Not Eligible",SUM(TR_5ExemptionClaim[[#This Row],[Check: end market does not exist]:[Check pounds (Third Party Substantiated)]])&gt;0),0,1)</f>
        <v>1</v>
      </c>
      <c r="AK20" s="78" t="str">
        <f>IF(TR_5ExemptionClaim[[#This Row],[Did this producer arrange for the recycling collection?]]="No",TR_5ExemptionClaim[[#This Row],[ID_EC]],"")</f>
        <v/>
      </c>
      <c r="AL20" s="80" t="str">
        <f t="shared" si="0"/>
        <v/>
      </c>
      <c r="AM20" s="80" t="str">
        <f>IFERROR(INDEX(TR_2SuppliedPounds[DEQ 2B Notes],MATCH(TR_5ExemptionClaim[[#This Row],[Material Reporting Category (Exemption Claim)]],TR_2SuppliedPounds[Material Reporting Category],0)),"")</f>
        <v/>
      </c>
      <c r="AN20" s="80" t="str">
        <f>IFERROR(INDEX(TR_3Collectors[DEQ 3B Notes],MATCH(TR_5ExemptionClaim[[#This Row],[Collection or Transportation Service Provider Name]],TR_3Collectors[Collection or Transportation Service Provider Name],0)),"")</f>
        <v/>
      </c>
      <c r="AO20" s="80" t="str">
        <f>IFERROR(INDEX(TR_4EndMarkets[DEQ 4B Notes],MATCH(TR_5ExemptionClaim[[#This Row],[End Market Name]],TR_4EndMarkets[Lookup: material+market],0)),"")</f>
        <v/>
      </c>
      <c r="AP20" s="81" t="str">
        <f>IFERROR(INDEX(TR_6RecyclingArranger[DEQ 6B Notes],MATCH(TR_5ExemptionClaim[[#This Row],[ID_EC]],TR_6RecyclingArranger[ID_EC],0)),"")</f>
        <v/>
      </c>
      <c r="AQ20" s="81">
        <f>SUMIFS(TR_6RecyclingArranger[DEQ 6B Eligible Pounds],TR_6RecyclingArranger[ID_EC],TR_5ExemptionClaim[[#This Row],[ID_EC]])</f>
        <v>0</v>
      </c>
      <c r="AR20" s="40"/>
      <c r="AS20" s="58"/>
    </row>
    <row r="21" spans="1:45" ht="30" customHeight="1" x14ac:dyDescent="0.2">
      <c r="A21" s="82" t="s">
        <v>935</v>
      </c>
      <c r="B21" s="46"/>
      <c r="C21" s="45"/>
      <c r="D21" s="45"/>
      <c r="E21" s="74"/>
      <c r="F2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1" s="47"/>
      <c r="H2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1" s="74"/>
      <c r="J21" s="75" t="str">
        <f>IF(TR_5ExemptionClaim[[#This Row],[If the collector is OTR, was the service provided under OTR?]]="Yes","Warning: Material collected under OTR service is not eligible for exemption.","")</f>
        <v/>
      </c>
      <c r="K21" s="47"/>
      <c r="L21" s="76"/>
      <c r="M21" s="47"/>
      <c r="N21" s="76"/>
      <c r="O21" s="104" t="str">
        <f>IF(TR_5ExemptionClaim[[#This Row],[If a CRPF handled the material, did the material undergo separation from other materials at the CRPF?]]="Yes","Warning: Material separated at a CRPF is not eligible for exemption.","")</f>
        <v/>
      </c>
      <c r="P21" s="47"/>
      <c r="Q21" s="47"/>
      <c r="R21" s="77" t="str">
        <f>IF(TR_5ExemptionClaim[[#This Row],[If the collector is OTR, was the service provided under OTR?]]="Yes","Not Eligible","")</f>
        <v/>
      </c>
      <c r="S21" s="77" t="str">
        <f>IF(TR_5ExemptionClaim[[#This Row],[If a CRPF handled the material, did the material undergo separation from other materials at the CRPF?]]="Yes","Not Eligible","")</f>
        <v/>
      </c>
      <c r="T21" s="79" t="str">
        <f>IF(TR_5ExemptionClaim[[#This Row],[Material Reporting Category (Exemption Claim)]]="","",(IFERROR(0*MATCH(TR_5ExemptionClaim[[#This Row],[Material Reporting Category (Exemption Claim)]],TR_2SuppliedPounds[Material Reporting Category],0),1)))</f>
        <v/>
      </c>
      <c r="U21" s="79">
        <f>IF(TR_5ExemptionClaim[[#This Row],[End Market Name]]="",0,IFERROR(MATCH(TR_5ExemptionClaim[[#This Row],[End Market Name]],TR_4EndMarkets[Lookup: material+market],0)*0,1))</f>
        <v>0</v>
      </c>
      <c r="V21" s="79">
        <f>IF(TR_5ExemptionClaim[[#This Row],[Subcheck: unique]]="",0,IF(COUNTIFS(TR_5ExemptionClaim[Subcheck: unique left],TR_5ExemptionClaim[[#This Row],[Subcheck: unique left]],TR_5ExemptionClaim[Subcheck: unique right],TR_5ExemptionClaim[[#This Row],[Subcheck: unique right]])&gt;1,1,0))</f>
        <v>0</v>
      </c>
      <c r="W2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1" s="79">
        <f>IF(TR_5ExemptionClaim[[#This Row],[Material Reporting Category (Exemption Claim)]]=0,0,IF(SUM(TR_5ExemptionClaim[[#This Row],[Subcheck: minimum entry]:[Subcheck: missing CRPF info]])=0,0,1))</f>
        <v>0</v>
      </c>
      <c r="Y21" s="79">
        <f>IF(TR_5ExemptionClaim[[#This Row],[Material Reporting Category (Exemption Claim)]]&lt;&gt;"",0,TR_5ExemptionClaim[[#This Row],[Subcheck: any inputs in row]])</f>
        <v>0</v>
      </c>
      <c r="Z21" s="79">
        <f>IF(TR_5ExemptionClaim[[#This Row],[How many of the pounds recycled through this pathway were supplied by this producer?]]&gt;TR_5ExemptionClaim[[#This Row],[Pounds Recycled through this Pathway]],1,0)</f>
        <v>0</v>
      </c>
      <c r="AA2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1" s="79">
        <f>IF(TR_5ExemptionClaim[[#This Row],[Collection Company Type (autofill)]]&lt;&gt;Lookups!$K$13,0,IF(TR_5ExemptionClaim[[#This Row],[If the collector is OTR, was the service provided under OTR?]]&lt;&gt;"",0,1))</f>
        <v>0</v>
      </c>
      <c r="AF21" s="79">
        <f>IF(TR_5ExemptionClaim[[#This Row],[Did a CRPF ever handle the material before it reached the end market?]]&lt;&gt;"Yes",0,IF(COUNTA(TR_5ExemptionClaim[[#This Row],[CRPF name]:[CRPF Separation Ineligibility Warning]])=3,0,1))</f>
        <v>0</v>
      </c>
      <c r="AG2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1" s="77" t="str">
        <f>LEFT(TR_5ExemptionClaim[[#This Row],[Subcheck: unique]],250)</f>
        <v/>
      </c>
      <c r="AI21" s="77" t="str">
        <f>RIGHT(TR_5ExemptionClaim[[#This Row],[Subcheck: unique]],250)</f>
        <v/>
      </c>
      <c r="AJ21" s="77">
        <f>IF(OR(TR_5ExemptionClaim[[#This Row],[Check: collection ineligibility]]="Not Eligible",TR_5ExemptionClaim[[#This Row],[Check: CRPF non-separation ineligibility]]="Not Eligible",SUM(TR_5ExemptionClaim[[#This Row],[Check: end market does not exist]:[Check pounds (Third Party Substantiated)]])&gt;0),0,1)</f>
        <v>1</v>
      </c>
      <c r="AK21" s="78" t="str">
        <f>IF(TR_5ExemptionClaim[[#This Row],[Did this producer arrange for the recycling collection?]]="No",TR_5ExemptionClaim[[#This Row],[ID_EC]],"")</f>
        <v/>
      </c>
      <c r="AL21" s="80" t="str">
        <f t="shared" si="0"/>
        <v/>
      </c>
      <c r="AM21" s="80" t="str">
        <f>IFERROR(INDEX(TR_2SuppliedPounds[DEQ 2B Notes],MATCH(TR_5ExemptionClaim[[#This Row],[Material Reporting Category (Exemption Claim)]],TR_2SuppliedPounds[Material Reporting Category],0)),"")</f>
        <v/>
      </c>
      <c r="AN21" s="80" t="str">
        <f>IFERROR(INDEX(TR_3Collectors[DEQ 3B Notes],MATCH(TR_5ExemptionClaim[[#This Row],[Collection or Transportation Service Provider Name]],TR_3Collectors[Collection or Transportation Service Provider Name],0)),"")</f>
        <v/>
      </c>
      <c r="AO21" s="80" t="str">
        <f>IFERROR(INDEX(TR_4EndMarkets[DEQ 4B Notes],MATCH(TR_5ExemptionClaim[[#This Row],[End Market Name]],TR_4EndMarkets[Lookup: material+market],0)),"")</f>
        <v/>
      </c>
      <c r="AP21" s="81" t="str">
        <f>IFERROR(INDEX(TR_6RecyclingArranger[DEQ 6B Notes],MATCH(TR_5ExemptionClaim[[#This Row],[ID_EC]],TR_6RecyclingArranger[ID_EC],0)),"")</f>
        <v/>
      </c>
      <c r="AQ21" s="81">
        <f>SUMIFS(TR_6RecyclingArranger[DEQ 6B Eligible Pounds],TR_6RecyclingArranger[ID_EC],TR_5ExemptionClaim[[#This Row],[ID_EC]])</f>
        <v>0</v>
      </c>
      <c r="AR21" s="40"/>
      <c r="AS21" s="58"/>
    </row>
    <row r="22" spans="1:45" ht="30" customHeight="1" x14ac:dyDescent="0.2">
      <c r="A22" s="82" t="s">
        <v>936</v>
      </c>
      <c r="B22" s="46"/>
      <c r="C22" s="45"/>
      <c r="D22" s="45"/>
      <c r="E22" s="74"/>
      <c r="F2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2" s="47"/>
      <c r="H2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2" s="74"/>
      <c r="J22" s="75" t="str">
        <f>IF(TR_5ExemptionClaim[[#This Row],[If the collector is OTR, was the service provided under OTR?]]="Yes","Warning: Material collected under OTR service is not eligible for exemption.","")</f>
        <v/>
      </c>
      <c r="K22" s="47"/>
      <c r="L22" s="76"/>
      <c r="M22" s="47"/>
      <c r="N22" s="76"/>
      <c r="O22" s="104" t="str">
        <f>IF(TR_5ExemptionClaim[[#This Row],[If a CRPF handled the material, did the material undergo separation from other materials at the CRPF?]]="Yes","Warning: Material separated at a CRPF is not eligible for exemption.","")</f>
        <v/>
      </c>
      <c r="P22" s="47"/>
      <c r="Q22" s="47"/>
      <c r="R22" s="77" t="str">
        <f>IF(TR_5ExemptionClaim[[#This Row],[If the collector is OTR, was the service provided under OTR?]]="Yes","Not Eligible","")</f>
        <v/>
      </c>
      <c r="S22" s="77" t="str">
        <f>IF(TR_5ExemptionClaim[[#This Row],[If a CRPF handled the material, did the material undergo separation from other materials at the CRPF?]]="Yes","Not Eligible","")</f>
        <v/>
      </c>
      <c r="T22" s="79" t="str">
        <f>IF(TR_5ExemptionClaim[[#This Row],[Material Reporting Category (Exemption Claim)]]="","",(IFERROR(0*MATCH(TR_5ExemptionClaim[[#This Row],[Material Reporting Category (Exemption Claim)]],TR_2SuppliedPounds[Material Reporting Category],0),1)))</f>
        <v/>
      </c>
      <c r="U22" s="79">
        <f>IF(TR_5ExemptionClaim[[#This Row],[End Market Name]]="",0,IFERROR(MATCH(TR_5ExemptionClaim[[#This Row],[End Market Name]],TR_4EndMarkets[Lookup: material+market],0)*0,1))</f>
        <v>0</v>
      </c>
      <c r="V22" s="79">
        <f>IF(TR_5ExemptionClaim[[#This Row],[Subcheck: unique]]="",0,IF(COUNTIFS(TR_5ExemptionClaim[Subcheck: unique left],TR_5ExemptionClaim[[#This Row],[Subcheck: unique left]],TR_5ExemptionClaim[Subcheck: unique right],TR_5ExemptionClaim[[#This Row],[Subcheck: unique right]])&gt;1,1,0))</f>
        <v>0</v>
      </c>
      <c r="W2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2" s="79">
        <f>IF(TR_5ExemptionClaim[[#This Row],[Material Reporting Category (Exemption Claim)]]=0,0,IF(SUM(TR_5ExemptionClaim[[#This Row],[Subcheck: minimum entry]:[Subcheck: missing CRPF info]])=0,0,1))</f>
        <v>0</v>
      </c>
      <c r="Y22" s="79">
        <f>IF(TR_5ExemptionClaim[[#This Row],[Material Reporting Category (Exemption Claim)]]&lt;&gt;"",0,TR_5ExemptionClaim[[#This Row],[Subcheck: any inputs in row]])</f>
        <v>0</v>
      </c>
      <c r="Z22" s="79">
        <f>IF(TR_5ExemptionClaim[[#This Row],[How many of the pounds recycled through this pathway were supplied by this producer?]]&gt;TR_5ExemptionClaim[[#This Row],[Pounds Recycled through this Pathway]],1,0)</f>
        <v>0</v>
      </c>
      <c r="AA2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2" s="79">
        <f>IF(TR_5ExemptionClaim[[#This Row],[Collection Company Type (autofill)]]&lt;&gt;Lookups!$K$13,0,IF(TR_5ExemptionClaim[[#This Row],[If the collector is OTR, was the service provided under OTR?]]&lt;&gt;"",0,1))</f>
        <v>0</v>
      </c>
      <c r="AF22" s="79">
        <f>IF(TR_5ExemptionClaim[[#This Row],[Did a CRPF ever handle the material before it reached the end market?]]&lt;&gt;"Yes",0,IF(COUNTA(TR_5ExemptionClaim[[#This Row],[CRPF name]:[CRPF Separation Ineligibility Warning]])=3,0,1))</f>
        <v>0</v>
      </c>
      <c r="AG2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2" s="77" t="str">
        <f>LEFT(TR_5ExemptionClaim[[#This Row],[Subcheck: unique]],250)</f>
        <v/>
      </c>
      <c r="AI22" s="77" t="str">
        <f>RIGHT(TR_5ExemptionClaim[[#This Row],[Subcheck: unique]],250)</f>
        <v/>
      </c>
      <c r="AJ22" s="77">
        <f>IF(OR(TR_5ExemptionClaim[[#This Row],[Check: collection ineligibility]]="Not Eligible",TR_5ExemptionClaim[[#This Row],[Check: CRPF non-separation ineligibility]]="Not Eligible",SUM(TR_5ExemptionClaim[[#This Row],[Check: end market does not exist]:[Check pounds (Third Party Substantiated)]])&gt;0),0,1)</f>
        <v>1</v>
      </c>
      <c r="AK22" s="78" t="str">
        <f>IF(TR_5ExemptionClaim[[#This Row],[Did this producer arrange for the recycling collection?]]="No",TR_5ExemptionClaim[[#This Row],[ID_EC]],"")</f>
        <v/>
      </c>
      <c r="AL22" s="80" t="str">
        <f t="shared" si="0"/>
        <v/>
      </c>
      <c r="AM22" s="80" t="str">
        <f>IFERROR(INDEX(TR_2SuppliedPounds[DEQ 2B Notes],MATCH(TR_5ExemptionClaim[[#This Row],[Material Reporting Category (Exemption Claim)]],TR_2SuppliedPounds[Material Reporting Category],0)),"")</f>
        <v/>
      </c>
      <c r="AN22" s="80" t="str">
        <f>IFERROR(INDEX(TR_3Collectors[DEQ 3B Notes],MATCH(TR_5ExemptionClaim[[#This Row],[Collection or Transportation Service Provider Name]],TR_3Collectors[Collection or Transportation Service Provider Name],0)),"")</f>
        <v/>
      </c>
      <c r="AO22" s="80" t="str">
        <f>IFERROR(INDEX(TR_4EndMarkets[DEQ 4B Notes],MATCH(TR_5ExemptionClaim[[#This Row],[End Market Name]],TR_4EndMarkets[Lookup: material+market],0)),"")</f>
        <v/>
      </c>
      <c r="AP22" s="81" t="str">
        <f>IFERROR(INDEX(TR_6RecyclingArranger[DEQ 6B Notes],MATCH(TR_5ExemptionClaim[[#This Row],[ID_EC]],TR_6RecyclingArranger[ID_EC],0)),"")</f>
        <v/>
      </c>
      <c r="AQ22" s="81">
        <f>SUMIFS(TR_6RecyclingArranger[DEQ 6B Eligible Pounds],TR_6RecyclingArranger[ID_EC],TR_5ExemptionClaim[[#This Row],[ID_EC]])</f>
        <v>0</v>
      </c>
      <c r="AR22" s="40"/>
      <c r="AS22" s="58"/>
    </row>
    <row r="23" spans="1:45" ht="30" customHeight="1" x14ac:dyDescent="0.2">
      <c r="A23" s="82" t="s">
        <v>937</v>
      </c>
      <c r="B23" s="46"/>
      <c r="C23" s="45"/>
      <c r="D23" s="45"/>
      <c r="E23" s="74"/>
      <c r="F2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3" s="47"/>
      <c r="H2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3" s="74"/>
      <c r="J23" s="75" t="str">
        <f>IF(TR_5ExemptionClaim[[#This Row],[If the collector is OTR, was the service provided under OTR?]]="Yes","Warning: Material collected under OTR service is not eligible for exemption.","")</f>
        <v/>
      </c>
      <c r="K23" s="47"/>
      <c r="L23" s="76"/>
      <c r="M23" s="47"/>
      <c r="N23" s="76"/>
      <c r="O23" s="104" t="str">
        <f>IF(TR_5ExemptionClaim[[#This Row],[If a CRPF handled the material, did the material undergo separation from other materials at the CRPF?]]="Yes","Warning: Material separated at a CRPF is not eligible for exemption.","")</f>
        <v/>
      </c>
      <c r="P23" s="47"/>
      <c r="Q23" s="47"/>
      <c r="R23" s="77" t="str">
        <f>IF(TR_5ExemptionClaim[[#This Row],[If the collector is OTR, was the service provided under OTR?]]="Yes","Not Eligible","")</f>
        <v/>
      </c>
      <c r="S23" s="77" t="str">
        <f>IF(TR_5ExemptionClaim[[#This Row],[If a CRPF handled the material, did the material undergo separation from other materials at the CRPF?]]="Yes","Not Eligible","")</f>
        <v/>
      </c>
      <c r="T23" s="79" t="str">
        <f>IF(TR_5ExemptionClaim[[#This Row],[Material Reporting Category (Exemption Claim)]]="","",(IFERROR(0*MATCH(TR_5ExemptionClaim[[#This Row],[Material Reporting Category (Exemption Claim)]],TR_2SuppliedPounds[Material Reporting Category],0),1)))</f>
        <v/>
      </c>
      <c r="U23" s="79">
        <f>IF(TR_5ExemptionClaim[[#This Row],[End Market Name]]="",0,IFERROR(MATCH(TR_5ExemptionClaim[[#This Row],[End Market Name]],TR_4EndMarkets[Lookup: material+market],0)*0,1))</f>
        <v>0</v>
      </c>
      <c r="V23" s="79">
        <f>IF(TR_5ExemptionClaim[[#This Row],[Subcheck: unique]]="",0,IF(COUNTIFS(TR_5ExemptionClaim[Subcheck: unique left],TR_5ExemptionClaim[[#This Row],[Subcheck: unique left]],TR_5ExemptionClaim[Subcheck: unique right],TR_5ExemptionClaim[[#This Row],[Subcheck: unique right]])&gt;1,1,0))</f>
        <v>0</v>
      </c>
      <c r="W2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3" s="79">
        <f>IF(TR_5ExemptionClaim[[#This Row],[Material Reporting Category (Exemption Claim)]]=0,0,IF(SUM(TR_5ExemptionClaim[[#This Row],[Subcheck: minimum entry]:[Subcheck: missing CRPF info]])=0,0,1))</f>
        <v>0</v>
      </c>
      <c r="Y23" s="79">
        <f>IF(TR_5ExemptionClaim[[#This Row],[Material Reporting Category (Exemption Claim)]]&lt;&gt;"",0,TR_5ExemptionClaim[[#This Row],[Subcheck: any inputs in row]])</f>
        <v>0</v>
      </c>
      <c r="Z23" s="79">
        <f>IF(TR_5ExemptionClaim[[#This Row],[How many of the pounds recycled through this pathway were supplied by this producer?]]&gt;TR_5ExemptionClaim[[#This Row],[Pounds Recycled through this Pathway]],1,0)</f>
        <v>0</v>
      </c>
      <c r="AA2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3" s="79">
        <f>IF(TR_5ExemptionClaim[[#This Row],[Collection Company Type (autofill)]]&lt;&gt;Lookups!$K$13,0,IF(TR_5ExemptionClaim[[#This Row],[If the collector is OTR, was the service provided under OTR?]]&lt;&gt;"",0,1))</f>
        <v>0</v>
      </c>
      <c r="AF23" s="79">
        <f>IF(TR_5ExemptionClaim[[#This Row],[Did a CRPF ever handle the material before it reached the end market?]]&lt;&gt;"Yes",0,IF(COUNTA(TR_5ExemptionClaim[[#This Row],[CRPF name]:[CRPF Separation Ineligibility Warning]])=3,0,1))</f>
        <v>0</v>
      </c>
      <c r="AG2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3" s="77" t="str">
        <f>LEFT(TR_5ExemptionClaim[[#This Row],[Subcheck: unique]],250)</f>
        <v/>
      </c>
      <c r="AI23" s="77" t="str">
        <f>RIGHT(TR_5ExemptionClaim[[#This Row],[Subcheck: unique]],250)</f>
        <v/>
      </c>
      <c r="AJ23" s="77">
        <f>IF(OR(TR_5ExemptionClaim[[#This Row],[Check: collection ineligibility]]="Not Eligible",TR_5ExemptionClaim[[#This Row],[Check: CRPF non-separation ineligibility]]="Not Eligible",SUM(TR_5ExemptionClaim[[#This Row],[Check: end market does not exist]:[Check pounds (Third Party Substantiated)]])&gt;0),0,1)</f>
        <v>1</v>
      </c>
      <c r="AK23" s="78" t="str">
        <f>IF(TR_5ExemptionClaim[[#This Row],[Did this producer arrange for the recycling collection?]]="No",TR_5ExemptionClaim[[#This Row],[ID_EC]],"")</f>
        <v/>
      </c>
      <c r="AL23" s="80" t="str">
        <f t="shared" si="0"/>
        <v/>
      </c>
      <c r="AM23" s="80" t="str">
        <f>IFERROR(INDEX(TR_2SuppliedPounds[DEQ 2B Notes],MATCH(TR_5ExemptionClaim[[#This Row],[Material Reporting Category (Exemption Claim)]],TR_2SuppliedPounds[Material Reporting Category],0)),"")</f>
        <v/>
      </c>
      <c r="AN23" s="80" t="str">
        <f>IFERROR(INDEX(TR_3Collectors[DEQ 3B Notes],MATCH(TR_5ExemptionClaim[[#This Row],[Collection or Transportation Service Provider Name]],TR_3Collectors[Collection or Transportation Service Provider Name],0)),"")</f>
        <v/>
      </c>
      <c r="AO23" s="80" t="str">
        <f>IFERROR(INDEX(TR_4EndMarkets[DEQ 4B Notes],MATCH(TR_5ExemptionClaim[[#This Row],[End Market Name]],TR_4EndMarkets[Lookup: material+market],0)),"")</f>
        <v/>
      </c>
      <c r="AP23" s="81" t="str">
        <f>IFERROR(INDEX(TR_6RecyclingArranger[DEQ 6B Notes],MATCH(TR_5ExemptionClaim[[#This Row],[ID_EC]],TR_6RecyclingArranger[ID_EC],0)),"")</f>
        <v/>
      </c>
      <c r="AQ23" s="81">
        <f>SUMIFS(TR_6RecyclingArranger[DEQ 6B Eligible Pounds],TR_6RecyclingArranger[ID_EC],TR_5ExemptionClaim[[#This Row],[ID_EC]])</f>
        <v>0</v>
      </c>
      <c r="AR23" s="40"/>
      <c r="AS23" s="58"/>
    </row>
    <row r="24" spans="1:45" ht="30" customHeight="1" x14ac:dyDescent="0.2">
      <c r="A24" s="82" t="s">
        <v>938</v>
      </c>
      <c r="B24" s="46"/>
      <c r="C24" s="45"/>
      <c r="D24" s="45"/>
      <c r="E24" s="74"/>
      <c r="F2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4" s="47"/>
      <c r="H2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4" s="74"/>
      <c r="J24" s="75" t="str">
        <f>IF(TR_5ExemptionClaim[[#This Row],[If the collector is OTR, was the service provided under OTR?]]="Yes","Warning: Material collected under OTR service is not eligible for exemption.","")</f>
        <v/>
      </c>
      <c r="K24" s="47"/>
      <c r="L24" s="76"/>
      <c r="M24" s="47"/>
      <c r="N24" s="76"/>
      <c r="O24" s="104" t="str">
        <f>IF(TR_5ExemptionClaim[[#This Row],[If a CRPF handled the material, did the material undergo separation from other materials at the CRPF?]]="Yes","Warning: Material separated at a CRPF is not eligible for exemption.","")</f>
        <v/>
      </c>
      <c r="P24" s="47"/>
      <c r="Q24" s="47"/>
      <c r="R24" s="77" t="str">
        <f>IF(TR_5ExemptionClaim[[#This Row],[If the collector is OTR, was the service provided under OTR?]]="Yes","Not Eligible","")</f>
        <v/>
      </c>
      <c r="S24" s="77" t="str">
        <f>IF(TR_5ExemptionClaim[[#This Row],[If a CRPF handled the material, did the material undergo separation from other materials at the CRPF?]]="Yes","Not Eligible","")</f>
        <v/>
      </c>
      <c r="T24" s="79" t="str">
        <f>IF(TR_5ExemptionClaim[[#This Row],[Material Reporting Category (Exemption Claim)]]="","",(IFERROR(0*MATCH(TR_5ExemptionClaim[[#This Row],[Material Reporting Category (Exemption Claim)]],TR_2SuppliedPounds[Material Reporting Category],0),1)))</f>
        <v/>
      </c>
      <c r="U24" s="79">
        <f>IF(TR_5ExemptionClaim[[#This Row],[End Market Name]]="",0,IFERROR(MATCH(TR_5ExemptionClaim[[#This Row],[End Market Name]],TR_4EndMarkets[Lookup: material+market],0)*0,1))</f>
        <v>0</v>
      </c>
      <c r="V24" s="79">
        <f>IF(TR_5ExemptionClaim[[#This Row],[Subcheck: unique]]="",0,IF(COUNTIFS(TR_5ExemptionClaim[Subcheck: unique left],TR_5ExemptionClaim[[#This Row],[Subcheck: unique left]],TR_5ExemptionClaim[Subcheck: unique right],TR_5ExemptionClaim[[#This Row],[Subcheck: unique right]])&gt;1,1,0))</f>
        <v>0</v>
      </c>
      <c r="W2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4" s="79">
        <f>IF(TR_5ExemptionClaim[[#This Row],[Material Reporting Category (Exemption Claim)]]=0,0,IF(SUM(TR_5ExemptionClaim[[#This Row],[Subcheck: minimum entry]:[Subcheck: missing CRPF info]])=0,0,1))</f>
        <v>0</v>
      </c>
      <c r="Y24" s="79">
        <f>IF(TR_5ExemptionClaim[[#This Row],[Material Reporting Category (Exemption Claim)]]&lt;&gt;"",0,TR_5ExemptionClaim[[#This Row],[Subcheck: any inputs in row]])</f>
        <v>0</v>
      </c>
      <c r="Z24" s="79">
        <f>IF(TR_5ExemptionClaim[[#This Row],[How many of the pounds recycled through this pathway were supplied by this producer?]]&gt;TR_5ExemptionClaim[[#This Row],[Pounds Recycled through this Pathway]],1,0)</f>
        <v>0</v>
      </c>
      <c r="AA2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4" s="79">
        <f>IF(TR_5ExemptionClaim[[#This Row],[Collection Company Type (autofill)]]&lt;&gt;Lookups!$K$13,0,IF(TR_5ExemptionClaim[[#This Row],[If the collector is OTR, was the service provided under OTR?]]&lt;&gt;"",0,1))</f>
        <v>0</v>
      </c>
      <c r="AF24" s="79">
        <f>IF(TR_5ExemptionClaim[[#This Row],[Did a CRPF ever handle the material before it reached the end market?]]&lt;&gt;"Yes",0,IF(COUNTA(TR_5ExemptionClaim[[#This Row],[CRPF name]:[CRPF Separation Ineligibility Warning]])=3,0,1))</f>
        <v>0</v>
      </c>
      <c r="AG2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4" s="77" t="str">
        <f>LEFT(TR_5ExemptionClaim[[#This Row],[Subcheck: unique]],250)</f>
        <v/>
      </c>
      <c r="AI24" s="77" t="str">
        <f>RIGHT(TR_5ExemptionClaim[[#This Row],[Subcheck: unique]],250)</f>
        <v/>
      </c>
      <c r="AJ24" s="77">
        <f>IF(OR(TR_5ExemptionClaim[[#This Row],[Check: collection ineligibility]]="Not Eligible",TR_5ExemptionClaim[[#This Row],[Check: CRPF non-separation ineligibility]]="Not Eligible",SUM(TR_5ExemptionClaim[[#This Row],[Check: end market does not exist]:[Check pounds (Third Party Substantiated)]])&gt;0),0,1)</f>
        <v>1</v>
      </c>
      <c r="AK24" s="78" t="str">
        <f>IF(TR_5ExemptionClaim[[#This Row],[Did this producer arrange for the recycling collection?]]="No",TR_5ExemptionClaim[[#This Row],[ID_EC]],"")</f>
        <v/>
      </c>
      <c r="AL24" s="80" t="str">
        <f t="shared" si="0"/>
        <v/>
      </c>
      <c r="AM24" s="80" t="str">
        <f>IFERROR(INDEX(TR_2SuppliedPounds[DEQ 2B Notes],MATCH(TR_5ExemptionClaim[[#This Row],[Material Reporting Category (Exemption Claim)]],TR_2SuppliedPounds[Material Reporting Category],0)),"")</f>
        <v/>
      </c>
      <c r="AN24" s="80" t="str">
        <f>IFERROR(INDEX(TR_3Collectors[DEQ 3B Notes],MATCH(TR_5ExemptionClaim[[#This Row],[Collection or Transportation Service Provider Name]],TR_3Collectors[Collection or Transportation Service Provider Name],0)),"")</f>
        <v/>
      </c>
      <c r="AO24" s="80" t="str">
        <f>IFERROR(INDEX(TR_4EndMarkets[DEQ 4B Notes],MATCH(TR_5ExemptionClaim[[#This Row],[End Market Name]],TR_4EndMarkets[Lookup: material+market],0)),"")</f>
        <v/>
      </c>
      <c r="AP24" s="81" t="str">
        <f>IFERROR(INDEX(TR_6RecyclingArranger[DEQ 6B Notes],MATCH(TR_5ExemptionClaim[[#This Row],[ID_EC]],TR_6RecyclingArranger[ID_EC],0)),"")</f>
        <v/>
      </c>
      <c r="AQ24" s="81">
        <f>SUMIFS(TR_6RecyclingArranger[DEQ 6B Eligible Pounds],TR_6RecyclingArranger[ID_EC],TR_5ExemptionClaim[[#This Row],[ID_EC]])</f>
        <v>0</v>
      </c>
      <c r="AR24" s="40"/>
      <c r="AS24" s="58"/>
    </row>
    <row r="25" spans="1:45" ht="30" customHeight="1" x14ac:dyDescent="0.2">
      <c r="A25" s="82" t="s">
        <v>939</v>
      </c>
      <c r="B25" s="46"/>
      <c r="C25" s="45"/>
      <c r="D25" s="45"/>
      <c r="E25" s="74"/>
      <c r="F2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5" s="47"/>
      <c r="H2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5" s="74"/>
      <c r="J25" s="75" t="str">
        <f>IF(TR_5ExemptionClaim[[#This Row],[If the collector is OTR, was the service provided under OTR?]]="Yes","Warning: Material collected under OTR service is not eligible for exemption.","")</f>
        <v/>
      </c>
      <c r="K25" s="47"/>
      <c r="L25" s="76"/>
      <c r="M25" s="47"/>
      <c r="N25" s="76"/>
      <c r="O25" s="104" t="str">
        <f>IF(TR_5ExemptionClaim[[#This Row],[If a CRPF handled the material, did the material undergo separation from other materials at the CRPF?]]="Yes","Warning: Material separated at a CRPF is not eligible for exemption.","")</f>
        <v/>
      </c>
      <c r="P25" s="47"/>
      <c r="Q25" s="47"/>
      <c r="R25" s="77" t="str">
        <f>IF(TR_5ExemptionClaim[[#This Row],[If the collector is OTR, was the service provided under OTR?]]="Yes","Not Eligible","")</f>
        <v/>
      </c>
      <c r="S25" s="77" t="str">
        <f>IF(TR_5ExemptionClaim[[#This Row],[If a CRPF handled the material, did the material undergo separation from other materials at the CRPF?]]="Yes","Not Eligible","")</f>
        <v/>
      </c>
      <c r="T25" s="79" t="str">
        <f>IF(TR_5ExemptionClaim[[#This Row],[Material Reporting Category (Exemption Claim)]]="","",(IFERROR(0*MATCH(TR_5ExemptionClaim[[#This Row],[Material Reporting Category (Exemption Claim)]],TR_2SuppliedPounds[Material Reporting Category],0),1)))</f>
        <v/>
      </c>
      <c r="U25" s="79">
        <f>IF(TR_5ExemptionClaim[[#This Row],[End Market Name]]="",0,IFERROR(MATCH(TR_5ExemptionClaim[[#This Row],[End Market Name]],TR_4EndMarkets[Lookup: material+market],0)*0,1))</f>
        <v>0</v>
      </c>
      <c r="V25" s="79">
        <f>IF(TR_5ExemptionClaim[[#This Row],[Subcheck: unique]]="",0,IF(COUNTIFS(TR_5ExemptionClaim[Subcheck: unique left],TR_5ExemptionClaim[[#This Row],[Subcheck: unique left]],TR_5ExemptionClaim[Subcheck: unique right],TR_5ExemptionClaim[[#This Row],[Subcheck: unique right]])&gt;1,1,0))</f>
        <v>0</v>
      </c>
      <c r="W2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5" s="79">
        <f>IF(TR_5ExemptionClaim[[#This Row],[Material Reporting Category (Exemption Claim)]]=0,0,IF(SUM(TR_5ExemptionClaim[[#This Row],[Subcheck: minimum entry]:[Subcheck: missing CRPF info]])=0,0,1))</f>
        <v>0</v>
      </c>
      <c r="Y25" s="79">
        <f>IF(TR_5ExemptionClaim[[#This Row],[Material Reporting Category (Exemption Claim)]]&lt;&gt;"",0,TR_5ExemptionClaim[[#This Row],[Subcheck: any inputs in row]])</f>
        <v>0</v>
      </c>
      <c r="Z25" s="79">
        <f>IF(TR_5ExemptionClaim[[#This Row],[How many of the pounds recycled through this pathway were supplied by this producer?]]&gt;TR_5ExemptionClaim[[#This Row],[Pounds Recycled through this Pathway]],1,0)</f>
        <v>0</v>
      </c>
      <c r="AA2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5" s="79">
        <f>IF(TR_5ExemptionClaim[[#This Row],[Collection Company Type (autofill)]]&lt;&gt;Lookups!$K$13,0,IF(TR_5ExemptionClaim[[#This Row],[If the collector is OTR, was the service provided under OTR?]]&lt;&gt;"",0,1))</f>
        <v>0</v>
      </c>
      <c r="AF25" s="79">
        <f>IF(TR_5ExemptionClaim[[#This Row],[Did a CRPF ever handle the material before it reached the end market?]]&lt;&gt;"Yes",0,IF(COUNTA(TR_5ExemptionClaim[[#This Row],[CRPF name]:[CRPF Separation Ineligibility Warning]])=3,0,1))</f>
        <v>0</v>
      </c>
      <c r="AG2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5" s="77" t="str">
        <f>LEFT(TR_5ExemptionClaim[[#This Row],[Subcheck: unique]],250)</f>
        <v/>
      </c>
      <c r="AI25" s="77" t="str">
        <f>RIGHT(TR_5ExemptionClaim[[#This Row],[Subcheck: unique]],250)</f>
        <v/>
      </c>
      <c r="AJ25" s="77">
        <f>IF(OR(TR_5ExemptionClaim[[#This Row],[Check: collection ineligibility]]="Not Eligible",TR_5ExemptionClaim[[#This Row],[Check: CRPF non-separation ineligibility]]="Not Eligible",SUM(TR_5ExemptionClaim[[#This Row],[Check: end market does not exist]:[Check pounds (Third Party Substantiated)]])&gt;0),0,1)</f>
        <v>1</v>
      </c>
      <c r="AK25" s="78" t="str">
        <f>IF(TR_5ExemptionClaim[[#This Row],[Did this producer arrange for the recycling collection?]]="No",TR_5ExemptionClaim[[#This Row],[ID_EC]],"")</f>
        <v/>
      </c>
      <c r="AL25" s="80" t="str">
        <f t="shared" si="0"/>
        <v/>
      </c>
      <c r="AM25" s="80" t="str">
        <f>IFERROR(INDEX(TR_2SuppliedPounds[DEQ 2B Notes],MATCH(TR_5ExemptionClaim[[#This Row],[Material Reporting Category (Exemption Claim)]],TR_2SuppliedPounds[Material Reporting Category],0)),"")</f>
        <v/>
      </c>
      <c r="AN25" s="80" t="str">
        <f>IFERROR(INDEX(TR_3Collectors[DEQ 3B Notes],MATCH(TR_5ExemptionClaim[[#This Row],[Collection or Transportation Service Provider Name]],TR_3Collectors[Collection or Transportation Service Provider Name],0)),"")</f>
        <v/>
      </c>
      <c r="AO25" s="80" t="str">
        <f>IFERROR(INDEX(TR_4EndMarkets[DEQ 4B Notes],MATCH(TR_5ExemptionClaim[[#This Row],[End Market Name]],TR_4EndMarkets[Lookup: material+market],0)),"")</f>
        <v/>
      </c>
      <c r="AP25" s="81" t="str">
        <f>IFERROR(INDEX(TR_6RecyclingArranger[DEQ 6B Notes],MATCH(TR_5ExemptionClaim[[#This Row],[ID_EC]],TR_6RecyclingArranger[ID_EC],0)),"")</f>
        <v/>
      </c>
      <c r="AQ25" s="81">
        <f>SUMIFS(TR_6RecyclingArranger[DEQ 6B Eligible Pounds],TR_6RecyclingArranger[ID_EC],TR_5ExemptionClaim[[#This Row],[ID_EC]])</f>
        <v>0</v>
      </c>
      <c r="AR25" s="40"/>
      <c r="AS25" s="58"/>
    </row>
    <row r="26" spans="1:45" ht="30" customHeight="1" x14ac:dyDescent="0.2">
      <c r="A26" s="82" t="s">
        <v>940</v>
      </c>
      <c r="B26" s="46"/>
      <c r="C26" s="45"/>
      <c r="D26" s="45"/>
      <c r="E26" s="74"/>
      <c r="F2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6" s="47"/>
      <c r="H2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6" s="74"/>
      <c r="J26" s="75" t="str">
        <f>IF(TR_5ExemptionClaim[[#This Row],[If the collector is OTR, was the service provided under OTR?]]="Yes","Warning: Material collected under OTR service is not eligible for exemption.","")</f>
        <v/>
      </c>
      <c r="K26" s="47"/>
      <c r="L26" s="76"/>
      <c r="M26" s="47"/>
      <c r="N26" s="76"/>
      <c r="O26" s="104" t="str">
        <f>IF(TR_5ExemptionClaim[[#This Row],[If a CRPF handled the material, did the material undergo separation from other materials at the CRPF?]]="Yes","Warning: Material separated at a CRPF is not eligible for exemption.","")</f>
        <v/>
      </c>
      <c r="P26" s="47"/>
      <c r="Q26" s="47"/>
      <c r="R26" s="77" t="str">
        <f>IF(TR_5ExemptionClaim[[#This Row],[If the collector is OTR, was the service provided under OTR?]]="Yes","Not Eligible","")</f>
        <v/>
      </c>
      <c r="S26" s="77" t="str">
        <f>IF(TR_5ExemptionClaim[[#This Row],[If a CRPF handled the material, did the material undergo separation from other materials at the CRPF?]]="Yes","Not Eligible","")</f>
        <v/>
      </c>
      <c r="T26" s="79" t="str">
        <f>IF(TR_5ExemptionClaim[[#This Row],[Material Reporting Category (Exemption Claim)]]="","",(IFERROR(0*MATCH(TR_5ExemptionClaim[[#This Row],[Material Reporting Category (Exemption Claim)]],TR_2SuppliedPounds[Material Reporting Category],0),1)))</f>
        <v/>
      </c>
      <c r="U26" s="79">
        <f>IF(TR_5ExemptionClaim[[#This Row],[End Market Name]]="",0,IFERROR(MATCH(TR_5ExemptionClaim[[#This Row],[End Market Name]],TR_4EndMarkets[Lookup: material+market],0)*0,1))</f>
        <v>0</v>
      </c>
      <c r="V26" s="79">
        <f>IF(TR_5ExemptionClaim[[#This Row],[Subcheck: unique]]="",0,IF(COUNTIFS(TR_5ExemptionClaim[Subcheck: unique left],TR_5ExemptionClaim[[#This Row],[Subcheck: unique left]],TR_5ExemptionClaim[Subcheck: unique right],TR_5ExemptionClaim[[#This Row],[Subcheck: unique right]])&gt;1,1,0))</f>
        <v>0</v>
      </c>
      <c r="W2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6" s="79">
        <f>IF(TR_5ExemptionClaim[[#This Row],[Material Reporting Category (Exemption Claim)]]=0,0,IF(SUM(TR_5ExemptionClaim[[#This Row],[Subcheck: minimum entry]:[Subcheck: missing CRPF info]])=0,0,1))</f>
        <v>0</v>
      </c>
      <c r="Y26" s="79">
        <f>IF(TR_5ExemptionClaim[[#This Row],[Material Reporting Category (Exemption Claim)]]&lt;&gt;"",0,TR_5ExemptionClaim[[#This Row],[Subcheck: any inputs in row]])</f>
        <v>0</v>
      </c>
      <c r="Z26" s="79">
        <f>IF(TR_5ExemptionClaim[[#This Row],[How many of the pounds recycled through this pathway were supplied by this producer?]]&gt;TR_5ExemptionClaim[[#This Row],[Pounds Recycled through this Pathway]],1,0)</f>
        <v>0</v>
      </c>
      <c r="AA2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6" s="79">
        <f>IF(TR_5ExemptionClaim[[#This Row],[Collection Company Type (autofill)]]&lt;&gt;Lookups!$K$13,0,IF(TR_5ExemptionClaim[[#This Row],[If the collector is OTR, was the service provided under OTR?]]&lt;&gt;"",0,1))</f>
        <v>0</v>
      </c>
      <c r="AF26" s="79">
        <f>IF(TR_5ExemptionClaim[[#This Row],[Did a CRPF ever handle the material before it reached the end market?]]&lt;&gt;"Yes",0,IF(COUNTA(TR_5ExemptionClaim[[#This Row],[CRPF name]:[CRPF Separation Ineligibility Warning]])=3,0,1))</f>
        <v>0</v>
      </c>
      <c r="AG2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6" s="77" t="str">
        <f>LEFT(TR_5ExemptionClaim[[#This Row],[Subcheck: unique]],250)</f>
        <v/>
      </c>
      <c r="AI26" s="77" t="str">
        <f>RIGHT(TR_5ExemptionClaim[[#This Row],[Subcheck: unique]],250)</f>
        <v/>
      </c>
      <c r="AJ26" s="77">
        <f>IF(OR(TR_5ExemptionClaim[[#This Row],[Check: collection ineligibility]]="Not Eligible",TR_5ExemptionClaim[[#This Row],[Check: CRPF non-separation ineligibility]]="Not Eligible",SUM(TR_5ExemptionClaim[[#This Row],[Check: end market does not exist]:[Check pounds (Third Party Substantiated)]])&gt;0),0,1)</f>
        <v>1</v>
      </c>
      <c r="AK26" s="78" t="str">
        <f>IF(TR_5ExemptionClaim[[#This Row],[Did this producer arrange for the recycling collection?]]="No",TR_5ExemptionClaim[[#This Row],[ID_EC]],"")</f>
        <v/>
      </c>
      <c r="AL26" s="80" t="str">
        <f t="shared" si="0"/>
        <v/>
      </c>
      <c r="AM26" s="80" t="str">
        <f>IFERROR(INDEX(TR_2SuppliedPounds[DEQ 2B Notes],MATCH(TR_5ExemptionClaim[[#This Row],[Material Reporting Category (Exemption Claim)]],TR_2SuppliedPounds[Material Reporting Category],0)),"")</f>
        <v/>
      </c>
      <c r="AN26" s="80" t="str">
        <f>IFERROR(INDEX(TR_3Collectors[DEQ 3B Notes],MATCH(TR_5ExemptionClaim[[#This Row],[Collection or Transportation Service Provider Name]],TR_3Collectors[Collection or Transportation Service Provider Name],0)),"")</f>
        <v/>
      </c>
      <c r="AO26" s="80" t="str">
        <f>IFERROR(INDEX(TR_4EndMarkets[DEQ 4B Notes],MATCH(TR_5ExemptionClaim[[#This Row],[End Market Name]],TR_4EndMarkets[Lookup: material+market],0)),"")</f>
        <v/>
      </c>
      <c r="AP26" s="81" t="str">
        <f>IFERROR(INDEX(TR_6RecyclingArranger[DEQ 6B Notes],MATCH(TR_5ExemptionClaim[[#This Row],[ID_EC]],TR_6RecyclingArranger[ID_EC],0)),"")</f>
        <v/>
      </c>
      <c r="AQ26" s="81">
        <f>SUMIFS(TR_6RecyclingArranger[DEQ 6B Eligible Pounds],TR_6RecyclingArranger[ID_EC],TR_5ExemptionClaim[[#This Row],[ID_EC]])</f>
        <v>0</v>
      </c>
      <c r="AR26" s="40"/>
      <c r="AS26" s="58"/>
    </row>
    <row r="27" spans="1:45" ht="30" customHeight="1" x14ac:dyDescent="0.2">
      <c r="A27" s="82" t="s">
        <v>941</v>
      </c>
      <c r="B27" s="46"/>
      <c r="C27" s="45"/>
      <c r="D27" s="45"/>
      <c r="E27" s="74"/>
      <c r="F2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7" s="47"/>
      <c r="H2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7" s="74"/>
      <c r="J27" s="75" t="str">
        <f>IF(TR_5ExemptionClaim[[#This Row],[If the collector is OTR, was the service provided under OTR?]]="Yes","Warning: Material collected under OTR service is not eligible for exemption.","")</f>
        <v/>
      </c>
      <c r="K27" s="47"/>
      <c r="L27" s="76"/>
      <c r="M27" s="47"/>
      <c r="N27" s="76"/>
      <c r="O27" s="104" t="str">
        <f>IF(TR_5ExemptionClaim[[#This Row],[If a CRPF handled the material, did the material undergo separation from other materials at the CRPF?]]="Yes","Warning: Material separated at a CRPF is not eligible for exemption.","")</f>
        <v/>
      </c>
      <c r="P27" s="47"/>
      <c r="Q27" s="47"/>
      <c r="R27" s="77" t="str">
        <f>IF(TR_5ExemptionClaim[[#This Row],[If the collector is OTR, was the service provided under OTR?]]="Yes","Not Eligible","")</f>
        <v/>
      </c>
      <c r="S27" s="77" t="str">
        <f>IF(TR_5ExemptionClaim[[#This Row],[If a CRPF handled the material, did the material undergo separation from other materials at the CRPF?]]="Yes","Not Eligible","")</f>
        <v/>
      </c>
      <c r="T27" s="79" t="str">
        <f>IF(TR_5ExemptionClaim[[#This Row],[Material Reporting Category (Exemption Claim)]]="","",(IFERROR(0*MATCH(TR_5ExemptionClaim[[#This Row],[Material Reporting Category (Exemption Claim)]],TR_2SuppliedPounds[Material Reporting Category],0),1)))</f>
        <v/>
      </c>
      <c r="U27" s="79">
        <f>IF(TR_5ExemptionClaim[[#This Row],[End Market Name]]="",0,IFERROR(MATCH(TR_5ExemptionClaim[[#This Row],[End Market Name]],TR_4EndMarkets[Lookup: material+market],0)*0,1))</f>
        <v>0</v>
      </c>
      <c r="V27" s="79">
        <f>IF(TR_5ExemptionClaim[[#This Row],[Subcheck: unique]]="",0,IF(COUNTIFS(TR_5ExemptionClaim[Subcheck: unique left],TR_5ExemptionClaim[[#This Row],[Subcheck: unique left]],TR_5ExemptionClaim[Subcheck: unique right],TR_5ExemptionClaim[[#This Row],[Subcheck: unique right]])&gt;1,1,0))</f>
        <v>0</v>
      </c>
      <c r="W2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7" s="79">
        <f>IF(TR_5ExemptionClaim[[#This Row],[Material Reporting Category (Exemption Claim)]]=0,0,IF(SUM(TR_5ExemptionClaim[[#This Row],[Subcheck: minimum entry]:[Subcheck: missing CRPF info]])=0,0,1))</f>
        <v>0</v>
      </c>
      <c r="Y27" s="79">
        <f>IF(TR_5ExemptionClaim[[#This Row],[Material Reporting Category (Exemption Claim)]]&lt;&gt;"",0,TR_5ExemptionClaim[[#This Row],[Subcheck: any inputs in row]])</f>
        <v>0</v>
      </c>
      <c r="Z27" s="79">
        <f>IF(TR_5ExemptionClaim[[#This Row],[How many of the pounds recycled through this pathway were supplied by this producer?]]&gt;TR_5ExemptionClaim[[#This Row],[Pounds Recycled through this Pathway]],1,0)</f>
        <v>0</v>
      </c>
      <c r="AA2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7" s="79">
        <f>IF(TR_5ExemptionClaim[[#This Row],[Collection Company Type (autofill)]]&lt;&gt;Lookups!$K$13,0,IF(TR_5ExemptionClaim[[#This Row],[If the collector is OTR, was the service provided under OTR?]]&lt;&gt;"",0,1))</f>
        <v>0</v>
      </c>
      <c r="AF27" s="79">
        <f>IF(TR_5ExemptionClaim[[#This Row],[Did a CRPF ever handle the material before it reached the end market?]]&lt;&gt;"Yes",0,IF(COUNTA(TR_5ExemptionClaim[[#This Row],[CRPF name]:[CRPF Separation Ineligibility Warning]])=3,0,1))</f>
        <v>0</v>
      </c>
      <c r="AG2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7" s="77" t="str">
        <f>LEFT(TR_5ExemptionClaim[[#This Row],[Subcheck: unique]],250)</f>
        <v/>
      </c>
      <c r="AI27" s="77" t="str">
        <f>RIGHT(TR_5ExemptionClaim[[#This Row],[Subcheck: unique]],250)</f>
        <v/>
      </c>
      <c r="AJ27" s="77">
        <f>IF(OR(TR_5ExemptionClaim[[#This Row],[Check: collection ineligibility]]="Not Eligible",TR_5ExemptionClaim[[#This Row],[Check: CRPF non-separation ineligibility]]="Not Eligible",SUM(TR_5ExemptionClaim[[#This Row],[Check: end market does not exist]:[Check pounds (Third Party Substantiated)]])&gt;0),0,1)</f>
        <v>1</v>
      </c>
      <c r="AK27" s="78" t="str">
        <f>IF(TR_5ExemptionClaim[[#This Row],[Did this producer arrange for the recycling collection?]]="No",TR_5ExemptionClaim[[#This Row],[ID_EC]],"")</f>
        <v/>
      </c>
      <c r="AL27" s="80" t="str">
        <f t="shared" si="0"/>
        <v/>
      </c>
      <c r="AM27" s="80" t="str">
        <f>IFERROR(INDEX(TR_2SuppliedPounds[DEQ 2B Notes],MATCH(TR_5ExemptionClaim[[#This Row],[Material Reporting Category (Exemption Claim)]],TR_2SuppliedPounds[Material Reporting Category],0)),"")</f>
        <v/>
      </c>
      <c r="AN27" s="80" t="str">
        <f>IFERROR(INDEX(TR_3Collectors[DEQ 3B Notes],MATCH(TR_5ExemptionClaim[[#This Row],[Collection or Transportation Service Provider Name]],TR_3Collectors[Collection or Transportation Service Provider Name],0)),"")</f>
        <v/>
      </c>
      <c r="AO27" s="80" t="str">
        <f>IFERROR(INDEX(TR_4EndMarkets[DEQ 4B Notes],MATCH(TR_5ExemptionClaim[[#This Row],[End Market Name]],TR_4EndMarkets[Lookup: material+market],0)),"")</f>
        <v/>
      </c>
      <c r="AP27" s="81" t="str">
        <f>IFERROR(INDEX(TR_6RecyclingArranger[DEQ 6B Notes],MATCH(TR_5ExemptionClaim[[#This Row],[ID_EC]],TR_6RecyclingArranger[ID_EC],0)),"")</f>
        <v/>
      </c>
      <c r="AQ27" s="81">
        <f>SUMIFS(TR_6RecyclingArranger[DEQ 6B Eligible Pounds],TR_6RecyclingArranger[ID_EC],TR_5ExemptionClaim[[#This Row],[ID_EC]])</f>
        <v>0</v>
      </c>
      <c r="AR27" s="40"/>
      <c r="AS27" s="58"/>
    </row>
    <row r="28" spans="1:45" ht="30" customHeight="1" x14ac:dyDescent="0.2">
      <c r="A28" s="82" t="s">
        <v>942</v>
      </c>
      <c r="B28" s="46"/>
      <c r="C28" s="45"/>
      <c r="D28" s="45"/>
      <c r="E28" s="74"/>
      <c r="F2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8" s="47"/>
      <c r="H2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8" s="74"/>
      <c r="J28" s="75" t="str">
        <f>IF(TR_5ExemptionClaim[[#This Row],[If the collector is OTR, was the service provided under OTR?]]="Yes","Warning: Material collected under OTR service is not eligible for exemption.","")</f>
        <v/>
      </c>
      <c r="K28" s="47"/>
      <c r="L28" s="76"/>
      <c r="M28" s="47"/>
      <c r="N28" s="76"/>
      <c r="O28" s="104" t="str">
        <f>IF(TR_5ExemptionClaim[[#This Row],[If a CRPF handled the material, did the material undergo separation from other materials at the CRPF?]]="Yes","Warning: Material separated at a CRPF is not eligible for exemption.","")</f>
        <v/>
      </c>
      <c r="P28" s="47"/>
      <c r="Q28" s="47"/>
      <c r="R28" s="77" t="str">
        <f>IF(TR_5ExemptionClaim[[#This Row],[If the collector is OTR, was the service provided under OTR?]]="Yes","Not Eligible","")</f>
        <v/>
      </c>
      <c r="S28" s="77" t="str">
        <f>IF(TR_5ExemptionClaim[[#This Row],[If a CRPF handled the material, did the material undergo separation from other materials at the CRPF?]]="Yes","Not Eligible","")</f>
        <v/>
      </c>
      <c r="T28" s="79" t="str">
        <f>IF(TR_5ExemptionClaim[[#This Row],[Material Reporting Category (Exemption Claim)]]="","",(IFERROR(0*MATCH(TR_5ExemptionClaim[[#This Row],[Material Reporting Category (Exemption Claim)]],TR_2SuppliedPounds[Material Reporting Category],0),1)))</f>
        <v/>
      </c>
      <c r="U28" s="79">
        <f>IF(TR_5ExemptionClaim[[#This Row],[End Market Name]]="",0,IFERROR(MATCH(TR_5ExemptionClaim[[#This Row],[End Market Name]],TR_4EndMarkets[Lookup: material+market],0)*0,1))</f>
        <v>0</v>
      </c>
      <c r="V28" s="79">
        <f>IF(TR_5ExemptionClaim[[#This Row],[Subcheck: unique]]="",0,IF(COUNTIFS(TR_5ExemptionClaim[Subcheck: unique left],TR_5ExemptionClaim[[#This Row],[Subcheck: unique left]],TR_5ExemptionClaim[Subcheck: unique right],TR_5ExemptionClaim[[#This Row],[Subcheck: unique right]])&gt;1,1,0))</f>
        <v>0</v>
      </c>
      <c r="W2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8" s="79">
        <f>IF(TR_5ExemptionClaim[[#This Row],[Material Reporting Category (Exemption Claim)]]=0,0,IF(SUM(TR_5ExemptionClaim[[#This Row],[Subcheck: minimum entry]:[Subcheck: missing CRPF info]])=0,0,1))</f>
        <v>0</v>
      </c>
      <c r="Y28" s="79">
        <f>IF(TR_5ExemptionClaim[[#This Row],[Material Reporting Category (Exemption Claim)]]&lt;&gt;"",0,TR_5ExemptionClaim[[#This Row],[Subcheck: any inputs in row]])</f>
        <v>0</v>
      </c>
      <c r="Z28" s="79">
        <f>IF(TR_5ExemptionClaim[[#This Row],[How many of the pounds recycled through this pathway were supplied by this producer?]]&gt;TR_5ExemptionClaim[[#This Row],[Pounds Recycled through this Pathway]],1,0)</f>
        <v>0</v>
      </c>
      <c r="AA2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8" s="79">
        <f>IF(TR_5ExemptionClaim[[#This Row],[Collection Company Type (autofill)]]&lt;&gt;Lookups!$K$13,0,IF(TR_5ExemptionClaim[[#This Row],[If the collector is OTR, was the service provided under OTR?]]&lt;&gt;"",0,1))</f>
        <v>0</v>
      </c>
      <c r="AF28" s="79">
        <f>IF(TR_5ExemptionClaim[[#This Row],[Did a CRPF ever handle the material before it reached the end market?]]&lt;&gt;"Yes",0,IF(COUNTA(TR_5ExemptionClaim[[#This Row],[CRPF name]:[CRPF Separation Ineligibility Warning]])=3,0,1))</f>
        <v>0</v>
      </c>
      <c r="AG2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8" s="77" t="str">
        <f>LEFT(TR_5ExemptionClaim[[#This Row],[Subcheck: unique]],250)</f>
        <v/>
      </c>
      <c r="AI28" s="77" t="str">
        <f>RIGHT(TR_5ExemptionClaim[[#This Row],[Subcheck: unique]],250)</f>
        <v/>
      </c>
      <c r="AJ28" s="77">
        <f>IF(OR(TR_5ExemptionClaim[[#This Row],[Check: collection ineligibility]]="Not Eligible",TR_5ExemptionClaim[[#This Row],[Check: CRPF non-separation ineligibility]]="Not Eligible",SUM(TR_5ExemptionClaim[[#This Row],[Check: end market does not exist]:[Check pounds (Third Party Substantiated)]])&gt;0),0,1)</f>
        <v>1</v>
      </c>
      <c r="AK28" s="78" t="str">
        <f>IF(TR_5ExemptionClaim[[#This Row],[Did this producer arrange for the recycling collection?]]="No",TR_5ExemptionClaim[[#This Row],[ID_EC]],"")</f>
        <v/>
      </c>
      <c r="AL28" s="80" t="str">
        <f t="shared" si="0"/>
        <v/>
      </c>
      <c r="AM28" s="80" t="str">
        <f>IFERROR(INDEX(TR_2SuppliedPounds[DEQ 2B Notes],MATCH(TR_5ExemptionClaim[[#This Row],[Material Reporting Category (Exemption Claim)]],TR_2SuppliedPounds[Material Reporting Category],0)),"")</f>
        <v/>
      </c>
      <c r="AN28" s="80" t="str">
        <f>IFERROR(INDEX(TR_3Collectors[DEQ 3B Notes],MATCH(TR_5ExemptionClaim[[#This Row],[Collection or Transportation Service Provider Name]],TR_3Collectors[Collection or Transportation Service Provider Name],0)),"")</f>
        <v/>
      </c>
      <c r="AO28" s="80" t="str">
        <f>IFERROR(INDEX(TR_4EndMarkets[DEQ 4B Notes],MATCH(TR_5ExemptionClaim[[#This Row],[End Market Name]],TR_4EndMarkets[Lookup: material+market],0)),"")</f>
        <v/>
      </c>
      <c r="AP28" s="81" t="str">
        <f>IFERROR(INDEX(TR_6RecyclingArranger[DEQ 6B Notes],MATCH(TR_5ExemptionClaim[[#This Row],[ID_EC]],TR_6RecyclingArranger[ID_EC],0)),"")</f>
        <v/>
      </c>
      <c r="AQ28" s="81">
        <f>SUMIFS(TR_6RecyclingArranger[DEQ 6B Eligible Pounds],TR_6RecyclingArranger[ID_EC],TR_5ExemptionClaim[[#This Row],[ID_EC]])</f>
        <v>0</v>
      </c>
      <c r="AR28" s="40"/>
      <c r="AS28" s="58"/>
    </row>
    <row r="29" spans="1:45" ht="30" customHeight="1" x14ac:dyDescent="0.2">
      <c r="A29" s="82" t="s">
        <v>943</v>
      </c>
      <c r="B29" s="46"/>
      <c r="C29" s="45"/>
      <c r="D29" s="45"/>
      <c r="E29" s="74"/>
      <c r="F2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29" s="47"/>
      <c r="H2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29" s="74"/>
      <c r="J29" s="75" t="str">
        <f>IF(TR_5ExemptionClaim[[#This Row],[If the collector is OTR, was the service provided under OTR?]]="Yes","Warning: Material collected under OTR service is not eligible for exemption.","")</f>
        <v/>
      </c>
      <c r="K29" s="47"/>
      <c r="L29" s="76"/>
      <c r="M29" s="47"/>
      <c r="N29" s="76"/>
      <c r="O29" s="104" t="str">
        <f>IF(TR_5ExemptionClaim[[#This Row],[If a CRPF handled the material, did the material undergo separation from other materials at the CRPF?]]="Yes","Warning: Material separated at a CRPF is not eligible for exemption.","")</f>
        <v/>
      </c>
      <c r="P29" s="47"/>
      <c r="Q29" s="47"/>
      <c r="R29" s="77" t="str">
        <f>IF(TR_5ExemptionClaim[[#This Row],[If the collector is OTR, was the service provided under OTR?]]="Yes","Not Eligible","")</f>
        <v/>
      </c>
      <c r="S29" s="77" t="str">
        <f>IF(TR_5ExemptionClaim[[#This Row],[If a CRPF handled the material, did the material undergo separation from other materials at the CRPF?]]="Yes","Not Eligible","")</f>
        <v/>
      </c>
      <c r="T29" s="79" t="str">
        <f>IF(TR_5ExemptionClaim[[#This Row],[Material Reporting Category (Exemption Claim)]]="","",(IFERROR(0*MATCH(TR_5ExemptionClaim[[#This Row],[Material Reporting Category (Exemption Claim)]],TR_2SuppliedPounds[Material Reporting Category],0),1)))</f>
        <v/>
      </c>
      <c r="U29" s="79">
        <f>IF(TR_5ExemptionClaim[[#This Row],[End Market Name]]="",0,IFERROR(MATCH(TR_5ExemptionClaim[[#This Row],[End Market Name]],TR_4EndMarkets[Lookup: material+market],0)*0,1))</f>
        <v>0</v>
      </c>
      <c r="V29" s="79">
        <f>IF(TR_5ExemptionClaim[[#This Row],[Subcheck: unique]]="",0,IF(COUNTIFS(TR_5ExemptionClaim[Subcheck: unique left],TR_5ExemptionClaim[[#This Row],[Subcheck: unique left]],TR_5ExemptionClaim[Subcheck: unique right],TR_5ExemptionClaim[[#This Row],[Subcheck: unique right]])&gt;1,1,0))</f>
        <v>0</v>
      </c>
      <c r="W2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29" s="79">
        <f>IF(TR_5ExemptionClaim[[#This Row],[Material Reporting Category (Exemption Claim)]]=0,0,IF(SUM(TR_5ExemptionClaim[[#This Row],[Subcheck: minimum entry]:[Subcheck: missing CRPF info]])=0,0,1))</f>
        <v>0</v>
      </c>
      <c r="Y29" s="79">
        <f>IF(TR_5ExemptionClaim[[#This Row],[Material Reporting Category (Exemption Claim)]]&lt;&gt;"",0,TR_5ExemptionClaim[[#This Row],[Subcheck: any inputs in row]])</f>
        <v>0</v>
      </c>
      <c r="Z29" s="79">
        <f>IF(TR_5ExemptionClaim[[#This Row],[How many of the pounds recycled through this pathway were supplied by this producer?]]&gt;TR_5ExemptionClaim[[#This Row],[Pounds Recycled through this Pathway]],1,0)</f>
        <v>0</v>
      </c>
      <c r="AA2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2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2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2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29" s="79">
        <f>IF(TR_5ExemptionClaim[[#This Row],[Collection Company Type (autofill)]]&lt;&gt;Lookups!$K$13,0,IF(TR_5ExemptionClaim[[#This Row],[If the collector is OTR, was the service provided under OTR?]]&lt;&gt;"",0,1))</f>
        <v>0</v>
      </c>
      <c r="AF29" s="79">
        <f>IF(TR_5ExemptionClaim[[#This Row],[Did a CRPF ever handle the material before it reached the end market?]]&lt;&gt;"Yes",0,IF(COUNTA(TR_5ExemptionClaim[[#This Row],[CRPF name]:[CRPF Separation Ineligibility Warning]])=3,0,1))</f>
        <v>0</v>
      </c>
      <c r="AG2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29" s="77" t="str">
        <f>LEFT(TR_5ExemptionClaim[[#This Row],[Subcheck: unique]],250)</f>
        <v/>
      </c>
      <c r="AI29" s="77" t="str">
        <f>RIGHT(TR_5ExemptionClaim[[#This Row],[Subcheck: unique]],250)</f>
        <v/>
      </c>
      <c r="AJ29" s="77">
        <f>IF(OR(TR_5ExemptionClaim[[#This Row],[Check: collection ineligibility]]="Not Eligible",TR_5ExemptionClaim[[#This Row],[Check: CRPF non-separation ineligibility]]="Not Eligible",SUM(TR_5ExemptionClaim[[#This Row],[Check: end market does not exist]:[Check pounds (Third Party Substantiated)]])&gt;0),0,1)</f>
        <v>1</v>
      </c>
      <c r="AK29" s="78" t="str">
        <f>IF(TR_5ExemptionClaim[[#This Row],[Did this producer arrange for the recycling collection?]]="No",TR_5ExemptionClaim[[#This Row],[ID_EC]],"")</f>
        <v/>
      </c>
      <c r="AL29" s="80" t="str">
        <f t="shared" si="0"/>
        <v/>
      </c>
      <c r="AM29" s="80" t="str">
        <f>IFERROR(INDEX(TR_2SuppliedPounds[DEQ 2B Notes],MATCH(TR_5ExemptionClaim[[#This Row],[Material Reporting Category (Exemption Claim)]],TR_2SuppliedPounds[Material Reporting Category],0)),"")</f>
        <v/>
      </c>
      <c r="AN29" s="80" t="str">
        <f>IFERROR(INDEX(TR_3Collectors[DEQ 3B Notes],MATCH(TR_5ExemptionClaim[[#This Row],[Collection or Transportation Service Provider Name]],TR_3Collectors[Collection or Transportation Service Provider Name],0)),"")</f>
        <v/>
      </c>
      <c r="AO29" s="80" t="str">
        <f>IFERROR(INDEX(TR_4EndMarkets[DEQ 4B Notes],MATCH(TR_5ExemptionClaim[[#This Row],[End Market Name]],TR_4EndMarkets[Lookup: material+market],0)),"")</f>
        <v/>
      </c>
      <c r="AP29" s="81" t="str">
        <f>IFERROR(INDEX(TR_6RecyclingArranger[DEQ 6B Notes],MATCH(TR_5ExemptionClaim[[#This Row],[ID_EC]],TR_6RecyclingArranger[ID_EC],0)),"")</f>
        <v/>
      </c>
      <c r="AQ29" s="81">
        <f>SUMIFS(TR_6RecyclingArranger[DEQ 6B Eligible Pounds],TR_6RecyclingArranger[ID_EC],TR_5ExemptionClaim[[#This Row],[ID_EC]])</f>
        <v>0</v>
      </c>
      <c r="AR29" s="40"/>
      <c r="AS29" s="58"/>
    </row>
    <row r="30" spans="1:45" ht="30" customHeight="1" x14ac:dyDescent="0.2">
      <c r="A30" s="82" t="s">
        <v>944</v>
      </c>
      <c r="B30" s="46"/>
      <c r="C30" s="45"/>
      <c r="D30" s="45"/>
      <c r="E30" s="74"/>
      <c r="F3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0" s="47"/>
      <c r="H3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0" s="74"/>
      <c r="J30" s="75" t="str">
        <f>IF(TR_5ExemptionClaim[[#This Row],[If the collector is OTR, was the service provided under OTR?]]="Yes","Warning: Material collected under OTR service is not eligible for exemption.","")</f>
        <v/>
      </c>
      <c r="K30" s="47"/>
      <c r="L30" s="76"/>
      <c r="M30" s="47"/>
      <c r="N30" s="76"/>
      <c r="O30" s="104" t="str">
        <f>IF(TR_5ExemptionClaim[[#This Row],[If a CRPF handled the material, did the material undergo separation from other materials at the CRPF?]]="Yes","Warning: Material separated at a CRPF is not eligible for exemption.","")</f>
        <v/>
      </c>
      <c r="P30" s="47"/>
      <c r="Q30" s="47"/>
      <c r="R30" s="77" t="str">
        <f>IF(TR_5ExemptionClaim[[#This Row],[If the collector is OTR, was the service provided under OTR?]]="Yes","Not Eligible","")</f>
        <v/>
      </c>
      <c r="S30" s="77" t="str">
        <f>IF(TR_5ExemptionClaim[[#This Row],[If a CRPF handled the material, did the material undergo separation from other materials at the CRPF?]]="Yes","Not Eligible","")</f>
        <v/>
      </c>
      <c r="T30" s="79" t="str">
        <f>IF(TR_5ExemptionClaim[[#This Row],[Material Reporting Category (Exemption Claim)]]="","",(IFERROR(0*MATCH(TR_5ExemptionClaim[[#This Row],[Material Reporting Category (Exemption Claim)]],TR_2SuppliedPounds[Material Reporting Category],0),1)))</f>
        <v/>
      </c>
      <c r="U30" s="79">
        <f>IF(TR_5ExemptionClaim[[#This Row],[End Market Name]]="",0,IFERROR(MATCH(TR_5ExemptionClaim[[#This Row],[End Market Name]],TR_4EndMarkets[Lookup: material+market],0)*0,1))</f>
        <v>0</v>
      </c>
      <c r="V30" s="79">
        <f>IF(TR_5ExemptionClaim[[#This Row],[Subcheck: unique]]="",0,IF(COUNTIFS(TR_5ExemptionClaim[Subcheck: unique left],TR_5ExemptionClaim[[#This Row],[Subcheck: unique left]],TR_5ExemptionClaim[Subcheck: unique right],TR_5ExemptionClaim[[#This Row],[Subcheck: unique right]])&gt;1,1,0))</f>
        <v>0</v>
      </c>
      <c r="W3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0" s="79">
        <f>IF(TR_5ExemptionClaim[[#This Row],[Material Reporting Category (Exemption Claim)]]=0,0,IF(SUM(TR_5ExemptionClaim[[#This Row],[Subcheck: minimum entry]:[Subcheck: missing CRPF info]])=0,0,1))</f>
        <v>0</v>
      </c>
      <c r="Y30" s="79">
        <f>IF(TR_5ExemptionClaim[[#This Row],[Material Reporting Category (Exemption Claim)]]&lt;&gt;"",0,TR_5ExemptionClaim[[#This Row],[Subcheck: any inputs in row]])</f>
        <v>0</v>
      </c>
      <c r="Z30" s="79">
        <f>IF(TR_5ExemptionClaim[[#This Row],[How many of the pounds recycled through this pathway were supplied by this producer?]]&gt;TR_5ExemptionClaim[[#This Row],[Pounds Recycled through this Pathway]],1,0)</f>
        <v>0</v>
      </c>
      <c r="AA3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0" s="79">
        <f>IF(TR_5ExemptionClaim[[#This Row],[Collection Company Type (autofill)]]&lt;&gt;Lookups!$K$13,0,IF(TR_5ExemptionClaim[[#This Row],[If the collector is OTR, was the service provided under OTR?]]&lt;&gt;"",0,1))</f>
        <v>0</v>
      </c>
      <c r="AF30" s="79">
        <f>IF(TR_5ExemptionClaim[[#This Row],[Did a CRPF ever handle the material before it reached the end market?]]&lt;&gt;"Yes",0,IF(COUNTA(TR_5ExemptionClaim[[#This Row],[CRPF name]:[CRPF Separation Ineligibility Warning]])=3,0,1))</f>
        <v>0</v>
      </c>
      <c r="AG3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0" s="77" t="str">
        <f>LEFT(TR_5ExemptionClaim[[#This Row],[Subcheck: unique]],250)</f>
        <v/>
      </c>
      <c r="AI30" s="77" t="str">
        <f>RIGHT(TR_5ExemptionClaim[[#This Row],[Subcheck: unique]],250)</f>
        <v/>
      </c>
      <c r="AJ30" s="77">
        <f>IF(OR(TR_5ExemptionClaim[[#This Row],[Check: collection ineligibility]]="Not Eligible",TR_5ExemptionClaim[[#This Row],[Check: CRPF non-separation ineligibility]]="Not Eligible",SUM(TR_5ExemptionClaim[[#This Row],[Check: end market does not exist]:[Check pounds (Third Party Substantiated)]])&gt;0),0,1)</f>
        <v>1</v>
      </c>
      <c r="AK30" s="78" t="str">
        <f>IF(TR_5ExemptionClaim[[#This Row],[Did this producer arrange for the recycling collection?]]="No",TR_5ExemptionClaim[[#This Row],[ID_EC]],"")</f>
        <v/>
      </c>
      <c r="AL30" s="80" t="str">
        <f t="shared" si="0"/>
        <v/>
      </c>
      <c r="AM30" s="80" t="str">
        <f>IFERROR(INDEX(TR_2SuppliedPounds[DEQ 2B Notes],MATCH(TR_5ExemptionClaim[[#This Row],[Material Reporting Category (Exemption Claim)]],TR_2SuppliedPounds[Material Reporting Category],0)),"")</f>
        <v/>
      </c>
      <c r="AN30" s="80" t="str">
        <f>IFERROR(INDEX(TR_3Collectors[DEQ 3B Notes],MATCH(TR_5ExemptionClaim[[#This Row],[Collection or Transportation Service Provider Name]],TR_3Collectors[Collection or Transportation Service Provider Name],0)),"")</f>
        <v/>
      </c>
      <c r="AO30" s="80" t="str">
        <f>IFERROR(INDEX(TR_4EndMarkets[DEQ 4B Notes],MATCH(TR_5ExemptionClaim[[#This Row],[End Market Name]],TR_4EndMarkets[Lookup: material+market],0)),"")</f>
        <v/>
      </c>
      <c r="AP30" s="81" t="str">
        <f>IFERROR(INDEX(TR_6RecyclingArranger[DEQ 6B Notes],MATCH(TR_5ExemptionClaim[[#This Row],[ID_EC]],TR_6RecyclingArranger[ID_EC],0)),"")</f>
        <v/>
      </c>
      <c r="AQ30" s="81">
        <f>SUMIFS(TR_6RecyclingArranger[DEQ 6B Eligible Pounds],TR_6RecyclingArranger[ID_EC],TR_5ExemptionClaim[[#This Row],[ID_EC]])</f>
        <v>0</v>
      </c>
      <c r="AR30" s="40"/>
      <c r="AS30" s="58"/>
    </row>
    <row r="31" spans="1:45" ht="30" customHeight="1" x14ac:dyDescent="0.2">
      <c r="A31" s="82" t="s">
        <v>945</v>
      </c>
      <c r="B31" s="46"/>
      <c r="C31" s="45"/>
      <c r="D31" s="45"/>
      <c r="E31" s="74"/>
      <c r="F3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1" s="47"/>
      <c r="H3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1" s="74"/>
      <c r="J31" s="75" t="str">
        <f>IF(TR_5ExemptionClaim[[#This Row],[If the collector is OTR, was the service provided under OTR?]]="Yes","Warning: Material collected under OTR service is not eligible for exemption.","")</f>
        <v/>
      </c>
      <c r="K31" s="47"/>
      <c r="L31" s="76"/>
      <c r="M31" s="47"/>
      <c r="N31" s="76"/>
      <c r="O31" s="104" t="str">
        <f>IF(TR_5ExemptionClaim[[#This Row],[If a CRPF handled the material, did the material undergo separation from other materials at the CRPF?]]="Yes","Warning: Material separated at a CRPF is not eligible for exemption.","")</f>
        <v/>
      </c>
      <c r="P31" s="47"/>
      <c r="Q31" s="47"/>
      <c r="R31" s="77" t="str">
        <f>IF(TR_5ExemptionClaim[[#This Row],[If the collector is OTR, was the service provided under OTR?]]="Yes","Not Eligible","")</f>
        <v/>
      </c>
      <c r="S31" s="77" t="str">
        <f>IF(TR_5ExemptionClaim[[#This Row],[If a CRPF handled the material, did the material undergo separation from other materials at the CRPF?]]="Yes","Not Eligible","")</f>
        <v/>
      </c>
      <c r="T31" s="79" t="str">
        <f>IF(TR_5ExemptionClaim[[#This Row],[Material Reporting Category (Exemption Claim)]]="","",(IFERROR(0*MATCH(TR_5ExemptionClaim[[#This Row],[Material Reporting Category (Exemption Claim)]],TR_2SuppliedPounds[Material Reporting Category],0),1)))</f>
        <v/>
      </c>
      <c r="U31" s="79">
        <f>IF(TR_5ExemptionClaim[[#This Row],[End Market Name]]="",0,IFERROR(MATCH(TR_5ExemptionClaim[[#This Row],[End Market Name]],TR_4EndMarkets[Lookup: material+market],0)*0,1))</f>
        <v>0</v>
      </c>
      <c r="V31" s="79">
        <f>IF(TR_5ExemptionClaim[[#This Row],[Subcheck: unique]]="",0,IF(COUNTIFS(TR_5ExemptionClaim[Subcheck: unique left],TR_5ExemptionClaim[[#This Row],[Subcheck: unique left]],TR_5ExemptionClaim[Subcheck: unique right],TR_5ExemptionClaim[[#This Row],[Subcheck: unique right]])&gt;1,1,0))</f>
        <v>0</v>
      </c>
      <c r="W3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1" s="79">
        <f>IF(TR_5ExemptionClaim[[#This Row],[Material Reporting Category (Exemption Claim)]]=0,0,IF(SUM(TR_5ExemptionClaim[[#This Row],[Subcheck: minimum entry]:[Subcheck: missing CRPF info]])=0,0,1))</f>
        <v>0</v>
      </c>
      <c r="Y31" s="79">
        <f>IF(TR_5ExemptionClaim[[#This Row],[Material Reporting Category (Exemption Claim)]]&lt;&gt;"",0,TR_5ExemptionClaim[[#This Row],[Subcheck: any inputs in row]])</f>
        <v>0</v>
      </c>
      <c r="Z31" s="79">
        <f>IF(TR_5ExemptionClaim[[#This Row],[How many of the pounds recycled through this pathway were supplied by this producer?]]&gt;TR_5ExemptionClaim[[#This Row],[Pounds Recycled through this Pathway]],1,0)</f>
        <v>0</v>
      </c>
      <c r="AA3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1" s="79">
        <f>IF(TR_5ExemptionClaim[[#This Row],[Collection Company Type (autofill)]]&lt;&gt;Lookups!$K$13,0,IF(TR_5ExemptionClaim[[#This Row],[If the collector is OTR, was the service provided under OTR?]]&lt;&gt;"",0,1))</f>
        <v>0</v>
      </c>
      <c r="AF31" s="79">
        <f>IF(TR_5ExemptionClaim[[#This Row],[Did a CRPF ever handle the material before it reached the end market?]]&lt;&gt;"Yes",0,IF(COUNTA(TR_5ExemptionClaim[[#This Row],[CRPF name]:[CRPF Separation Ineligibility Warning]])=3,0,1))</f>
        <v>0</v>
      </c>
      <c r="AG3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1" s="77" t="str">
        <f>LEFT(TR_5ExemptionClaim[[#This Row],[Subcheck: unique]],250)</f>
        <v/>
      </c>
      <c r="AI31" s="77" t="str">
        <f>RIGHT(TR_5ExemptionClaim[[#This Row],[Subcheck: unique]],250)</f>
        <v/>
      </c>
      <c r="AJ31" s="77">
        <f>IF(OR(TR_5ExemptionClaim[[#This Row],[Check: collection ineligibility]]="Not Eligible",TR_5ExemptionClaim[[#This Row],[Check: CRPF non-separation ineligibility]]="Not Eligible",SUM(TR_5ExemptionClaim[[#This Row],[Check: end market does not exist]:[Check pounds (Third Party Substantiated)]])&gt;0),0,1)</f>
        <v>1</v>
      </c>
      <c r="AK31" s="78" t="str">
        <f>IF(TR_5ExemptionClaim[[#This Row],[Did this producer arrange for the recycling collection?]]="No",TR_5ExemptionClaim[[#This Row],[ID_EC]],"")</f>
        <v/>
      </c>
      <c r="AL31" s="80" t="str">
        <f t="shared" si="0"/>
        <v/>
      </c>
      <c r="AM31" s="80" t="str">
        <f>IFERROR(INDEX(TR_2SuppliedPounds[DEQ 2B Notes],MATCH(TR_5ExemptionClaim[[#This Row],[Material Reporting Category (Exemption Claim)]],TR_2SuppliedPounds[Material Reporting Category],0)),"")</f>
        <v/>
      </c>
      <c r="AN31" s="80" t="str">
        <f>IFERROR(INDEX(TR_3Collectors[DEQ 3B Notes],MATCH(TR_5ExemptionClaim[[#This Row],[Collection or Transportation Service Provider Name]],TR_3Collectors[Collection or Transportation Service Provider Name],0)),"")</f>
        <v/>
      </c>
      <c r="AO31" s="80" t="str">
        <f>IFERROR(INDEX(TR_4EndMarkets[DEQ 4B Notes],MATCH(TR_5ExemptionClaim[[#This Row],[End Market Name]],TR_4EndMarkets[Lookup: material+market],0)),"")</f>
        <v/>
      </c>
      <c r="AP31" s="81" t="str">
        <f>IFERROR(INDEX(TR_6RecyclingArranger[DEQ 6B Notes],MATCH(TR_5ExemptionClaim[[#This Row],[ID_EC]],TR_6RecyclingArranger[ID_EC],0)),"")</f>
        <v/>
      </c>
      <c r="AQ31" s="81">
        <f>SUMIFS(TR_6RecyclingArranger[DEQ 6B Eligible Pounds],TR_6RecyclingArranger[ID_EC],TR_5ExemptionClaim[[#This Row],[ID_EC]])</f>
        <v>0</v>
      </c>
      <c r="AR31" s="40"/>
      <c r="AS31" s="58"/>
    </row>
    <row r="32" spans="1:45" ht="30" customHeight="1" x14ac:dyDescent="0.2">
      <c r="A32" s="82" t="s">
        <v>946</v>
      </c>
      <c r="B32" s="46"/>
      <c r="C32" s="45"/>
      <c r="D32" s="45"/>
      <c r="E32" s="74"/>
      <c r="F3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2" s="47"/>
      <c r="H3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2" s="74"/>
      <c r="J32" s="75" t="str">
        <f>IF(TR_5ExemptionClaim[[#This Row],[If the collector is OTR, was the service provided under OTR?]]="Yes","Warning: Material collected under OTR service is not eligible for exemption.","")</f>
        <v/>
      </c>
      <c r="K32" s="47"/>
      <c r="L32" s="76"/>
      <c r="M32" s="47"/>
      <c r="N32" s="76"/>
      <c r="O32" s="104" t="str">
        <f>IF(TR_5ExemptionClaim[[#This Row],[If a CRPF handled the material, did the material undergo separation from other materials at the CRPF?]]="Yes","Warning: Material separated at a CRPF is not eligible for exemption.","")</f>
        <v/>
      </c>
      <c r="P32" s="47"/>
      <c r="Q32" s="47"/>
      <c r="R32" s="77" t="str">
        <f>IF(TR_5ExemptionClaim[[#This Row],[If the collector is OTR, was the service provided under OTR?]]="Yes","Not Eligible","")</f>
        <v/>
      </c>
      <c r="S32" s="77" t="str">
        <f>IF(TR_5ExemptionClaim[[#This Row],[If a CRPF handled the material, did the material undergo separation from other materials at the CRPF?]]="Yes","Not Eligible","")</f>
        <v/>
      </c>
      <c r="T32" s="79" t="str">
        <f>IF(TR_5ExemptionClaim[[#This Row],[Material Reporting Category (Exemption Claim)]]="","",(IFERROR(0*MATCH(TR_5ExemptionClaim[[#This Row],[Material Reporting Category (Exemption Claim)]],TR_2SuppliedPounds[Material Reporting Category],0),1)))</f>
        <v/>
      </c>
      <c r="U32" s="79">
        <f>IF(TR_5ExemptionClaim[[#This Row],[End Market Name]]="",0,IFERROR(MATCH(TR_5ExemptionClaim[[#This Row],[End Market Name]],TR_4EndMarkets[Lookup: material+market],0)*0,1))</f>
        <v>0</v>
      </c>
      <c r="V32" s="79">
        <f>IF(TR_5ExemptionClaim[[#This Row],[Subcheck: unique]]="",0,IF(COUNTIFS(TR_5ExemptionClaim[Subcheck: unique left],TR_5ExemptionClaim[[#This Row],[Subcheck: unique left]],TR_5ExemptionClaim[Subcheck: unique right],TR_5ExemptionClaim[[#This Row],[Subcheck: unique right]])&gt;1,1,0))</f>
        <v>0</v>
      </c>
      <c r="W3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2" s="79">
        <f>IF(TR_5ExemptionClaim[[#This Row],[Material Reporting Category (Exemption Claim)]]=0,0,IF(SUM(TR_5ExemptionClaim[[#This Row],[Subcheck: minimum entry]:[Subcheck: missing CRPF info]])=0,0,1))</f>
        <v>0</v>
      </c>
      <c r="Y32" s="79">
        <f>IF(TR_5ExemptionClaim[[#This Row],[Material Reporting Category (Exemption Claim)]]&lt;&gt;"",0,TR_5ExemptionClaim[[#This Row],[Subcheck: any inputs in row]])</f>
        <v>0</v>
      </c>
      <c r="Z32" s="79">
        <f>IF(TR_5ExemptionClaim[[#This Row],[How many of the pounds recycled through this pathway were supplied by this producer?]]&gt;TR_5ExemptionClaim[[#This Row],[Pounds Recycled through this Pathway]],1,0)</f>
        <v>0</v>
      </c>
      <c r="AA3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2" s="79">
        <f>IF(TR_5ExemptionClaim[[#This Row],[Collection Company Type (autofill)]]&lt;&gt;Lookups!$K$13,0,IF(TR_5ExemptionClaim[[#This Row],[If the collector is OTR, was the service provided under OTR?]]&lt;&gt;"",0,1))</f>
        <v>0</v>
      </c>
      <c r="AF32" s="79">
        <f>IF(TR_5ExemptionClaim[[#This Row],[Did a CRPF ever handle the material before it reached the end market?]]&lt;&gt;"Yes",0,IF(COUNTA(TR_5ExemptionClaim[[#This Row],[CRPF name]:[CRPF Separation Ineligibility Warning]])=3,0,1))</f>
        <v>0</v>
      </c>
      <c r="AG3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2" s="77" t="str">
        <f>LEFT(TR_5ExemptionClaim[[#This Row],[Subcheck: unique]],250)</f>
        <v/>
      </c>
      <c r="AI32" s="77" t="str">
        <f>RIGHT(TR_5ExemptionClaim[[#This Row],[Subcheck: unique]],250)</f>
        <v/>
      </c>
      <c r="AJ32" s="77">
        <f>IF(OR(TR_5ExemptionClaim[[#This Row],[Check: collection ineligibility]]="Not Eligible",TR_5ExemptionClaim[[#This Row],[Check: CRPF non-separation ineligibility]]="Not Eligible",SUM(TR_5ExemptionClaim[[#This Row],[Check: end market does not exist]:[Check pounds (Third Party Substantiated)]])&gt;0),0,1)</f>
        <v>1</v>
      </c>
      <c r="AK32" s="78" t="str">
        <f>IF(TR_5ExemptionClaim[[#This Row],[Did this producer arrange for the recycling collection?]]="No",TR_5ExemptionClaim[[#This Row],[ID_EC]],"")</f>
        <v/>
      </c>
      <c r="AL32" s="80" t="str">
        <f t="shared" si="0"/>
        <v/>
      </c>
      <c r="AM32" s="80" t="str">
        <f>IFERROR(INDEX(TR_2SuppliedPounds[DEQ 2B Notes],MATCH(TR_5ExemptionClaim[[#This Row],[Material Reporting Category (Exemption Claim)]],TR_2SuppliedPounds[Material Reporting Category],0)),"")</f>
        <v/>
      </c>
      <c r="AN32" s="80" t="str">
        <f>IFERROR(INDEX(TR_3Collectors[DEQ 3B Notes],MATCH(TR_5ExemptionClaim[[#This Row],[Collection or Transportation Service Provider Name]],TR_3Collectors[Collection or Transportation Service Provider Name],0)),"")</f>
        <v/>
      </c>
      <c r="AO32" s="80" t="str">
        <f>IFERROR(INDEX(TR_4EndMarkets[DEQ 4B Notes],MATCH(TR_5ExemptionClaim[[#This Row],[End Market Name]],TR_4EndMarkets[Lookup: material+market],0)),"")</f>
        <v/>
      </c>
      <c r="AP32" s="81" t="str">
        <f>IFERROR(INDEX(TR_6RecyclingArranger[DEQ 6B Notes],MATCH(TR_5ExemptionClaim[[#This Row],[ID_EC]],TR_6RecyclingArranger[ID_EC],0)),"")</f>
        <v/>
      </c>
      <c r="AQ32" s="81">
        <f>SUMIFS(TR_6RecyclingArranger[DEQ 6B Eligible Pounds],TR_6RecyclingArranger[ID_EC],TR_5ExemptionClaim[[#This Row],[ID_EC]])</f>
        <v>0</v>
      </c>
      <c r="AR32" s="40"/>
      <c r="AS32" s="58"/>
    </row>
    <row r="33" spans="1:45" ht="30" customHeight="1" x14ac:dyDescent="0.2">
      <c r="A33" s="82" t="s">
        <v>947</v>
      </c>
      <c r="B33" s="46"/>
      <c r="C33" s="45"/>
      <c r="D33" s="45"/>
      <c r="E33" s="74"/>
      <c r="F3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3" s="47"/>
      <c r="H3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3" s="74"/>
      <c r="J33" s="75" t="str">
        <f>IF(TR_5ExemptionClaim[[#This Row],[If the collector is OTR, was the service provided under OTR?]]="Yes","Warning: Material collected under OTR service is not eligible for exemption.","")</f>
        <v/>
      </c>
      <c r="K33" s="47"/>
      <c r="L33" s="76"/>
      <c r="M33" s="47"/>
      <c r="N33" s="76"/>
      <c r="O33" s="104" t="str">
        <f>IF(TR_5ExemptionClaim[[#This Row],[If a CRPF handled the material, did the material undergo separation from other materials at the CRPF?]]="Yes","Warning: Material separated at a CRPF is not eligible for exemption.","")</f>
        <v/>
      </c>
      <c r="P33" s="47"/>
      <c r="Q33" s="47"/>
      <c r="R33" s="77" t="str">
        <f>IF(TR_5ExemptionClaim[[#This Row],[If the collector is OTR, was the service provided under OTR?]]="Yes","Not Eligible","")</f>
        <v/>
      </c>
      <c r="S33" s="77" t="str">
        <f>IF(TR_5ExemptionClaim[[#This Row],[If a CRPF handled the material, did the material undergo separation from other materials at the CRPF?]]="Yes","Not Eligible","")</f>
        <v/>
      </c>
      <c r="T33" s="79" t="str">
        <f>IF(TR_5ExemptionClaim[[#This Row],[Material Reporting Category (Exemption Claim)]]="","",(IFERROR(0*MATCH(TR_5ExemptionClaim[[#This Row],[Material Reporting Category (Exemption Claim)]],TR_2SuppliedPounds[Material Reporting Category],0),1)))</f>
        <v/>
      </c>
      <c r="U33" s="79">
        <f>IF(TR_5ExemptionClaim[[#This Row],[End Market Name]]="",0,IFERROR(MATCH(TR_5ExemptionClaim[[#This Row],[End Market Name]],TR_4EndMarkets[Lookup: material+market],0)*0,1))</f>
        <v>0</v>
      </c>
      <c r="V33" s="79">
        <f>IF(TR_5ExemptionClaim[[#This Row],[Subcheck: unique]]="",0,IF(COUNTIFS(TR_5ExemptionClaim[Subcheck: unique left],TR_5ExemptionClaim[[#This Row],[Subcheck: unique left]],TR_5ExemptionClaim[Subcheck: unique right],TR_5ExemptionClaim[[#This Row],[Subcheck: unique right]])&gt;1,1,0))</f>
        <v>0</v>
      </c>
      <c r="W3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3" s="79">
        <f>IF(TR_5ExemptionClaim[[#This Row],[Material Reporting Category (Exemption Claim)]]=0,0,IF(SUM(TR_5ExemptionClaim[[#This Row],[Subcheck: minimum entry]:[Subcheck: missing CRPF info]])=0,0,1))</f>
        <v>0</v>
      </c>
      <c r="Y33" s="79">
        <f>IF(TR_5ExemptionClaim[[#This Row],[Material Reporting Category (Exemption Claim)]]&lt;&gt;"",0,TR_5ExemptionClaim[[#This Row],[Subcheck: any inputs in row]])</f>
        <v>0</v>
      </c>
      <c r="Z33" s="79">
        <f>IF(TR_5ExemptionClaim[[#This Row],[How many of the pounds recycled through this pathway were supplied by this producer?]]&gt;TR_5ExemptionClaim[[#This Row],[Pounds Recycled through this Pathway]],1,0)</f>
        <v>0</v>
      </c>
      <c r="AA3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3" s="79">
        <f>IF(TR_5ExemptionClaim[[#This Row],[Collection Company Type (autofill)]]&lt;&gt;Lookups!$K$13,0,IF(TR_5ExemptionClaim[[#This Row],[If the collector is OTR, was the service provided under OTR?]]&lt;&gt;"",0,1))</f>
        <v>0</v>
      </c>
      <c r="AF33" s="79">
        <f>IF(TR_5ExemptionClaim[[#This Row],[Did a CRPF ever handle the material before it reached the end market?]]&lt;&gt;"Yes",0,IF(COUNTA(TR_5ExemptionClaim[[#This Row],[CRPF name]:[CRPF Separation Ineligibility Warning]])=3,0,1))</f>
        <v>0</v>
      </c>
      <c r="AG3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3" s="77" t="str">
        <f>LEFT(TR_5ExemptionClaim[[#This Row],[Subcheck: unique]],250)</f>
        <v/>
      </c>
      <c r="AI33" s="77" t="str">
        <f>RIGHT(TR_5ExemptionClaim[[#This Row],[Subcheck: unique]],250)</f>
        <v/>
      </c>
      <c r="AJ33" s="77">
        <f>IF(OR(TR_5ExemptionClaim[[#This Row],[Check: collection ineligibility]]="Not Eligible",TR_5ExemptionClaim[[#This Row],[Check: CRPF non-separation ineligibility]]="Not Eligible",SUM(TR_5ExemptionClaim[[#This Row],[Check: end market does not exist]:[Check pounds (Third Party Substantiated)]])&gt;0),0,1)</f>
        <v>1</v>
      </c>
      <c r="AK33" s="78" t="str">
        <f>IF(TR_5ExemptionClaim[[#This Row],[Did this producer arrange for the recycling collection?]]="No",TR_5ExemptionClaim[[#This Row],[ID_EC]],"")</f>
        <v/>
      </c>
      <c r="AL33" s="80" t="str">
        <f t="shared" si="0"/>
        <v/>
      </c>
      <c r="AM33" s="80" t="str">
        <f>IFERROR(INDEX(TR_2SuppliedPounds[DEQ 2B Notes],MATCH(TR_5ExemptionClaim[[#This Row],[Material Reporting Category (Exemption Claim)]],TR_2SuppliedPounds[Material Reporting Category],0)),"")</f>
        <v/>
      </c>
      <c r="AN33" s="80" t="str">
        <f>IFERROR(INDEX(TR_3Collectors[DEQ 3B Notes],MATCH(TR_5ExemptionClaim[[#This Row],[Collection or Transportation Service Provider Name]],TR_3Collectors[Collection or Transportation Service Provider Name],0)),"")</f>
        <v/>
      </c>
      <c r="AO33" s="80" t="str">
        <f>IFERROR(INDEX(TR_4EndMarkets[DEQ 4B Notes],MATCH(TR_5ExemptionClaim[[#This Row],[End Market Name]],TR_4EndMarkets[Lookup: material+market],0)),"")</f>
        <v/>
      </c>
      <c r="AP33" s="81" t="str">
        <f>IFERROR(INDEX(TR_6RecyclingArranger[DEQ 6B Notes],MATCH(TR_5ExemptionClaim[[#This Row],[ID_EC]],TR_6RecyclingArranger[ID_EC],0)),"")</f>
        <v/>
      </c>
      <c r="AQ33" s="81">
        <f>SUMIFS(TR_6RecyclingArranger[DEQ 6B Eligible Pounds],TR_6RecyclingArranger[ID_EC],TR_5ExemptionClaim[[#This Row],[ID_EC]])</f>
        <v>0</v>
      </c>
      <c r="AR33" s="40"/>
      <c r="AS33" s="58"/>
    </row>
    <row r="34" spans="1:45" ht="30" customHeight="1" x14ac:dyDescent="0.2">
      <c r="A34" s="82" t="s">
        <v>948</v>
      </c>
      <c r="B34" s="46"/>
      <c r="C34" s="45"/>
      <c r="D34" s="45"/>
      <c r="E34" s="74"/>
      <c r="F3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4" s="47"/>
      <c r="H3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4" s="74"/>
      <c r="J34" s="75" t="str">
        <f>IF(TR_5ExemptionClaim[[#This Row],[If the collector is OTR, was the service provided under OTR?]]="Yes","Warning: Material collected under OTR service is not eligible for exemption.","")</f>
        <v/>
      </c>
      <c r="K34" s="47"/>
      <c r="L34" s="76"/>
      <c r="M34" s="47"/>
      <c r="N34" s="76"/>
      <c r="O34" s="104" t="str">
        <f>IF(TR_5ExemptionClaim[[#This Row],[If a CRPF handled the material, did the material undergo separation from other materials at the CRPF?]]="Yes","Warning: Material separated at a CRPF is not eligible for exemption.","")</f>
        <v/>
      </c>
      <c r="P34" s="47"/>
      <c r="Q34" s="47"/>
      <c r="R34" s="77" t="str">
        <f>IF(TR_5ExemptionClaim[[#This Row],[If the collector is OTR, was the service provided under OTR?]]="Yes","Not Eligible","")</f>
        <v/>
      </c>
      <c r="S34" s="77" t="str">
        <f>IF(TR_5ExemptionClaim[[#This Row],[If a CRPF handled the material, did the material undergo separation from other materials at the CRPF?]]="Yes","Not Eligible","")</f>
        <v/>
      </c>
      <c r="T34" s="79" t="str">
        <f>IF(TR_5ExemptionClaim[[#This Row],[Material Reporting Category (Exemption Claim)]]="","",(IFERROR(0*MATCH(TR_5ExemptionClaim[[#This Row],[Material Reporting Category (Exemption Claim)]],TR_2SuppliedPounds[Material Reporting Category],0),1)))</f>
        <v/>
      </c>
      <c r="U34" s="79">
        <f>IF(TR_5ExemptionClaim[[#This Row],[End Market Name]]="",0,IFERROR(MATCH(TR_5ExemptionClaim[[#This Row],[End Market Name]],TR_4EndMarkets[Lookup: material+market],0)*0,1))</f>
        <v>0</v>
      </c>
      <c r="V34" s="79">
        <f>IF(TR_5ExemptionClaim[[#This Row],[Subcheck: unique]]="",0,IF(COUNTIFS(TR_5ExemptionClaim[Subcheck: unique left],TR_5ExemptionClaim[[#This Row],[Subcheck: unique left]],TR_5ExemptionClaim[Subcheck: unique right],TR_5ExemptionClaim[[#This Row],[Subcheck: unique right]])&gt;1,1,0))</f>
        <v>0</v>
      </c>
      <c r="W3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4" s="79">
        <f>IF(TR_5ExemptionClaim[[#This Row],[Material Reporting Category (Exemption Claim)]]=0,0,IF(SUM(TR_5ExemptionClaim[[#This Row],[Subcheck: minimum entry]:[Subcheck: missing CRPF info]])=0,0,1))</f>
        <v>0</v>
      </c>
      <c r="Y34" s="79">
        <f>IF(TR_5ExemptionClaim[[#This Row],[Material Reporting Category (Exemption Claim)]]&lt;&gt;"",0,TR_5ExemptionClaim[[#This Row],[Subcheck: any inputs in row]])</f>
        <v>0</v>
      </c>
      <c r="Z34" s="79">
        <f>IF(TR_5ExemptionClaim[[#This Row],[How many of the pounds recycled through this pathway were supplied by this producer?]]&gt;TR_5ExemptionClaim[[#This Row],[Pounds Recycled through this Pathway]],1,0)</f>
        <v>0</v>
      </c>
      <c r="AA3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4" s="79">
        <f>IF(TR_5ExemptionClaim[[#This Row],[Collection Company Type (autofill)]]&lt;&gt;Lookups!$K$13,0,IF(TR_5ExemptionClaim[[#This Row],[If the collector is OTR, was the service provided under OTR?]]&lt;&gt;"",0,1))</f>
        <v>0</v>
      </c>
      <c r="AF34" s="79">
        <f>IF(TR_5ExemptionClaim[[#This Row],[Did a CRPF ever handle the material before it reached the end market?]]&lt;&gt;"Yes",0,IF(COUNTA(TR_5ExemptionClaim[[#This Row],[CRPF name]:[CRPF Separation Ineligibility Warning]])=3,0,1))</f>
        <v>0</v>
      </c>
      <c r="AG3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4" s="77" t="str">
        <f>LEFT(TR_5ExemptionClaim[[#This Row],[Subcheck: unique]],250)</f>
        <v/>
      </c>
      <c r="AI34" s="77" t="str">
        <f>RIGHT(TR_5ExemptionClaim[[#This Row],[Subcheck: unique]],250)</f>
        <v/>
      </c>
      <c r="AJ34" s="77">
        <f>IF(OR(TR_5ExemptionClaim[[#This Row],[Check: collection ineligibility]]="Not Eligible",TR_5ExemptionClaim[[#This Row],[Check: CRPF non-separation ineligibility]]="Not Eligible",SUM(TR_5ExemptionClaim[[#This Row],[Check: end market does not exist]:[Check pounds (Third Party Substantiated)]])&gt;0),0,1)</f>
        <v>1</v>
      </c>
      <c r="AK34" s="78" t="str">
        <f>IF(TR_5ExemptionClaim[[#This Row],[Did this producer arrange for the recycling collection?]]="No",TR_5ExemptionClaim[[#This Row],[ID_EC]],"")</f>
        <v/>
      </c>
      <c r="AL34" s="80" t="str">
        <f t="shared" si="0"/>
        <v/>
      </c>
      <c r="AM34" s="80" t="str">
        <f>IFERROR(INDEX(TR_2SuppliedPounds[DEQ 2B Notes],MATCH(TR_5ExemptionClaim[[#This Row],[Material Reporting Category (Exemption Claim)]],TR_2SuppliedPounds[Material Reporting Category],0)),"")</f>
        <v/>
      </c>
      <c r="AN34" s="80" t="str">
        <f>IFERROR(INDEX(TR_3Collectors[DEQ 3B Notes],MATCH(TR_5ExemptionClaim[[#This Row],[Collection or Transportation Service Provider Name]],TR_3Collectors[Collection or Transportation Service Provider Name],0)),"")</f>
        <v/>
      </c>
      <c r="AO34" s="80" t="str">
        <f>IFERROR(INDEX(TR_4EndMarkets[DEQ 4B Notes],MATCH(TR_5ExemptionClaim[[#This Row],[End Market Name]],TR_4EndMarkets[Lookup: material+market],0)),"")</f>
        <v/>
      </c>
      <c r="AP34" s="81" t="str">
        <f>IFERROR(INDEX(TR_6RecyclingArranger[DEQ 6B Notes],MATCH(TR_5ExemptionClaim[[#This Row],[ID_EC]],TR_6RecyclingArranger[ID_EC],0)),"")</f>
        <v/>
      </c>
      <c r="AQ34" s="81">
        <f>SUMIFS(TR_6RecyclingArranger[DEQ 6B Eligible Pounds],TR_6RecyclingArranger[ID_EC],TR_5ExemptionClaim[[#This Row],[ID_EC]])</f>
        <v>0</v>
      </c>
      <c r="AR34" s="40"/>
      <c r="AS34" s="58"/>
    </row>
    <row r="35" spans="1:45" ht="30" customHeight="1" x14ac:dyDescent="0.2">
      <c r="A35" s="82" t="s">
        <v>949</v>
      </c>
      <c r="B35" s="46"/>
      <c r="C35" s="45"/>
      <c r="D35" s="45"/>
      <c r="E35" s="74"/>
      <c r="F3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5" s="47"/>
      <c r="H3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5" s="74"/>
      <c r="J35" s="75" t="str">
        <f>IF(TR_5ExemptionClaim[[#This Row],[If the collector is OTR, was the service provided under OTR?]]="Yes","Warning: Material collected under OTR service is not eligible for exemption.","")</f>
        <v/>
      </c>
      <c r="K35" s="47"/>
      <c r="L35" s="76"/>
      <c r="M35" s="47"/>
      <c r="N35" s="76"/>
      <c r="O35" s="104" t="str">
        <f>IF(TR_5ExemptionClaim[[#This Row],[If a CRPF handled the material, did the material undergo separation from other materials at the CRPF?]]="Yes","Warning: Material separated at a CRPF is not eligible for exemption.","")</f>
        <v/>
      </c>
      <c r="P35" s="47"/>
      <c r="Q35" s="47"/>
      <c r="R35" s="77" t="str">
        <f>IF(TR_5ExemptionClaim[[#This Row],[If the collector is OTR, was the service provided under OTR?]]="Yes","Not Eligible","")</f>
        <v/>
      </c>
      <c r="S35" s="77" t="str">
        <f>IF(TR_5ExemptionClaim[[#This Row],[If a CRPF handled the material, did the material undergo separation from other materials at the CRPF?]]="Yes","Not Eligible","")</f>
        <v/>
      </c>
      <c r="T35" s="79" t="str">
        <f>IF(TR_5ExemptionClaim[[#This Row],[Material Reporting Category (Exemption Claim)]]="","",(IFERROR(0*MATCH(TR_5ExemptionClaim[[#This Row],[Material Reporting Category (Exemption Claim)]],TR_2SuppliedPounds[Material Reporting Category],0),1)))</f>
        <v/>
      </c>
      <c r="U35" s="79">
        <f>IF(TR_5ExemptionClaim[[#This Row],[End Market Name]]="",0,IFERROR(MATCH(TR_5ExemptionClaim[[#This Row],[End Market Name]],TR_4EndMarkets[Lookup: material+market],0)*0,1))</f>
        <v>0</v>
      </c>
      <c r="V35" s="79">
        <f>IF(TR_5ExemptionClaim[[#This Row],[Subcheck: unique]]="",0,IF(COUNTIFS(TR_5ExemptionClaim[Subcheck: unique left],TR_5ExemptionClaim[[#This Row],[Subcheck: unique left]],TR_5ExemptionClaim[Subcheck: unique right],TR_5ExemptionClaim[[#This Row],[Subcheck: unique right]])&gt;1,1,0))</f>
        <v>0</v>
      </c>
      <c r="W3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5" s="79">
        <f>IF(TR_5ExemptionClaim[[#This Row],[Material Reporting Category (Exemption Claim)]]=0,0,IF(SUM(TR_5ExemptionClaim[[#This Row],[Subcheck: minimum entry]:[Subcheck: missing CRPF info]])=0,0,1))</f>
        <v>0</v>
      </c>
      <c r="Y35" s="79">
        <f>IF(TR_5ExemptionClaim[[#This Row],[Material Reporting Category (Exemption Claim)]]&lt;&gt;"",0,TR_5ExemptionClaim[[#This Row],[Subcheck: any inputs in row]])</f>
        <v>0</v>
      </c>
      <c r="Z35" s="79">
        <f>IF(TR_5ExemptionClaim[[#This Row],[How many of the pounds recycled through this pathway were supplied by this producer?]]&gt;TR_5ExemptionClaim[[#This Row],[Pounds Recycled through this Pathway]],1,0)</f>
        <v>0</v>
      </c>
      <c r="AA3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5" s="79">
        <f>IF(TR_5ExemptionClaim[[#This Row],[Collection Company Type (autofill)]]&lt;&gt;Lookups!$K$13,0,IF(TR_5ExemptionClaim[[#This Row],[If the collector is OTR, was the service provided under OTR?]]&lt;&gt;"",0,1))</f>
        <v>0</v>
      </c>
      <c r="AF35" s="79">
        <f>IF(TR_5ExemptionClaim[[#This Row],[Did a CRPF ever handle the material before it reached the end market?]]&lt;&gt;"Yes",0,IF(COUNTA(TR_5ExemptionClaim[[#This Row],[CRPF name]:[CRPF Separation Ineligibility Warning]])=3,0,1))</f>
        <v>0</v>
      </c>
      <c r="AG3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5" s="77" t="str">
        <f>LEFT(TR_5ExemptionClaim[[#This Row],[Subcheck: unique]],250)</f>
        <v/>
      </c>
      <c r="AI35" s="77" t="str">
        <f>RIGHT(TR_5ExemptionClaim[[#This Row],[Subcheck: unique]],250)</f>
        <v/>
      </c>
      <c r="AJ35" s="77">
        <f>IF(OR(TR_5ExemptionClaim[[#This Row],[Check: collection ineligibility]]="Not Eligible",TR_5ExemptionClaim[[#This Row],[Check: CRPF non-separation ineligibility]]="Not Eligible",SUM(TR_5ExemptionClaim[[#This Row],[Check: end market does not exist]:[Check pounds (Third Party Substantiated)]])&gt;0),0,1)</f>
        <v>1</v>
      </c>
      <c r="AK35" s="78" t="str">
        <f>IF(TR_5ExemptionClaim[[#This Row],[Did this producer arrange for the recycling collection?]]="No",TR_5ExemptionClaim[[#This Row],[ID_EC]],"")</f>
        <v/>
      </c>
      <c r="AL35" s="80" t="str">
        <f t="shared" si="0"/>
        <v/>
      </c>
      <c r="AM35" s="80" t="str">
        <f>IFERROR(INDEX(TR_2SuppliedPounds[DEQ 2B Notes],MATCH(TR_5ExemptionClaim[[#This Row],[Material Reporting Category (Exemption Claim)]],TR_2SuppliedPounds[Material Reporting Category],0)),"")</f>
        <v/>
      </c>
      <c r="AN35" s="80" t="str">
        <f>IFERROR(INDEX(TR_3Collectors[DEQ 3B Notes],MATCH(TR_5ExemptionClaim[[#This Row],[Collection or Transportation Service Provider Name]],TR_3Collectors[Collection or Transportation Service Provider Name],0)),"")</f>
        <v/>
      </c>
      <c r="AO35" s="80" t="str">
        <f>IFERROR(INDEX(TR_4EndMarkets[DEQ 4B Notes],MATCH(TR_5ExemptionClaim[[#This Row],[End Market Name]],TR_4EndMarkets[Lookup: material+market],0)),"")</f>
        <v/>
      </c>
      <c r="AP35" s="81" t="str">
        <f>IFERROR(INDEX(TR_6RecyclingArranger[DEQ 6B Notes],MATCH(TR_5ExemptionClaim[[#This Row],[ID_EC]],TR_6RecyclingArranger[ID_EC],0)),"")</f>
        <v/>
      </c>
      <c r="AQ35" s="81">
        <f>SUMIFS(TR_6RecyclingArranger[DEQ 6B Eligible Pounds],TR_6RecyclingArranger[ID_EC],TR_5ExemptionClaim[[#This Row],[ID_EC]])</f>
        <v>0</v>
      </c>
      <c r="AR35" s="40"/>
      <c r="AS35" s="58"/>
    </row>
    <row r="36" spans="1:45" ht="30" customHeight="1" x14ac:dyDescent="0.2">
      <c r="A36" s="82" t="s">
        <v>950</v>
      </c>
      <c r="B36" s="46"/>
      <c r="C36" s="45"/>
      <c r="D36" s="45"/>
      <c r="E36" s="74"/>
      <c r="F3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6" s="47"/>
      <c r="H3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6" s="74"/>
      <c r="J36" s="75" t="str">
        <f>IF(TR_5ExemptionClaim[[#This Row],[If the collector is OTR, was the service provided under OTR?]]="Yes","Warning: Material collected under OTR service is not eligible for exemption.","")</f>
        <v/>
      </c>
      <c r="K36" s="47"/>
      <c r="L36" s="76"/>
      <c r="M36" s="47"/>
      <c r="N36" s="76"/>
      <c r="O36" s="104" t="str">
        <f>IF(TR_5ExemptionClaim[[#This Row],[If a CRPF handled the material, did the material undergo separation from other materials at the CRPF?]]="Yes","Warning: Material separated at a CRPF is not eligible for exemption.","")</f>
        <v/>
      </c>
      <c r="P36" s="47"/>
      <c r="Q36" s="47"/>
      <c r="R36" s="77" t="str">
        <f>IF(TR_5ExemptionClaim[[#This Row],[If the collector is OTR, was the service provided under OTR?]]="Yes","Not Eligible","")</f>
        <v/>
      </c>
      <c r="S36" s="77" t="str">
        <f>IF(TR_5ExemptionClaim[[#This Row],[If a CRPF handled the material, did the material undergo separation from other materials at the CRPF?]]="Yes","Not Eligible","")</f>
        <v/>
      </c>
      <c r="T36" s="79" t="str">
        <f>IF(TR_5ExemptionClaim[[#This Row],[Material Reporting Category (Exemption Claim)]]="","",(IFERROR(0*MATCH(TR_5ExemptionClaim[[#This Row],[Material Reporting Category (Exemption Claim)]],TR_2SuppliedPounds[Material Reporting Category],0),1)))</f>
        <v/>
      </c>
      <c r="U36" s="79">
        <f>IF(TR_5ExemptionClaim[[#This Row],[End Market Name]]="",0,IFERROR(MATCH(TR_5ExemptionClaim[[#This Row],[End Market Name]],TR_4EndMarkets[Lookup: material+market],0)*0,1))</f>
        <v>0</v>
      </c>
      <c r="V36" s="79">
        <f>IF(TR_5ExemptionClaim[[#This Row],[Subcheck: unique]]="",0,IF(COUNTIFS(TR_5ExemptionClaim[Subcheck: unique left],TR_5ExemptionClaim[[#This Row],[Subcheck: unique left]],TR_5ExemptionClaim[Subcheck: unique right],TR_5ExemptionClaim[[#This Row],[Subcheck: unique right]])&gt;1,1,0))</f>
        <v>0</v>
      </c>
      <c r="W3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6" s="79">
        <f>IF(TR_5ExemptionClaim[[#This Row],[Material Reporting Category (Exemption Claim)]]=0,0,IF(SUM(TR_5ExemptionClaim[[#This Row],[Subcheck: minimum entry]:[Subcheck: missing CRPF info]])=0,0,1))</f>
        <v>0</v>
      </c>
      <c r="Y36" s="79">
        <f>IF(TR_5ExemptionClaim[[#This Row],[Material Reporting Category (Exemption Claim)]]&lt;&gt;"",0,TR_5ExemptionClaim[[#This Row],[Subcheck: any inputs in row]])</f>
        <v>0</v>
      </c>
      <c r="Z36" s="79">
        <f>IF(TR_5ExemptionClaim[[#This Row],[How many of the pounds recycled through this pathway were supplied by this producer?]]&gt;TR_5ExemptionClaim[[#This Row],[Pounds Recycled through this Pathway]],1,0)</f>
        <v>0</v>
      </c>
      <c r="AA3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6" s="79">
        <f>IF(TR_5ExemptionClaim[[#This Row],[Collection Company Type (autofill)]]&lt;&gt;Lookups!$K$13,0,IF(TR_5ExemptionClaim[[#This Row],[If the collector is OTR, was the service provided under OTR?]]&lt;&gt;"",0,1))</f>
        <v>0</v>
      </c>
      <c r="AF36" s="79">
        <f>IF(TR_5ExemptionClaim[[#This Row],[Did a CRPF ever handle the material before it reached the end market?]]&lt;&gt;"Yes",0,IF(COUNTA(TR_5ExemptionClaim[[#This Row],[CRPF name]:[CRPF Separation Ineligibility Warning]])=3,0,1))</f>
        <v>0</v>
      </c>
      <c r="AG3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6" s="77" t="str">
        <f>LEFT(TR_5ExemptionClaim[[#This Row],[Subcheck: unique]],250)</f>
        <v/>
      </c>
      <c r="AI36" s="77" t="str">
        <f>RIGHT(TR_5ExemptionClaim[[#This Row],[Subcheck: unique]],250)</f>
        <v/>
      </c>
      <c r="AJ36" s="77">
        <f>IF(OR(TR_5ExemptionClaim[[#This Row],[Check: collection ineligibility]]="Not Eligible",TR_5ExemptionClaim[[#This Row],[Check: CRPF non-separation ineligibility]]="Not Eligible",SUM(TR_5ExemptionClaim[[#This Row],[Check: end market does not exist]:[Check pounds (Third Party Substantiated)]])&gt;0),0,1)</f>
        <v>1</v>
      </c>
      <c r="AK36" s="78" t="str">
        <f>IF(TR_5ExemptionClaim[[#This Row],[Did this producer arrange for the recycling collection?]]="No",TR_5ExemptionClaim[[#This Row],[ID_EC]],"")</f>
        <v/>
      </c>
      <c r="AL36" s="80" t="str">
        <f t="shared" si="0"/>
        <v/>
      </c>
      <c r="AM36" s="80" t="str">
        <f>IFERROR(INDEX(TR_2SuppliedPounds[DEQ 2B Notes],MATCH(TR_5ExemptionClaim[[#This Row],[Material Reporting Category (Exemption Claim)]],TR_2SuppliedPounds[Material Reporting Category],0)),"")</f>
        <v/>
      </c>
      <c r="AN36" s="80" t="str">
        <f>IFERROR(INDEX(TR_3Collectors[DEQ 3B Notes],MATCH(TR_5ExemptionClaim[[#This Row],[Collection or Transportation Service Provider Name]],TR_3Collectors[Collection or Transportation Service Provider Name],0)),"")</f>
        <v/>
      </c>
      <c r="AO36" s="80" t="str">
        <f>IFERROR(INDEX(TR_4EndMarkets[DEQ 4B Notes],MATCH(TR_5ExemptionClaim[[#This Row],[End Market Name]],TR_4EndMarkets[Lookup: material+market],0)),"")</f>
        <v/>
      </c>
      <c r="AP36" s="81" t="str">
        <f>IFERROR(INDEX(TR_6RecyclingArranger[DEQ 6B Notes],MATCH(TR_5ExemptionClaim[[#This Row],[ID_EC]],TR_6RecyclingArranger[ID_EC],0)),"")</f>
        <v/>
      </c>
      <c r="AQ36" s="81">
        <f>SUMIFS(TR_6RecyclingArranger[DEQ 6B Eligible Pounds],TR_6RecyclingArranger[ID_EC],TR_5ExemptionClaim[[#This Row],[ID_EC]])</f>
        <v>0</v>
      </c>
      <c r="AR36" s="40"/>
      <c r="AS36" s="58"/>
    </row>
    <row r="37" spans="1:45" ht="30" customHeight="1" x14ac:dyDescent="0.2">
      <c r="A37" s="82" t="s">
        <v>951</v>
      </c>
      <c r="B37" s="46"/>
      <c r="C37" s="45"/>
      <c r="D37" s="45"/>
      <c r="E37" s="74"/>
      <c r="F3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7" s="47"/>
      <c r="H3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7" s="74"/>
      <c r="J37" s="75" t="str">
        <f>IF(TR_5ExemptionClaim[[#This Row],[If the collector is OTR, was the service provided under OTR?]]="Yes","Warning: Material collected under OTR service is not eligible for exemption.","")</f>
        <v/>
      </c>
      <c r="K37" s="47"/>
      <c r="L37" s="76"/>
      <c r="M37" s="47"/>
      <c r="N37" s="76"/>
      <c r="O37" s="104" t="str">
        <f>IF(TR_5ExemptionClaim[[#This Row],[If a CRPF handled the material, did the material undergo separation from other materials at the CRPF?]]="Yes","Warning: Material separated at a CRPF is not eligible for exemption.","")</f>
        <v/>
      </c>
      <c r="P37" s="47"/>
      <c r="Q37" s="47"/>
      <c r="R37" s="77" t="str">
        <f>IF(TR_5ExemptionClaim[[#This Row],[If the collector is OTR, was the service provided under OTR?]]="Yes","Not Eligible","")</f>
        <v/>
      </c>
      <c r="S37" s="77" t="str">
        <f>IF(TR_5ExemptionClaim[[#This Row],[If a CRPF handled the material, did the material undergo separation from other materials at the CRPF?]]="Yes","Not Eligible","")</f>
        <v/>
      </c>
      <c r="T37" s="79" t="str">
        <f>IF(TR_5ExemptionClaim[[#This Row],[Material Reporting Category (Exemption Claim)]]="","",(IFERROR(0*MATCH(TR_5ExemptionClaim[[#This Row],[Material Reporting Category (Exemption Claim)]],TR_2SuppliedPounds[Material Reporting Category],0),1)))</f>
        <v/>
      </c>
      <c r="U37" s="79">
        <f>IF(TR_5ExemptionClaim[[#This Row],[End Market Name]]="",0,IFERROR(MATCH(TR_5ExemptionClaim[[#This Row],[End Market Name]],TR_4EndMarkets[Lookup: material+market],0)*0,1))</f>
        <v>0</v>
      </c>
      <c r="V37" s="79">
        <f>IF(TR_5ExemptionClaim[[#This Row],[Subcheck: unique]]="",0,IF(COUNTIFS(TR_5ExemptionClaim[Subcheck: unique left],TR_5ExemptionClaim[[#This Row],[Subcheck: unique left]],TR_5ExemptionClaim[Subcheck: unique right],TR_5ExemptionClaim[[#This Row],[Subcheck: unique right]])&gt;1,1,0))</f>
        <v>0</v>
      </c>
      <c r="W3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7" s="79">
        <f>IF(TR_5ExemptionClaim[[#This Row],[Material Reporting Category (Exemption Claim)]]=0,0,IF(SUM(TR_5ExemptionClaim[[#This Row],[Subcheck: minimum entry]:[Subcheck: missing CRPF info]])=0,0,1))</f>
        <v>0</v>
      </c>
      <c r="Y37" s="79">
        <f>IF(TR_5ExemptionClaim[[#This Row],[Material Reporting Category (Exemption Claim)]]&lt;&gt;"",0,TR_5ExemptionClaim[[#This Row],[Subcheck: any inputs in row]])</f>
        <v>0</v>
      </c>
      <c r="Z37" s="79">
        <f>IF(TR_5ExemptionClaim[[#This Row],[How many of the pounds recycled through this pathway were supplied by this producer?]]&gt;TR_5ExemptionClaim[[#This Row],[Pounds Recycled through this Pathway]],1,0)</f>
        <v>0</v>
      </c>
      <c r="AA3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7" s="79">
        <f>IF(TR_5ExemptionClaim[[#This Row],[Collection Company Type (autofill)]]&lt;&gt;Lookups!$K$13,0,IF(TR_5ExemptionClaim[[#This Row],[If the collector is OTR, was the service provided under OTR?]]&lt;&gt;"",0,1))</f>
        <v>0</v>
      </c>
      <c r="AF37" s="79">
        <f>IF(TR_5ExemptionClaim[[#This Row],[Did a CRPF ever handle the material before it reached the end market?]]&lt;&gt;"Yes",0,IF(COUNTA(TR_5ExemptionClaim[[#This Row],[CRPF name]:[CRPF Separation Ineligibility Warning]])=3,0,1))</f>
        <v>0</v>
      </c>
      <c r="AG3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7" s="77" t="str">
        <f>LEFT(TR_5ExemptionClaim[[#This Row],[Subcheck: unique]],250)</f>
        <v/>
      </c>
      <c r="AI37" s="77" t="str">
        <f>RIGHT(TR_5ExemptionClaim[[#This Row],[Subcheck: unique]],250)</f>
        <v/>
      </c>
      <c r="AJ37" s="77">
        <f>IF(OR(TR_5ExemptionClaim[[#This Row],[Check: collection ineligibility]]="Not Eligible",TR_5ExemptionClaim[[#This Row],[Check: CRPF non-separation ineligibility]]="Not Eligible",SUM(TR_5ExemptionClaim[[#This Row],[Check: end market does not exist]:[Check pounds (Third Party Substantiated)]])&gt;0),0,1)</f>
        <v>1</v>
      </c>
      <c r="AK37" s="78" t="str">
        <f>IF(TR_5ExemptionClaim[[#This Row],[Did this producer arrange for the recycling collection?]]="No",TR_5ExemptionClaim[[#This Row],[ID_EC]],"")</f>
        <v/>
      </c>
      <c r="AL37" s="80" t="str">
        <f t="shared" si="0"/>
        <v/>
      </c>
      <c r="AM37" s="80" t="str">
        <f>IFERROR(INDEX(TR_2SuppliedPounds[DEQ 2B Notes],MATCH(TR_5ExemptionClaim[[#This Row],[Material Reporting Category (Exemption Claim)]],TR_2SuppliedPounds[Material Reporting Category],0)),"")</f>
        <v/>
      </c>
      <c r="AN37" s="80" t="str">
        <f>IFERROR(INDEX(TR_3Collectors[DEQ 3B Notes],MATCH(TR_5ExemptionClaim[[#This Row],[Collection or Transportation Service Provider Name]],TR_3Collectors[Collection or Transportation Service Provider Name],0)),"")</f>
        <v/>
      </c>
      <c r="AO37" s="80" t="str">
        <f>IFERROR(INDEX(TR_4EndMarkets[DEQ 4B Notes],MATCH(TR_5ExemptionClaim[[#This Row],[End Market Name]],TR_4EndMarkets[Lookup: material+market],0)),"")</f>
        <v/>
      </c>
      <c r="AP37" s="81" t="str">
        <f>IFERROR(INDEX(TR_6RecyclingArranger[DEQ 6B Notes],MATCH(TR_5ExemptionClaim[[#This Row],[ID_EC]],TR_6RecyclingArranger[ID_EC],0)),"")</f>
        <v/>
      </c>
      <c r="AQ37" s="81">
        <f>SUMIFS(TR_6RecyclingArranger[DEQ 6B Eligible Pounds],TR_6RecyclingArranger[ID_EC],TR_5ExemptionClaim[[#This Row],[ID_EC]])</f>
        <v>0</v>
      </c>
      <c r="AR37" s="40"/>
      <c r="AS37" s="58"/>
    </row>
    <row r="38" spans="1:45" ht="30" customHeight="1" x14ac:dyDescent="0.2">
      <c r="A38" s="82" t="s">
        <v>952</v>
      </c>
      <c r="B38" s="46"/>
      <c r="C38" s="45"/>
      <c r="D38" s="45"/>
      <c r="E38" s="74"/>
      <c r="F3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8" s="47"/>
      <c r="H3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8" s="74"/>
      <c r="J38" s="75" t="str">
        <f>IF(TR_5ExemptionClaim[[#This Row],[If the collector is OTR, was the service provided under OTR?]]="Yes","Warning: Material collected under OTR service is not eligible for exemption.","")</f>
        <v/>
      </c>
      <c r="K38" s="47"/>
      <c r="L38" s="76"/>
      <c r="M38" s="47"/>
      <c r="N38" s="76"/>
      <c r="O38" s="104" t="str">
        <f>IF(TR_5ExemptionClaim[[#This Row],[If a CRPF handled the material, did the material undergo separation from other materials at the CRPF?]]="Yes","Warning: Material separated at a CRPF is not eligible for exemption.","")</f>
        <v/>
      </c>
      <c r="P38" s="47"/>
      <c r="Q38" s="47"/>
      <c r="R38" s="77" t="str">
        <f>IF(TR_5ExemptionClaim[[#This Row],[If the collector is OTR, was the service provided under OTR?]]="Yes","Not Eligible","")</f>
        <v/>
      </c>
      <c r="S38" s="77" t="str">
        <f>IF(TR_5ExemptionClaim[[#This Row],[If a CRPF handled the material, did the material undergo separation from other materials at the CRPF?]]="Yes","Not Eligible","")</f>
        <v/>
      </c>
      <c r="T38" s="79" t="str">
        <f>IF(TR_5ExemptionClaim[[#This Row],[Material Reporting Category (Exemption Claim)]]="","",(IFERROR(0*MATCH(TR_5ExemptionClaim[[#This Row],[Material Reporting Category (Exemption Claim)]],TR_2SuppliedPounds[Material Reporting Category],0),1)))</f>
        <v/>
      </c>
      <c r="U38" s="79">
        <f>IF(TR_5ExemptionClaim[[#This Row],[End Market Name]]="",0,IFERROR(MATCH(TR_5ExemptionClaim[[#This Row],[End Market Name]],TR_4EndMarkets[Lookup: material+market],0)*0,1))</f>
        <v>0</v>
      </c>
      <c r="V38" s="79">
        <f>IF(TR_5ExemptionClaim[[#This Row],[Subcheck: unique]]="",0,IF(COUNTIFS(TR_5ExemptionClaim[Subcheck: unique left],TR_5ExemptionClaim[[#This Row],[Subcheck: unique left]],TR_5ExemptionClaim[Subcheck: unique right],TR_5ExemptionClaim[[#This Row],[Subcheck: unique right]])&gt;1,1,0))</f>
        <v>0</v>
      </c>
      <c r="W3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8" s="79">
        <f>IF(TR_5ExemptionClaim[[#This Row],[Material Reporting Category (Exemption Claim)]]=0,0,IF(SUM(TR_5ExemptionClaim[[#This Row],[Subcheck: minimum entry]:[Subcheck: missing CRPF info]])=0,0,1))</f>
        <v>0</v>
      </c>
      <c r="Y38" s="79">
        <f>IF(TR_5ExemptionClaim[[#This Row],[Material Reporting Category (Exemption Claim)]]&lt;&gt;"",0,TR_5ExemptionClaim[[#This Row],[Subcheck: any inputs in row]])</f>
        <v>0</v>
      </c>
      <c r="Z38" s="79">
        <f>IF(TR_5ExemptionClaim[[#This Row],[How many of the pounds recycled through this pathway were supplied by this producer?]]&gt;TR_5ExemptionClaim[[#This Row],[Pounds Recycled through this Pathway]],1,0)</f>
        <v>0</v>
      </c>
      <c r="AA3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8" s="79">
        <f>IF(TR_5ExemptionClaim[[#This Row],[Collection Company Type (autofill)]]&lt;&gt;Lookups!$K$13,0,IF(TR_5ExemptionClaim[[#This Row],[If the collector is OTR, was the service provided under OTR?]]&lt;&gt;"",0,1))</f>
        <v>0</v>
      </c>
      <c r="AF38" s="79">
        <f>IF(TR_5ExemptionClaim[[#This Row],[Did a CRPF ever handle the material before it reached the end market?]]&lt;&gt;"Yes",0,IF(COUNTA(TR_5ExemptionClaim[[#This Row],[CRPF name]:[CRPF Separation Ineligibility Warning]])=3,0,1))</f>
        <v>0</v>
      </c>
      <c r="AG3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8" s="77" t="str">
        <f>LEFT(TR_5ExemptionClaim[[#This Row],[Subcheck: unique]],250)</f>
        <v/>
      </c>
      <c r="AI38" s="77" t="str">
        <f>RIGHT(TR_5ExemptionClaim[[#This Row],[Subcheck: unique]],250)</f>
        <v/>
      </c>
      <c r="AJ38" s="77">
        <f>IF(OR(TR_5ExemptionClaim[[#This Row],[Check: collection ineligibility]]="Not Eligible",TR_5ExemptionClaim[[#This Row],[Check: CRPF non-separation ineligibility]]="Not Eligible",SUM(TR_5ExemptionClaim[[#This Row],[Check: end market does not exist]:[Check pounds (Third Party Substantiated)]])&gt;0),0,1)</f>
        <v>1</v>
      </c>
      <c r="AK38" s="78" t="str">
        <f>IF(TR_5ExemptionClaim[[#This Row],[Did this producer arrange for the recycling collection?]]="No",TR_5ExemptionClaim[[#This Row],[ID_EC]],"")</f>
        <v/>
      </c>
      <c r="AL38" s="80" t="str">
        <f t="shared" ref="AL38:AL69" si="1">IF(DR_ProducerID=0,"",DR_ProducerID)</f>
        <v/>
      </c>
      <c r="AM38" s="80" t="str">
        <f>IFERROR(INDEX(TR_2SuppliedPounds[DEQ 2B Notes],MATCH(TR_5ExemptionClaim[[#This Row],[Material Reporting Category (Exemption Claim)]],TR_2SuppliedPounds[Material Reporting Category],0)),"")</f>
        <v/>
      </c>
      <c r="AN38" s="80" t="str">
        <f>IFERROR(INDEX(TR_3Collectors[DEQ 3B Notes],MATCH(TR_5ExemptionClaim[[#This Row],[Collection or Transportation Service Provider Name]],TR_3Collectors[Collection or Transportation Service Provider Name],0)),"")</f>
        <v/>
      </c>
      <c r="AO38" s="80" t="str">
        <f>IFERROR(INDEX(TR_4EndMarkets[DEQ 4B Notes],MATCH(TR_5ExemptionClaim[[#This Row],[End Market Name]],TR_4EndMarkets[Lookup: material+market],0)),"")</f>
        <v/>
      </c>
      <c r="AP38" s="81" t="str">
        <f>IFERROR(INDEX(TR_6RecyclingArranger[DEQ 6B Notes],MATCH(TR_5ExemptionClaim[[#This Row],[ID_EC]],TR_6RecyclingArranger[ID_EC],0)),"")</f>
        <v/>
      </c>
      <c r="AQ38" s="81">
        <f>SUMIFS(TR_6RecyclingArranger[DEQ 6B Eligible Pounds],TR_6RecyclingArranger[ID_EC],TR_5ExemptionClaim[[#This Row],[ID_EC]])</f>
        <v>0</v>
      </c>
      <c r="AR38" s="40"/>
      <c r="AS38" s="58"/>
    </row>
    <row r="39" spans="1:45" ht="30" customHeight="1" x14ac:dyDescent="0.2">
      <c r="A39" s="82" t="s">
        <v>953</v>
      </c>
      <c r="B39" s="46"/>
      <c r="C39" s="45"/>
      <c r="D39" s="45"/>
      <c r="E39" s="74"/>
      <c r="F3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39" s="47"/>
      <c r="H3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39" s="74"/>
      <c r="J39" s="75" t="str">
        <f>IF(TR_5ExemptionClaim[[#This Row],[If the collector is OTR, was the service provided under OTR?]]="Yes","Warning: Material collected under OTR service is not eligible for exemption.","")</f>
        <v/>
      </c>
      <c r="K39" s="47"/>
      <c r="L39" s="76"/>
      <c r="M39" s="47"/>
      <c r="N39" s="76"/>
      <c r="O39" s="104" t="str">
        <f>IF(TR_5ExemptionClaim[[#This Row],[If a CRPF handled the material, did the material undergo separation from other materials at the CRPF?]]="Yes","Warning: Material separated at a CRPF is not eligible for exemption.","")</f>
        <v/>
      </c>
      <c r="P39" s="47"/>
      <c r="Q39" s="47"/>
      <c r="R39" s="77" t="str">
        <f>IF(TR_5ExemptionClaim[[#This Row],[If the collector is OTR, was the service provided under OTR?]]="Yes","Not Eligible","")</f>
        <v/>
      </c>
      <c r="S39" s="77" t="str">
        <f>IF(TR_5ExemptionClaim[[#This Row],[If a CRPF handled the material, did the material undergo separation from other materials at the CRPF?]]="Yes","Not Eligible","")</f>
        <v/>
      </c>
      <c r="T39" s="79" t="str">
        <f>IF(TR_5ExemptionClaim[[#This Row],[Material Reporting Category (Exemption Claim)]]="","",(IFERROR(0*MATCH(TR_5ExemptionClaim[[#This Row],[Material Reporting Category (Exemption Claim)]],TR_2SuppliedPounds[Material Reporting Category],0),1)))</f>
        <v/>
      </c>
      <c r="U39" s="79">
        <f>IF(TR_5ExemptionClaim[[#This Row],[End Market Name]]="",0,IFERROR(MATCH(TR_5ExemptionClaim[[#This Row],[End Market Name]],TR_4EndMarkets[Lookup: material+market],0)*0,1))</f>
        <v>0</v>
      </c>
      <c r="V39" s="79">
        <f>IF(TR_5ExemptionClaim[[#This Row],[Subcheck: unique]]="",0,IF(COUNTIFS(TR_5ExemptionClaim[Subcheck: unique left],TR_5ExemptionClaim[[#This Row],[Subcheck: unique left]],TR_5ExemptionClaim[Subcheck: unique right],TR_5ExemptionClaim[[#This Row],[Subcheck: unique right]])&gt;1,1,0))</f>
        <v>0</v>
      </c>
      <c r="W3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39" s="79">
        <f>IF(TR_5ExemptionClaim[[#This Row],[Material Reporting Category (Exemption Claim)]]=0,0,IF(SUM(TR_5ExemptionClaim[[#This Row],[Subcheck: minimum entry]:[Subcheck: missing CRPF info]])=0,0,1))</f>
        <v>0</v>
      </c>
      <c r="Y39" s="79">
        <f>IF(TR_5ExemptionClaim[[#This Row],[Material Reporting Category (Exemption Claim)]]&lt;&gt;"",0,TR_5ExemptionClaim[[#This Row],[Subcheck: any inputs in row]])</f>
        <v>0</v>
      </c>
      <c r="Z39" s="79">
        <f>IF(TR_5ExemptionClaim[[#This Row],[How many of the pounds recycled through this pathway were supplied by this producer?]]&gt;TR_5ExemptionClaim[[#This Row],[Pounds Recycled through this Pathway]],1,0)</f>
        <v>0</v>
      </c>
      <c r="AA3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3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3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3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39" s="79">
        <f>IF(TR_5ExemptionClaim[[#This Row],[Collection Company Type (autofill)]]&lt;&gt;Lookups!$K$13,0,IF(TR_5ExemptionClaim[[#This Row],[If the collector is OTR, was the service provided under OTR?]]&lt;&gt;"",0,1))</f>
        <v>0</v>
      </c>
      <c r="AF39" s="79">
        <f>IF(TR_5ExemptionClaim[[#This Row],[Did a CRPF ever handle the material before it reached the end market?]]&lt;&gt;"Yes",0,IF(COUNTA(TR_5ExemptionClaim[[#This Row],[CRPF name]:[CRPF Separation Ineligibility Warning]])=3,0,1))</f>
        <v>0</v>
      </c>
      <c r="AG3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39" s="77" t="str">
        <f>LEFT(TR_5ExemptionClaim[[#This Row],[Subcheck: unique]],250)</f>
        <v/>
      </c>
      <c r="AI39" s="77" t="str">
        <f>RIGHT(TR_5ExemptionClaim[[#This Row],[Subcheck: unique]],250)</f>
        <v/>
      </c>
      <c r="AJ39" s="77">
        <f>IF(OR(TR_5ExemptionClaim[[#This Row],[Check: collection ineligibility]]="Not Eligible",TR_5ExemptionClaim[[#This Row],[Check: CRPF non-separation ineligibility]]="Not Eligible",SUM(TR_5ExemptionClaim[[#This Row],[Check: end market does not exist]:[Check pounds (Third Party Substantiated)]])&gt;0),0,1)</f>
        <v>1</v>
      </c>
      <c r="AK39" s="78" t="str">
        <f>IF(TR_5ExemptionClaim[[#This Row],[Did this producer arrange for the recycling collection?]]="No",TR_5ExemptionClaim[[#This Row],[ID_EC]],"")</f>
        <v/>
      </c>
      <c r="AL39" s="80" t="str">
        <f t="shared" si="1"/>
        <v/>
      </c>
      <c r="AM39" s="80" t="str">
        <f>IFERROR(INDEX(TR_2SuppliedPounds[DEQ 2B Notes],MATCH(TR_5ExemptionClaim[[#This Row],[Material Reporting Category (Exemption Claim)]],TR_2SuppliedPounds[Material Reporting Category],0)),"")</f>
        <v/>
      </c>
      <c r="AN39" s="80" t="str">
        <f>IFERROR(INDEX(TR_3Collectors[DEQ 3B Notes],MATCH(TR_5ExemptionClaim[[#This Row],[Collection or Transportation Service Provider Name]],TR_3Collectors[Collection or Transportation Service Provider Name],0)),"")</f>
        <v/>
      </c>
      <c r="AO39" s="80" t="str">
        <f>IFERROR(INDEX(TR_4EndMarkets[DEQ 4B Notes],MATCH(TR_5ExemptionClaim[[#This Row],[End Market Name]],TR_4EndMarkets[Lookup: material+market],0)),"")</f>
        <v/>
      </c>
      <c r="AP39" s="81" t="str">
        <f>IFERROR(INDEX(TR_6RecyclingArranger[DEQ 6B Notes],MATCH(TR_5ExemptionClaim[[#This Row],[ID_EC]],TR_6RecyclingArranger[ID_EC],0)),"")</f>
        <v/>
      </c>
      <c r="AQ39" s="81">
        <f>SUMIFS(TR_6RecyclingArranger[DEQ 6B Eligible Pounds],TR_6RecyclingArranger[ID_EC],TR_5ExemptionClaim[[#This Row],[ID_EC]])</f>
        <v>0</v>
      </c>
      <c r="AR39" s="40"/>
      <c r="AS39" s="58"/>
    </row>
    <row r="40" spans="1:45" ht="30" customHeight="1" x14ac:dyDescent="0.2">
      <c r="A40" s="82" t="s">
        <v>954</v>
      </c>
      <c r="B40" s="46"/>
      <c r="C40" s="45"/>
      <c r="D40" s="45"/>
      <c r="E40" s="74"/>
      <c r="F4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0" s="47"/>
      <c r="H4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0" s="74"/>
      <c r="J40" s="75" t="str">
        <f>IF(TR_5ExemptionClaim[[#This Row],[If the collector is OTR, was the service provided under OTR?]]="Yes","Warning: Material collected under OTR service is not eligible for exemption.","")</f>
        <v/>
      </c>
      <c r="K40" s="47"/>
      <c r="L40" s="76"/>
      <c r="M40" s="47"/>
      <c r="N40" s="76"/>
      <c r="O40" s="104" t="str">
        <f>IF(TR_5ExemptionClaim[[#This Row],[If a CRPF handled the material, did the material undergo separation from other materials at the CRPF?]]="Yes","Warning: Material separated at a CRPF is not eligible for exemption.","")</f>
        <v/>
      </c>
      <c r="P40" s="47"/>
      <c r="Q40" s="47"/>
      <c r="R40" s="77" t="str">
        <f>IF(TR_5ExemptionClaim[[#This Row],[If the collector is OTR, was the service provided under OTR?]]="Yes","Not Eligible","")</f>
        <v/>
      </c>
      <c r="S40" s="77" t="str">
        <f>IF(TR_5ExemptionClaim[[#This Row],[If a CRPF handled the material, did the material undergo separation from other materials at the CRPF?]]="Yes","Not Eligible","")</f>
        <v/>
      </c>
      <c r="T40" s="79" t="str">
        <f>IF(TR_5ExemptionClaim[[#This Row],[Material Reporting Category (Exemption Claim)]]="","",(IFERROR(0*MATCH(TR_5ExemptionClaim[[#This Row],[Material Reporting Category (Exemption Claim)]],TR_2SuppliedPounds[Material Reporting Category],0),1)))</f>
        <v/>
      </c>
      <c r="U40" s="79">
        <f>IF(TR_5ExemptionClaim[[#This Row],[End Market Name]]="",0,IFERROR(MATCH(TR_5ExemptionClaim[[#This Row],[End Market Name]],TR_4EndMarkets[Lookup: material+market],0)*0,1))</f>
        <v>0</v>
      </c>
      <c r="V40" s="79">
        <f>IF(TR_5ExemptionClaim[[#This Row],[Subcheck: unique]]="",0,IF(COUNTIFS(TR_5ExemptionClaim[Subcheck: unique left],TR_5ExemptionClaim[[#This Row],[Subcheck: unique left]],TR_5ExemptionClaim[Subcheck: unique right],TR_5ExemptionClaim[[#This Row],[Subcheck: unique right]])&gt;1,1,0))</f>
        <v>0</v>
      </c>
      <c r="W4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0" s="79">
        <f>IF(TR_5ExemptionClaim[[#This Row],[Material Reporting Category (Exemption Claim)]]=0,0,IF(SUM(TR_5ExemptionClaim[[#This Row],[Subcheck: minimum entry]:[Subcheck: missing CRPF info]])=0,0,1))</f>
        <v>0</v>
      </c>
      <c r="Y40" s="79">
        <f>IF(TR_5ExemptionClaim[[#This Row],[Material Reporting Category (Exemption Claim)]]&lt;&gt;"",0,TR_5ExemptionClaim[[#This Row],[Subcheck: any inputs in row]])</f>
        <v>0</v>
      </c>
      <c r="Z40" s="79">
        <f>IF(TR_5ExemptionClaim[[#This Row],[How many of the pounds recycled through this pathway were supplied by this producer?]]&gt;TR_5ExemptionClaim[[#This Row],[Pounds Recycled through this Pathway]],1,0)</f>
        <v>0</v>
      </c>
      <c r="AA4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0" s="79">
        <f>IF(TR_5ExemptionClaim[[#This Row],[Collection Company Type (autofill)]]&lt;&gt;Lookups!$K$13,0,IF(TR_5ExemptionClaim[[#This Row],[If the collector is OTR, was the service provided under OTR?]]&lt;&gt;"",0,1))</f>
        <v>0</v>
      </c>
      <c r="AF40" s="79">
        <f>IF(TR_5ExemptionClaim[[#This Row],[Did a CRPF ever handle the material before it reached the end market?]]&lt;&gt;"Yes",0,IF(COUNTA(TR_5ExemptionClaim[[#This Row],[CRPF name]:[CRPF Separation Ineligibility Warning]])=3,0,1))</f>
        <v>0</v>
      </c>
      <c r="AG4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0" s="77" t="str">
        <f>LEFT(TR_5ExemptionClaim[[#This Row],[Subcheck: unique]],250)</f>
        <v/>
      </c>
      <c r="AI40" s="77" t="str">
        <f>RIGHT(TR_5ExemptionClaim[[#This Row],[Subcheck: unique]],250)</f>
        <v/>
      </c>
      <c r="AJ40" s="77">
        <f>IF(OR(TR_5ExemptionClaim[[#This Row],[Check: collection ineligibility]]="Not Eligible",TR_5ExemptionClaim[[#This Row],[Check: CRPF non-separation ineligibility]]="Not Eligible",SUM(TR_5ExemptionClaim[[#This Row],[Check: end market does not exist]:[Check pounds (Third Party Substantiated)]])&gt;0),0,1)</f>
        <v>1</v>
      </c>
      <c r="AK40" s="78" t="str">
        <f>IF(TR_5ExemptionClaim[[#This Row],[Did this producer arrange for the recycling collection?]]="No",TR_5ExemptionClaim[[#This Row],[ID_EC]],"")</f>
        <v/>
      </c>
      <c r="AL40" s="80" t="str">
        <f t="shared" si="1"/>
        <v/>
      </c>
      <c r="AM40" s="80" t="str">
        <f>IFERROR(INDEX(TR_2SuppliedPounds[DEQ 2B Notes],MATCH(TR_5ExemptionClaim[[#This Row],[Material Reporting Category (Exemption Claim)]],TR_2SuppliedPounds[Material Reporting Category],0)),"")</f>
        <v/>
      </c>
      <c r="AN40" s="80" t="str">
        <f>IFERROR(INDEX(TR_3Collectors[DEQ 3B Notes],MATCH(TR_5ExemptionClaim[[#This Row],[Collection or Transportation Service Provider Name]],TR_3Collectors[Collection or Transportation Service Provider Name],0)),"")</f>
        <v/>
      </c>
      <c r="AO40" s="80" t="str">
        <f>IFERROR(INDEX(TR_4EndMarkets[DEQ 4B Notes],MATCH(TR_5ExemptionClaim[[#This Row],[End Market Name]],TR_4EndMarkets[Lookup: material+market],0)),"")</f>
        <v/>
      </c>
      <c r="AP40" s="81" t="str">
        <f>IFERROR(INDEX(TR_6RecyclingArranger[DEQ 6B Notes],MATCH(TR_5ExemptionClaim[[#This Row],[ID_EC]],TR_6RecyclingArranger[ID_EC],0)),"")</f>
        <v/>
      </c>
      <c r="AQ40" s="81">
        <f>SUMIFS(TR_6RecyclingArranger[DEQ 6B Eligible Pounds],TR_6RecyclingArranger[ID_EC],TR_5ExemptionClaim[[#This Row],[ID_EC]])</f>
        <v>0</v>
      </c>
      <c r="AR40" s="40"/>
      <c r="AS40" s="58"/>
    </row>
    <row r="41" spans="1:45" ht="30" customHeight="1" x14ac:dyDescent="0.2">
      <c r="A41" s="82" t="s">
        <v>955</v>
      </c>
      <c r="B41" s="46"/>
      <c r="C41" s="45"/>
      <c r="D41" s="45"/>
      <c r="E41" s="74"/>
      <c r="F4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1" s="47"/>
      <c r="H4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1" s="74"/>
      <c r="J41" s="75" t="str">
        <f>IF(TR_5ExemptionClaim[[#This Row],[If the collector is OTR, was the service provided under OTR?]]="Yes","Warning: Material collected under OTR service is not eligible for exemption.","")</f>
        <v/>
      </c>
      <c r="K41" s="47"/>
      <c r="L41" s="76"/>
      <c r="M41" s="47"/>
      <c r="N41" s="76"/>
      <c r="O41" s="104" t="str">
        <f>IF(TR_5ExemptionClaim[[#This Row],[If a CRPF handled the material, did the material undergo separation from other materials at the CRPF?]]="Yes","Warning: Material separated at a CRPF is not eligible for exemption.","")</f>
        <v/>
      </c>
      <c r="P41" s="47"/>
      <c r="Q41" s="47"/>
      <c r="R41" s="77" t="str">
        <f>IF(TR_5ExemptionClaim[[#This Row],[If the collector is OTR, was the service provided under OTR?]]="Yes","Not Eligible","")</f>
        <v/>
      </c>
      <c r="S41" s="77" t="str">
        <f>IF(TR_5ExemptionClaim[[#This Row],[If a CRPF handled the material, did the material undergo separation from other materials at the CRPF?]]="Yes","Not Eligible","")</f>
        <v/>
      </c>
      <c r="T41" s="79" t="str">
        <f>IF(TR_5ExemptionClaim[[#This Row],[Material Reporting Category (Exemption Claim)]]="","",(IFERROR(0*MATCH(TR_5ExemptionClaim[[#This Row],[Material Reporting Category (Exemption Claim)]],TR_2SuppliedPounds[Material Reporting Category],0),1)))</f>
        <v/>
      </c>
      <c r="U41" s="79">
        <f>IF(TR_5ExemptionClaim[[#This Row],[End Market Name]]="",0,IFERROR(MATCH(TR_5ExemptionClaim[[#This Row],[End Market Name]],TR_4EndMarkets[Lookup: material+market],0)*0,1))</f>
        <v>0</v>
      </c>
      <c r="V41" s="79">
        <f>IF(TR_5ExemptionClaim[[#This Row],[Subcheck: unique]]="",0,IF(COUNTIFS(TR_5ExemptionClaim[Subcheck: unique left],TR_5ExemptionClaim[[#This Row],[Subcheck: unique left]],TR_5ExemptionClaim[Subcheck: unique right],TR_5ExemptionClaim[[#This Row],[Subcheck: unique right]])&gt;1,1,0))</f>
        <v>0</v>
      </c>
      <c r="W4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1" s="79">
        <f>IF(TR_5ExemptionClaim[[#This Row],[Material Reporting Category (Exemption Claim)]]=0,0,IF(SUM(TR_5ExemptionClaim[[#This Row],[Subcheck: minimum entry]:[Subcheck: missing CRPF info]])=0,0,1))</f>
        <v>0</v>
      </c>
      <c r="Y41" s="79">
        <f>IF(TR_5ExemptionClaim[[#This Row],[Material Reporting Category (Exemption Claim)]]&lt;&gt;"",0,TR_5ExemptionClaim[[#This Row],[Subcheck: any inputs in row]])</f>
        <v>0</v>
      </c>
      <c r="Z41" s="79">
        <f>IF(TR_5ExemptionClaim[[#This Row],[How many of the pounds recycled through this pathway were supplied by this producer?]]&gt;TR_5ExemptionClaim[[#This Row],[Pounds Recycled through this Pathway]],1,0)</f>
        <v>0</v>
      </c>
      <c r="AA4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1" s="79">
        <f>IF(TR_5ExemptionClaim[[#This Row],[Collection Company Type (autofill)]]&lt;&gt;Lookups!$K$13,0,IF(TR_5ExemptionClaim[[#This Row],[If the collector is OTR, was the service provided under OTR?]]&lt;&gt;"",0,1))</f>
        <v>0</v>
      </c>
      <c r="AF41" s="79">
        <f>IF(TR_5ExemptionClaim[[#This Row],[Did a CRPF ever handle the material before it reached the end market?]]&lt;&gt;"Yes",0,IF(COUNTA(TR_5ExemptionClaim[[#This Row],[CRPF name]:[CRPF Separation Ineligibility Warning]])=3,0,1))</f>
        <v>0</v>
      </c>
      <c r="AG4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1" s="77" t="str">
        <f>LEFT(TR_5ExemptionClaim[[#This Row],[Subcheck: unique]],250)</f>
        <v/>
      </c>
      <c r="AI41" s="77" t="str">
        <f>RIGHT(TR_5ExemptionClaim[[#This Row],[Subcheck: unique]],250)</f>
        <v/>
      </c>
      <c r="AJ41" s="77">
        <f>IF(OR(TR_5ExemptionClaim[[#This Row],[Check: collection ineligibility]]="Not Eligible",TR_5ExemptionClaim[[#This Row],[Check: CRPF non-separation ineligibility]]="Not Eligible",SUM(TR_5ExemptionClaim[[#This Row],[Check: end market does not exist]:[Check pounds (Third Party Substantiated)]])&gt;0),0,1)</f>
        <v>1</v>
      </c>
      <c r="AK41" s="78" t="str">
        <f>IF(TR_5ExemptionClaim[[#This Row],[Did this producer arrange for the recycling collection?]]="No",TR_5ExemptionClaim[[#This Row],[ID_EC]],"")</f>
        <v/>
      </c>
      <c r="AL41" s="80" t="str">
        <f t="shared" si="1"/>
        <v/>
      </c>
      <c r="AM41" s="80" t="str">
        <f>IFERROR(INDEX(TR_2SuppliedPounds[DEQ 2B Notes],MATCH(TR_5ExemptionClaim[[#This Row],[Material Reporting Category (Exemption Claim)]],TR_2SuppliedPounds[Material Reporting Category],0)),"")</f>
        <v/>
      </c>
      <c r="AN41" s="80" t="str">
        <f>IFERROR(INDEX(TR_3Collectors[DEQ 3B Notes],MATCH(TR_5ExemptionClaim[[#This Row],[Collection or Transportation Service Provider Name]],TR_3Collectors[Collection or Transportation Service Provider Name],0)),"")</f>
        <v/>
      </c>
      <c r="AO41" s="80" t="str">
        <f>IFERROR(INDEX(TR_4EndMarkets[DEQ 4B Notes],MATCH(TR_5ExemptionClaim[[#This Row],[End Market Name]],TR_4EndMarkets[Lookup: material+market],0)),"")</f>
        <v/>
      </c>
      <c r="AP41" s="81" t="str">
        <f>IFERROR(INDEX(TR_6RecyclingArranger[DEQ 6B Notes],MATCH(TR_5ExemptionClaim[[#This Row],[ID_EC]],TR_6RecyclingArranger[ID_EC],0)),"")</f>
        <v/>
      </c>
      <c r="AQ41" s="81">
        <f>SUMIFS(TR_6RecyclingArranger[DEQ 6B Eligible Pounds],TR_6RecyclingArranger[ID_EC],TR_5ExemptionClaim[[#This Row],[ID_EC]])</f>
        <v>0</v>
      </c>
      <c r="AR41" s="40"/>
      <c r="AS41" s="58"/>
    </row>
    <row r="42" spans="1:45" ht="30" customHeight="1" x14ac:dyDescent="0.2">
      <c r="A42" s="82" t="s">
        <v>956</v>
      </c>
      <c r="B42" s="46"/>
      <c r="C42" s="45"/>
      <c r="D42" s="45"/>
      <c r="E42" s="74"/>
      <c r="F4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2" s="47"/>
      <c r="H4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2" s="74"/>
      <c r="J42" s="75" t="str">
        <f>IF(TR_5ExemptionClaim[[#This Row],[If the collector is OTR, was the service provided under OTR?]]="Yes","Warning: Material collected under OTR service is not eligible for exemption.","")</f>
        <v/>
      </c>
      <c r="K42" s="47"/>
      <c r="L42" s="76"/>
      <c r="M42" s="47"/>
      <c r="N42" s="76"/>
      <c r="O42" s="104" t="str">
        <f>IF(TR_5ExemptionClaim[[#This Row],[If a CRPF handled the material, did the material undergo separation from other materials at the CRPF?]]="Yes","Warning: Material separated at a CRPF is not eligible for exemption.","")</f>
        <v/>
      </c>
      <c r="P42" s="47"/>
      <c r="Q42" s="47"/>
      <c r="R42" s="77" t="str">
        <f>IF(TR_5ExemptionClaim[[#This Row],[If the collector is OTR, was the service provided under OTR?]]="Yes","Not Eligible","")</f>
        <v/>
      </c>
      <c r="S42" s="77" t="str">
        <f>IF(TR_5ExemptionClaim[[#This Row],[If a CRPF handled the material, did the material undergo separation from other materials at the CRPF?]]="Yes","Not Eligible","")</f>
        <v/>
      </c>
      <c r="T42" s="79" t="str">
        <f>IF(TR_5ExemptionClaim[[#This Row],[Material Reporting Category (Exemption Claim)]]="","",(IFERROR(0*MATCH(TR_5ExemptionClaim[[#This Row],[Material Reporting Category (Exemption Claim)]],TR_2SuppliedPounds[Material Reporting Category],0),1)))</f>
        <v/>
      </c>
      <c r="U42" s="79">
        <f>IF(TR_5ExemptionClaim[[#This Row],[End Market Name]]="",0,IFERROR(MATCH(TR_5ExemptionClaim[[#This Row],[End Market Name]],TR_4EndMarkets[Lookup: material+market],0)*0,1))</f>
        <v>0</v>
      </c>
      <c r="V42" s="79">
        <f>IF(TR_5ExemptionClaim[[#This Row],[Subcheck: unique]]="",0,IF(COUNTIFS(TR_5ExemptionClaim[Subcheck: unique left],TR_5ExemptionClaim[[#This Row],[Subcheck: unique left]],TR_5ExemptionClaim[Subcheck: unique right],TR_5ExemptionClaim[[#This Row],[Subcheck: unique right]])&gt;1,1,0))</f>
        <v>0</v>
      </c>
      <c r="W4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2" s="79">
        <f>IF(TR_5ExemptionClaim[[#This Row],[Material Reporting Category (Exemption Claim)]]=0,0,IF(SUM(TR_5ExemptionClaim[[#This Row],[Subcheck: minimum entry]:[Subcheck: missing CRPF info]])=0,0,1))</f>
        <v>0</v>
      </c>
      <c r="Y42" s="79">
        <f>IF(TR_5ExemptionClaim[[#This Row],[Material Reporting Category (Exemption Claim)]]&lt;&gt;"",0,TR_5ExemptionClaim[[#This Row],[Subcheck: any inputs in row]])</f>
        <v>0</v>
      </c>
      <c r="Z42" s="79">
        <f>IF(TR_5ExemptionClaim[[#This Row],[How many of the pounds recycled through this pathway were supplied by this producer?]]&gt;TR_5ExemptionClaim[[#This Row],[Pounds Recycled through this Pathway]],1,0)</f>
        <v>0</v>
      </c>
      <c r="AA4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2" s="79">
        <f>IF(TR_5ExemptionClaim[[#This Row],[Collection Company Type (autofill)]]&lt;&gt;Lookups!$K$13,0,IF(TR_5ExemptionClaim[[#This Row],[If the collector is OTR, was the service provided under OTR?]]&lt;&gt;"",0,1))</f>
        <v>0</v>
      </c>
      <c r="AF42" s="79">
        <f>IF(TR_5ExemptionClaim[[#This Row],[Did a CRPF ever handle the material before it reached the end market?]]&lt;&gt;"Yes",0,IF(COUNTA(TR_5ExemptionClaim[[#This Row],[CRPF name]:[CRPF Separation Ineligibility Warning]])=3,0,1))</f>
        <v>0</v>
      </c>
      <c r="AG4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2" s="77" t="str">
        <f>LEFT(TR_5ExemptionClaim[[#This Row],[Subcheck: unique]],250)</f>
        <v/>
      </c>
      <c r="AI42" s="77" t="str">
        <f>RIGHT(TR_5ExemptionClaim[[#This Row],[Subcheck: unique]],250)</f>
        <v/>
      </c>
      <c r="AJ42" s="77">
        <f>IF(OR(TR_5ExemptionClaim[[#This Row],[Check: collection ineligibility]]="Not Eligible",TR_5ExemptionClaim[[#This Row],[Check: CRPF non-separation ineligibility]]="Not Eligible",SUM(TR_5ExemptionClaim[[#This Row],[Check: end market does not exist]:[Check pounds (Third Party Substantiated)]])&gt;0),0,1)</f>
        <v>1</v>
      </c>
      <c r="AK42" s="78" t="str">
        <f>IF(TR_5ExemptionClaim[[#This Row],[Did this producer arrange for the recycling collection?]]="No",TR_5ExemptionClaim[[#This Row],[ID_EC]],"")</f>
        <v/>
      </c>
      <c r="AL42" s="80" t="str">
        <f t="shared" si="1"/>
        <v/>
      </c>
      <c r="AM42" s="80" t="str">
        <f>IFERROR(INDEX(TR_2SuppliedPounds[DEQ 2B Notes],MATCH(TR_5ExemptionClaim[[#This Row],[Material Reporting Category (Exemption Claim)]],TR_2SuppliedPounds[Material Reporting Category],0)),"")</f>
        <v/>
      </c>
      <c r="AN42" s="80" t="str">
        <f>IFERROR(INDEX(TR_3Collectors[DEQ 3B Notes],MATCH(TR_5ExemptionClaim[[#This Row],[Collection or Transportation Service Provider Name]],TR_3Collectors[Collection or Transportation Service Provider Name],0)),"")</f>
        <v/>
      </c>
      <c r="AO42" s="80" t="str">
        <f>IFERROR(INDEX(TR_4EndMarkets[DEQ 4B Notes],MATCH(TR_5ExemptionClaim[[#This Row],[End Market Name]],TR_4EndMarkets[Lookup: material+market],0)),"")</f>
        <v/>
      </c>
      <c r="AP42" s="81" t="str">
        <f>IFERROR(INDEX(TR_6RecyclingArranger[DEQ 6B Notes],MATCH(TR_5ExemptionClaim[[#This Row],[ID_EC]],TR_6RecyclingArranger[ID_EC],0)),"")</f>
        <v/>
      </c>
      <c r="AQ42" s="81">
        <f>SUMIFS(TR_6RecyclingArranger[DEQ 6B Eligible Pounds],TR_6RecyclingArranger[ID_EC],TR_5ExemptionClaim[[#This Row],[ID_EC]])</f>
        <v>0</v>
      </c>
      <c r="AR42" s="40"/>
      <c r="AS42" s="58"/>
    </row>
    <row r="43" spans="1:45" ht="30" customHeight="1" x14ac:dyDescent="0.2">
      <c r="A43" s="82" t="s">
        <v>957</v>
      </c>
      <c r="B43" s="46"/>
      <c r="C43" s="45"/>
      <c r="D43" s="45"/>
      <c r="E43" s="74"/>
      <c r="F4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3" s="47"/>
      <c r="H4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3" s="74"/>
      <c r="J43" s="75" t="str">
        <f>IF(TR_5ExemptionClaim[[#This Row],[If the collector is OTR, was the service provided under OTR?]]="Yes","Warning: Material collected under OTR service is not eligible for exemption.","")</f>
        <v/>
      </c>
      <c r="K43" s="47"/>
      <c r="L43" s="76"/>
      <c r="M43" s="47"/>
      <c r="N43" s="76"/>
      <c r="O43" s="104" t="str">
        <f>IF(TR_5ExemptionClaim[[#This Row],[If a CRPF handled the material, did the material undergo separation from other materials at the CRPF?]]="Yes","Warning: Material separated at a CRPF is not eligible for exemption.","")</f>
        <v/>
      </c>
      <c r="P43" s="47"/>
      <c r="Q43" s="47"/>
      <c r="R43" s="77" t="str">
        <f>IF(TR_5ExemptionClaim[[#This Row],[If the collector is OTR, was the service provided under OTR?]]="Yes","Not Eligible","")</f>
        <v/>
      </c>
      <c r="S43" s="77" t="str">
        <f>IF(TR_5ExemptionClaim[[#This Row],[If a CRPF handled the material, did the material undergo separation from other materials at the CRPF?]]="Yes","Not Eligible","")</f>
        <v/>
      </c>
      <c r="T43" s="79" t="str">
        <f>IF(TR_5ExemptionClaim[[#This Row],[Material Reporting Category (Exemption Claim)]]="","",(IFERROR(0*MATCH(TR_5ExemptionClaim[[#This Row],[Material Reporting Category (Exemption Claim)]],TR_2SuppliedPounds[Material Reporting Category],0),1)))</f>
        <v/>
      </c>
      <c r="U43" s="79">
        <f>IF(TR_5ExemptionClaim[[#This Row],[End Market Name]]="",0,IFERROR(MATCH(TR_5ExemptionClaim[[#This Row],[End Market Name]],TR_4EndMarkets[Lookup: material+market],0)*0,1))</f>
        <v>0</v>
      </c>
      <c r="V43" s="79">
        <f>IF(TR_5ExemptionClaim[[#This Row],[Subcheck: unique]]="",0,IF(COUNTIFS(TR_5ExemptionClaim[Subcheck: unique left],TR_5ExemptionClaim[[#This Row],[Subcheck: unique left]],TR_5ExemptionClaim[Subcheck: unique right],TR_5ExemptionClaim[[#This Row],[Subcheck: unique right]])&gt;1,1,0))</f>
        <v>0</v>
      </c>
      <c r="W4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3" s="79">
        <f>IF(TR_5ExemptionClaim[[#This Row],[Material Reporting Category (Exemption Claim)]]=0,0,IF(SUM(TR_5ExemptionClaim[[#This Row],[Subcheck: minimum entry]:[Subcheck: missing CRPF info]])=0,0,1))</f>
        <v>0</v>
      </c>
      <c r="Y43" s="79">
        <f>IF(TR_5ExemptionClaim[[#This Row],[Material Reporting Category (Exemption Claim)]]&lt;&gt;"",0,TR_5ExemptionClaim[[#This Row],[Subcheck: any inputs in row]])</f>
        <v>0</v>
      </c>
      <c r="Z43" s="79">
        <f>IF(TR_5ExemptionClaim[[#This Row],[How many of the pounds recycled through this pathway were supplied by this producer?]]&gt;TR_5ExemptionClaim[[#This Row],[Pounds Recycled through this Pathway]],1,0)</f>
        <v>0</v>
      </c>
      <c r="AA4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3" s="79">
        <f>IF(TR_5ExemptionClaim[[#This Row],[Collection Company Type (autofill)]]&lt;&gt;Lookups!$K$13,0,IF(TR_5ExemptionClaim[[#This Row],[If the collector is OTR, was the service provided under OTR?]]&lt;&gt;"",0,1))</f>
        <v>0</v>
      </c>
      <c r="AF43" s="79">
        <f>IF(TR_5ExemptionClaim[[#This Row],[Did a CRPF ever handle the material before it reached the end market?]]&lt;&gt;"Yes",0,IF(COUNTA(TR_5ExemptionClaim[[#This Row],[CRPF name]:[CRPF Separation Ineligibility Warning]])=3,0,1))</f>
        <v>0</v>
      </c>
      <c r="AG4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3" s="77" t="str">
        <f>LEFT(TR_5ExemptionClaim[[#This Row],[Subcheck: unique]],250)</f>
        <v/>
      </c>
      <c r="AI43" s="77" t="str">
        <f>RIGHT(TR_5ExemptionClaim[[#This Row],[Subcheck: unique]],250)</f>
        <v/>
      </c>
      <c r="AJ43" s="77">
        <f>IF(OR(TR_5ExemptionClaim[[#This Row],[Check: collection ineligibility]]="Not Eligible",TR_5ExemptionClaim[[#This Row],[Check: CRPF non-separation ineligibility]]="Not Eligible",SUM(TR_5ExemptionClaim[[#This Row],[Check: end market does not exist]:[Check pounds (Third Party Substantiated)]])&gt;0),0,1)</f>
        <v>1</v>
      </c>
      <c r="AK43" s="78" t="str">
        <f>IF(TR_5ExemptionClaim[[#This Row],[Did this producer arrange for the recycling collection?]]="No",TR_5ExemptionClaim[[#This Row],[ID_EC]],"")</f>
        <v/>
      </c>
      <c r="AL43" s="80" t="str">
        <f t="shared" si="1"/>
        <v/>
      </c>
      <c r="AM43" s="80" t="str">
        <f>IFERROR(INDEX(TR_2SuppliedPounds[DEQ 2B Notes],MATCH(TR_5ExemptionClaim[[#This Row],[Material Reporting Category (Exemption Claim)]],TR_2SuppliedPounds[Material Reporting Category],0)),"")</f>
        <v/>
      </c>
      <c r="AN43" s="80" t="str">
        <f>IFERROR(INDEX(TR_3Collectors[DEQ 3B Notes],MATCH(TR_5ExemptionClaim[[#This Row],[Collection or Transportation Service Provider Name]],TR_3Collectors[Collection or Transportation Service Provider Name],0)),"")</f>
        <v/>
      </c>
      <c r="AO43" s="80" t="str">
        <f>IFERROR(INDEX(TR_4EndMarkets[DEQ 4B Notes],MATCH(TR_5ExemptionClaim[[#This Row],[End Market Name]],TR_4EndMarkets[Lookup: material+market],0)),"")</f>
        <v/>
      </c>
      <c r="AP43" s="81" t="str">
        <f>IFERROR(INDEX(TR_6RecyclingArranger[DEQ 6B Notes],MATCH(TR_5ExemptionClaim[[#This Row],[ID_EC]],TR_6RecyclingArranger[ID_EC],0)),"")</f>
        <v/>
      </c>
      <c r="AQ43" s="81">
        <f>SUMIFS(TR_6RecyclingArranger[DEQ 6B Eligible Pounds],TR_6RecyclingArranger[ID_EC],TR_5ExemptionClaim[[#This Row],[ID_EC]])</f>
        <v>0</v>
      </c>
      <c r="AR43" s="40"/>
      <c r="AS43" s="58"/>
    </row>
    <row r="44" spans="1:45" ht="30" customHeight="1" x14ac:dyDescent="0.2">
      <c r="A44" s="82" t="s">
        <v>958</v>
      </c>
      <c r="B44" s="46"/>
      <c r="C44" s="45"/>
      <c r="D44" s="45"/>
      <c r="E44" s="74"/>
      <c r="F4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4" s="47"/>
      <c r="H4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4" s="74"/>
      <c r="J44" s="75" t="str">
        <f>IF(TR_5ExemptionClaim[[#This Row],[If the collector is OTR, was the service provided under OTR?]]="Yes","Warning: Material collected under OTR service is not eligible for exemption.","")</f>
        <v/>
      </c>
      <c r="K44" s="47"/>
      <c r="L44" s="76"/>
      <c r="M44" s="47"/>
      <c r="N44" s="76"/>
      <c r="O44" s="104" t="str">
        <f>IF(TR_5ExemptionClaim[[#This Row],[If a CRPF handled the material, did the material undergo separation from other materials at the CRPF?]]="Yes","Warning: Material separated at a CRPF is not eligible for exemption.","")</f>
        <v/>
      </c>
      <c r="P44" s="47"/>
      <c r="Q44" s="47"/>
      <c r="R44" s="77" t="str">
        <f>IF(TR_5ExemptionClaim[[#This Row],[If the collector is OTR, was the service provided under OTR?]]="Yes","Not Eligible","")</f>
        <v/>
      </c>
      <c r="S44" s="77" t="str">
        <f>IF(TR_5ExemptionClaim[[#This Row],[If a CRPF handled the material, did the material undergo separation from other materials at the CRPF?]]="Yes","Not Eligible","")</f>
        <v/>
      </c>
      <c r="T44" s="79" t="str">
        <f>IF(TR_5ExemptionClaim[[#This Row],[Material Reporting Category (Exemption Claim)]]="","",(IFERROR(0*MATCH(TR_5ExemptionClaim[[#This Row],[Material Reporting Category (Exemption Claim)]],TR_2SuppliedPounds[Material Reporting Category],0),1)))</f>
        <v/>
      </c>
      <c r="U44" s="79">
        <f>IF(TR_5ExemptionClaim[[#This Row],[End Market Name]]="",0,IFERROR(MATCH(TR_5ExemptionClaim[[#This Row],[End Market Name]],TR_4EndMarkets[Lookup: material+market],0)*0,1))</f>
        <v>0</v>
      </c>
      <c r="V44" s="79">
        <f>IF(TR_5ExemptionClaim[[#This Row],[Subcheck: unique]]="",0,IF(COUNTIFS(TR_5ExemptionClaim[Subcheck: unique left],TR_5ExemptionClaim[[#This Row],[Subcheck: unique left]],TR_5ExemptionClaim[Subcheck: unique right],TR_5ExemptionClaim[[#This Row],[Subcheck: unique right]])&gt;1,1,0))</f>
        <v>0</v>
      </c>
      <c r="W4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4" s="79">
        <f>IF(TR_5ExemptionClaim[[#This Row],[Material Reporting Category (Exemption Claim)]]=0,0,IF(SUM(TR_5ExemptionClaim[[#This Row],[Subcheck: minimum entry]:[Subcheck: missing CRPF info]])=0,0,1))</f>
        <v>0</v>
      </c>
      <c r="Y44" s="79">
        <f>IF(TR_5ExemptionClaim[[#This Row],[Material Reporting Category (Exemption Claim)]]&lt;&gt;"",0,TR_5ExemptionClaim[[#This Row],[Subcheck: any inputs in row]])</f>
        <v>0</v>
      </c>
      <c r="Z44" s="79">
        <f>IF(TR_5ExemptionClaim[[#This Row],[How many of the pounds recycled through this pathway were supplied by this producer?]]&gt;TR_5ExemptionClaim[[#This Row],[Pounds Recycled through this Pathway]],1,0)</f>
        <v>0</v>
      </c>
      <c r="AA4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4" s="79">
        <f>IF(TR_5ExemptionClaim[[#This Row],[Collection Company Type (autofill)]]&lt;&gt;Lookups!$K$13,0,IF(TR_5ExemptionClaim[[#This Row],[If the collector is OTR, was the service provided under OTR?]]&lt;&gt;"",0,1))</f>
        <v>0</v>
      </c>
      <c r="AF44" s="79">
        <f>IF(TR_5ExemptionClaim[[#This Row],[Did a CRPF ever handle the material before it reached the end market?]]&lt;&gt;"Yes",0,IF(COUNTA(TR_5ExemptionClaim[[#This Row],[CRPF name]:[CRPF Separation Ineligibility Warning]])=3,0,1))</f>
        <v>0</v>
      </c>
      <c r="AG4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4" s="77" t="str">
        <f>LEFT(TR_5ExemptionClaim[[#This Row],[Subcheck: unique]],250)</f>
        <v/>
      </c>
      <c r="AI44" s="77" t="str">
        <f>RIGHT(TR_5ExemptionClaim[[#This Row],[Subcheck: unique]],250)</f>
        <v/>
      </c>
      <c r="AJ44" s="77">
        <f>IF(OR(TR_5ExemptionClaim[[#This Row],[Check: collection ineligibility]]="Not Eligible",TR_5ExemptionClaim[[#This Row],[Check: CRPF non-separation ineligibility]]="Not Eligible",SUM(TR_5ExemptionClaim[[#This Row],[Check: end market does not exist]:[Check pounds (Third Party Substantiated)]])&gt;0),0,1)</f>
        <v>1</v>
      </c>
      <c r="AK44" s="78" t="str">
        <f>IF(TR_5ExemptionClaim[[#This Row],[Did this producer arrange for the recycling collection?]]="No",TR_5ExemptionClaim[[#This Row],[ID_EC]],"")</f>
        <v/>
      </c>
      <c r="AL44" s="80" t="str">
        <f t="shared" si="1"/>
        <v/>
      </c>
      <c r="AM44" s="80" t="str">
        <f>IFERROR(INDEX(TR_2SuppliedPounds[DEQ 2B Notes],MATCH(TR_5ExemptionClaim[[#This Row],[Material Reporting Category (Exemption Claim)]],TR_2SuppliedPounds[Material Reporting Category],0)),"")</f>
        <v/>
      </c>
      <c r="AN44" s="80" t="str">
        <f>IFERROR(INDEX(TR_3Collectors[DEQ 3B Notes],MATCH(TR_5ExemptionClaim[[#This Row],[Collection or Transportation Service Provider Name]],TR_3Collectors[Collection or Transportation Service Provider Name],0)),"")</f>
        <v/>
      </c>
      <c r="AO44" s="80" t="str">
        <f>IFERROR(INDEX(TR_4EndMarkets[DEQ 4B Notes],MATCH(TR_5ExemptionClaim[[#This Row],[End Market Name]],TR_4EndMarkets[Lookup: material+market],0)),"")</f>
        <v/>
      </c>
      <c r="AP44" s="81" t="str">
        <f>IFERROR(INDEX(TR_6RecyclingArranger[DEQ 6B Notes],MATCH(TR_5ExemptionClaim[[#This Row],[ID_EC]],TR_6RecyclingArranger[ID_EC],0)),"")</f>
        <v/>
      </c>
      <c r="AQ44" s="81">
        <f>SUMIFS(TR_6RecyclingArranger[DEQ 6B Eligible Pounds],TR_6RecyclingArranger[ID_EC],TR_5ExemptionClaim[[#This Row],[ID_EC]])</f>
        <v>0</v>
      </c>
      <c r="AR44" s="40"/>
      <c r="AS44" s="58"/>
    </row>
    <row r="45" spans="1:45" ht="30" customHeight="1" x14ac:dyDescent="0.2">
      <c r="A45" s="82" t="s">
        <v>959</v>
      </c>
      <c r="B45" s="46"/>
      <c r="C45" s="45"/>
      <c r="D45" s="45"/>
      <c r="E45" s="74"/>
      <c r="F4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5" s="47"/>
      <c r="H4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5" s="74"/>
      <c r="J45" s="75" t="str">
        <f>IF(TR_5ExemptionClaim[[#This Row],[If the collector is OTR, was the service provided under OTR?]]="Yes","Warning: Material collected under OTR service is not eligible for exemption.","")</f>
        <v/>
      </c>
      <c r="K45" s="47"/>
      <c r="L45" s="76"/>
      <c r="M45" s="47"/>
      <c r="N45" s="76"/>
      <c r="O45" s="104" t="str">
        <f>IF(TR_5ExemptionClaim[[#This Row],[If a CRPF handled the material, did the material undergo separation from other materials at the CRPF?]]="Yes","Warning: Material separated at a CRPF is not eligible for exemption.","")</f>
        <v/>
      </c>
      <c r="P45" s="47"/>
      <c r="Q45" s="47"/>
      <c r="R45" s="77" t="str">
        <f>IF(TR_5ExemptionClaim[[#This Row],[If the collector is OTR, was the service provided under OTR?]]="Yes","Not Eligible","")</f>
        <v/>
      </c>
      <c r="S45" s="77" t="str">
        <f>IF(TR_5ExemptionClaim[[#This Row],[If a CRPF handled the material, did the material undergo separation from other materials at the CRPF?]]="Yes","Not Eligible","")</f>
        <v/>
      </c>
      <c r="T45" s="79" t="str">
        <f>IF(TR_5ExemptionClaim[[#This Row],[Material Reporting Category (Exemption Claim)]]="","",(IFERROR(0*MATCH(TR_5ExemptionClaim[[#This Row],[Material Reporting Category (Exemption Claim)]],TR_2SuppliedPounds[Material Reporting Category],0),1)))</f>
        <v/>
      </c>
      <c r="U45" s="79">
        <f>IF(TR_5ExemptionClaim[[#This Row],[End Market Name]]="",0,IFERROR(MATCH(TR_5ExemptionClaim[[#This Row],[End Market Name]],TR_4EndMarkets[Lookup: material+market],0)*0,1))</f>
        <v>0</v>
      </c>
      <c r="V45" s="79">
        <f>IF(TR_5ExemptionClaim[[#This Row],[Subcheck: unique]]="",0,IF(COUNTIFS(TR_5ExemptionClaim[Subcheck: unique left],TR_5ExemptionClaim[[#This Row],[Subcheck: unique left]],TR_5ExemptionClaim[Subcheck: unique right],TR_5ExemptionClaim[[#This Row],[Subcheck: unique right]])&gt;1,1,0))</f>
        <v>0</v>
      </c>
      <c r="W4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5" s="79">
        <f>IF(TR_5ExemptionClaim[[#This Row],[Material Reporting Category (Exemption Claim)]]=0,0,IF(SUM(TR_5ExemptionClaim[[#This Row],[Subcheck: minimum entry]:[Subcheck: missing CRPF info]])=0,0,1))</f>
        <v>0</v>
      </c>
      <c r="Y45" s="79">
        <f>IF(TR_5ExemptionClaim[[#This Row],[Material Reporting Category (Exemption Claim)]]&lt;&gt;"",0,TR_5ExemptionClaim[[#This Row],[Subcheck: any inputs in row]])</f>
        <v>0</v>
      </c>
      <c r="Z45" s="79">
        <f>IF(TR_5ExemptionClaim[[#This Row],[How many of the pounds recycled through this pathway were supplied by this producer?]]&gt;TR_5ExemptionClaim[[#This Row],[Pounds Recycled through this Pathway]],1,0)</f>
        <v>0</v>
      </c>
      <c r="AA4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5" s="79">
        <f>IF(TR_5ExemptionClaim[[#This Row],[Collection Company Type (autofill)]]&lt;&gt;Lookups!$K$13,0,IF(TR_5ExemptionClaim[[#This Row],[If the collector is OTR, was the service provided under OTR?]]&lt;&gt;"",0,1))</f>
        <v>0</v>
      </c>
      <c r="AF45" s="79">
        <f>IF(TR_5ExemptionClaim[[#This Row],[Did a CRPF ever handle the material before it reached the end market?]]&lt;&gt;"Yes",0,IF(COUNTA(TR_5ExemptionClaim[[#This Row],[CRPF name]:[CRPF Separation Ineligibility Warning]])=3,0,1))</f>
        <v>0</v>
      </c>
      <c r="AG4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5" s="77" t="str">
        <f>LEFT(TR_5ExemptionClaim[[#This Row],[Subcheck: unique]],250)</f>
        <v/>
      </c>
      <c r="AI45" s="77" t="str">
        <f>RIGHT(TR_5ExemptionClaim[[#This Row],[Subcheck: unique]],250)</f>
        <v/>
      </c>
      <c r="AJ45" s="77">
        <f>IF(OR(TR_5ExemptionClaim[[#This Row],[Check: collection ineligibility]]="Not Eligible",TR_5ExemptionClaim[[#This Row],[Check: CRPF non-separation ineligibility]]="Not Eligible",SUM(TR_5ExemptionClaim[[#This Row],[Check: end market does not exist]:[Check pounds (Third Party Substantiated)]])&gt;0),0,1)</f>
        <v>1</v>
      </c>
      <c r="AK45" s="78" t="str">
        <f>IF(TR_5ExemptionClaim[[#This Row],[Did this producer arrange for the recycling collection?]]="No",TR_5ExemptionClaim[[#This Row],[ID_EC]],"")</f>
        <v/>
      </c>
      <c r="AL45" s="80" t="str">
        <f t="shared" si="1"/>
        <v/>
      </c>
      <c r="AM45" s="80" t="str">
        <f>IFERROR(INDEX(TR_2SuppliedPounds[DEQ 2B Notes],MATCH(TR_5ExemptionClaim[[#This Row],[Material Reporting Category (Exemption Claim)]],TR_2SuppliedPounds[Material Reporting Category],0)),"")</f>
        <v/>
      </c>
      <c r="AN45" s="80" t="str">
        <f>IFERROR(INDEX(TR_3Collectors[DEQ 3B Notes],MATCH(TR_5ExemptionClaim[[#This Row],[Collection or Transportation Service Provider Name]],TR_3Collectors[Collection or Transportation Service Provider Name],0)),"")</f>
        <v/>
      </c>
      <c r="AO45" s="80" t="str">
        <f>IFERROR(INDEX(TR_4EndMarkets[DEQ 4B Notes],MATCH(TR_5ExemptionClaim[[#This Row],[End Market Name]],TR_4EndMarkets[Lookup: material+market],0)),"")</f>
        <v/>
      </c>
      <c r="AP45" s="81" t="str">
        <f>IFERROR(INDEX(TR_6RecyclingArranger[DEQ 6B Notes],MATCH(TR_5ExemptionClaim[[#This Row],[ID_EC]],TR_6RecyclingArranger[ID_EC],0)),"")</f>
        <v/>
      </c>
      <c r="AQ45" s="81">
        <f>SUMIFS(TR_6RecyclingArranger[DEQ 6B Eligible Pounds],TR_6RecyclingArranger[ID_EC],TR_5ExemptionClaim[[#This Row],[ID_EC]])</f>
        <v>0</v>
      </c>
      <c r="AR45" s="40"/>
      <c r="AS45" s="58"/>
    </row>
    <row r="46" spans="1:45" ht="30" customHeight="1" x14ac:dyDescent="0.2">
      <c r="A46" s="82" t="s">
        <v>960</v>
      </c>
      <c r="B46" s="46"/>
      <c r="C46" s="45"/>
      <c r="D46" s="45"/>
      <c r="E46" s="74"/>
      <c r="F4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6" s="47"/>
      <c r="H4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6" s="74"/>
      <c r="J46" s="75" t="str">
        <f>IF(TR_5ExemptionClaim[[#This Row],[If the collector is OTR, was the service provided under OTR?]]="Yes","Warning: Material collected under OTR service is not eligible for exemption.","")</f>
        <v/>
      </c>
      <c r="K46" s="47"/>
      <c r="L46" s="76"/>
      <c r="M46" s="47"/>
      <c r="N46" s="76"/>
      <c r="O46" s="104" t="str">
        <f>IF(TR_5ExemptionClaim[[#This Row],[If a CRPF handled the material, did the material undergo separation from other materials at the CRPF?]]="Yes","Warning: Material separated at a CRPF is not eligible for exemption.","")</f>
        <v/>
      </c>
      <c r="P46" s="47"/>
      <c r="Q46" s="47"/>
      <c r="R46" s="77" t="str">
        <f>IF(TR_5ExemptionClaim[[#This Row],[If the collector is OTR, was the service provided under OTR?]]="Yes","Not Eligible","")</f>
        <v/>
      </c>
      <c r="S46" s="77" t="str">
        <f>IF(TR_5ExemptionClaim[[#This Row],[If a CRPF handled the material, did the material undergo separation from other materials at the CRPF?]]="Yes","Not Eligible","")</f>
        <v/>
      </c>
      <c r="T46" s="79" t="str">
        <f>IF(TR_5ExemptionClaim[[#This Row],[Material Reporting Category (Exemption Claim)]]="","",(IFERROR(0*MATCH(TR_5ExemptionClaim[[#This Row],[Material Reporting Category (Exemption Claim)]],TR_2SuppliedPounds[Material Reporting Category],0),1)))</f>
        <v/>
      </c>
      <c r="U46" s="79">
        <f>IF(TR_5ExemptionClaim[[#This Row],[End Market Name]]="",0,IFERROR(MATCH(TR_5ExemptionClaim[[#This Row],[End Market Name]],TR_4EndMarkets[Lookup: material+market],0)*0,1))</f>
        <v>0</v>
      </c>
      <c r="V46" s="79">
        <f>IF(TR_5ExemptionClaim[[#This Row],[Subcheck: unique]]="",0,IF(COUNTIFS(TR_5ExemptionClaim[Subcheck: unique left],TR_5ExemptionClaim[[#This Row],[Subcheck: unique left]],TR_5ExemptionClaim[Subcheck: unique right],TR_5ExemptionClaim[[#This Row],[Subcheck: unique right]])&gt;1,1,0))</f>
        <v>0</v>
      </c>
      <c r="W4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6" s="79">
        <f>IF(TR_5ExemptionClaim[[#This Row],[Material Reporting Category (Exemption Claim)]]=0,0,IF(SUM(TR_5ExemptionClaim[[#This Row],[Subcheck: minimum entry]:[Subcheck: missing CRPF info]])=0,0,1))</f>
        <v>0</v>
      </c>
      <c r="Y46" s="79">
        <f>IF(TR_5ExemptionClaim[[#This Row],[Material Reporting Category (Exemption Claim)]]&lt;&gt;"",0,TR_5ExemptionClaim[[#This Row],[Subcheck: any inputs in row]])</f>
        <v>0</v>
      </c>
      <c r="Z46" s="79">
        <f>IF(TR_5ExemptionClaim[[#This Row],[How many of the pounds recycled through this pathway were supplied by this producer?]]&gt;TR_5ExemptionClaim[[#This Row],[Pounds Recycled through this Pathway]],1,0)</f>
        <v>0</v>
      </c>
      <c r="AA4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6" s="79">
        <f>IF(TR_5ExemptionClaim[[#This Row],[Collection Company Type (autofill)]]&lt;&gt;Lookups!$K$13,0,IF(TR_5ExemptionClaim[[#This Row],[If the collector is OTR, was the service provided under OTR?]]&lt;&gt;"",0,1))</f>
        <v>0</v>
      </c>
      <c r="AF46" s="79">
        <f>IF(TR_5ExemptionClaim[[#This Row],[Did a CRPF ever handle the material before it reached the end market?]]&lt;&gt;"Yes",0,IF(COUNTA(TR_5ExemptionClaim[[#This Row],[CRPF name]:[CRPF Separation Ineligibility Warning]])=3,0,1))</f>
        <v>0</v>
      </c>
      <c r="AG4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6" s="77" t="str">
        <f>LEFT(TR_5ExemptionClaim[[#This Row],[Subcheck: unique]],250)</f>
        <v/>
      </c>
      <c r="AI46" s="77" t="str">
        <f>RIGHT(TR_5ExemptionClaim[[#This Row],[Subcheck: unique]],250)</f>
        <v/>
      </c>
      <c r="AJ46" s="77">
        <f>IF(OR(TR_5ExemptionClaim[[#This Row],[Check: collection ineligibility]]="Not Eligible",TR_5ExemptionClaim[[#This Row],[Check: CRPF non-separation ineligibility]]="Not Eligible",SUM(TR_5ExemptionClaim[[#This Row],[Check: end market does not exist]:[Check pounds (Third Party Substantiated)]])&gt;0),0,1)</f>
        <v>1</v>
      </c>
      <c r="AK46" s="78" t="str">
        <f>IF(TR_5ExemptionClaim[[#This Row],[Did this producer arrange for the recycling collection?]]="No",TR_5ExemptionClaim[[#This Row],[ID_EC]],"")</f>
        <v/>
      </c>
      <c r="AL46" s="80" t="str">
        <f t="shared" si="1"/>
        <v/>
      </c>
      <c r="AM46" s="80" t="str">
        <f>IFERROR(INDEX(TR_2SuppliedPounds[DEQ 2B Notes],MATCH(TR_5ExemptionClaim[[#This Row],[Material Reporting Category (Exemption Claim)]],TR_2SuppliedPounds[Material Reporting Category],0)),"")</f>
        <v/>
      </c>
      <c r="AN46" s="80" t="str">
        <f>IFERROR(INDEX(TR_3Collectors[DEQ 3B Notes],MATCH(TR_5ExemptionClaim[[#This Row],[Collection or Transportation Service Provider Name]],TR_3Collectors[Collection or Transportation Service Provider Name],0)),"")</f>
        <v/>
      </c>
      <c r="AO46" s="80" t="str">
        <f>IFERROR(INDEX(TR_4EndMarkets[DEQ 4B Notes],MATCH(TR_5ExemptionClaim[[#This Row],[End Market Name]],TR_4EndMarkets[Lookup: material+market],0)),"")</f>
        <v/>
      </c>
      <c r="AP46" s="81" t="str">
        <f>IFERROR(INDEX(TR_6RecyclingArranger[DEQ 6B Notes],MATCH(TR_5ExemptionClaim[[#This Row],[ID_EC]],TR_6RecyclingArranger[ID_EC],0)),"")</f>
        <v/>
      </c>
      <c r="AQ46" s="81">
        <f>SUMIFS(TR_6RecyclingArranger[DEQ 6B Eligible Pounds],TR_6RecyclingArranger[ID_EC],TR_5ExemptionClaim[[#This Row],[ID_EC]])</f>
        <v>0</v>
      </c>
      <c r="AR46" s="40"/>
      <c r="AS46" s="58"/>
    </row>
    <row r="47" spans="1:45" ht="30" customHeight="1" x14ac:dyDescent="0.2">
      <c r="A47" s="82" t="s">
        <v>961</v>
      </c>
      <c r="B47" s="46"/>
      <c r="C47" s="45"/>
      <c r="D47" s="45"/>
      <c r="E47" s="74"/>
      <c r="F4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7" s="47"/>
      <c r="H4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7" s="74"/>
      <c r="J47" s="75" t="str">
        <f>IF(TR_5ExemptionClaim[[#This Row],[If the collector is OTR, was the service provided under OTR?]]="Yes","Warning: Material collected under OTR service is not eligible for exemption.","")</f>
        <v/>
      </c>
      <c r="K47" s="47"/>
      <c r="L47" s="76"/>
      <c r="M47" s="47"/>
      <c r="N47" s="76"/>
      <c r="O47" s="104" t="str">
        <f>IF(TR_5ExemptionClaim[[#This Row],[If a CRPF handled the material, did the material undergo separation from other materials at the CRPF?]]="Yes","Warning: Material separated at a CRPF is not eligible for exemption.","")</f>
        <v/>
      </c>
      <c r="P47" s="47"/>
      <c r="Q47" s="47"/>
      <c r="R47" s="77" t="str">
        <f>IF(TR_5ExemptionClaim[[#This Row],[If the collector is OTR, was the service provided under OTR?]]="Yes","Not Eligible","")</f>
        <v/>
      </c>
      <c r="S47" s="77" t="str">
        <f>IF(TR_5ExemptionClaim[[#This Row],[If a CRPF handled the material, did the material undergo separation from other materials at the CRPF?]]="Yes","Not Eligible","")</f>
        <v/>
      </c>
      <c r="T47" s="79" t="str">
        <f>IF(TR_5ExemptionClaim[[#This Row],[Material Reporting Category (Exemption Claim)]]="","",(IFERROR(0*MATCH(TR_5ExemptionClaim[[#This Row],[Material Reporting Category (Exemption Claim)]],TR_2SuppliedPounds[Material Reporting Category],0),1)))</f>
        <v/>
      </c>
      <c r="U47" s="79">
        <f>IF(TR_5ExemptionClaim[[#This Row],[End Market Name]]="",0,IFERROR(MATCH(TR_5ExemptionClaim[[#This Row],[End Market Name]],TR_4EndMarkets[Lookup: material+market],0)*0,1))</f>
        <v>0</v>
      </c>
      <c r="V47" s="79">
        <f>IF(TR_5ExemptionClaim[[#This Row],[Subcheck: unique]]="",0,IF(COUNTIFS(TR_5ExemptionClaim[Subcheck: unique left],TR_5ExemptionClaim[[#This Row],[Subcheck: unique left]],TR_5ExemptionClaim[Subcheck: unique right],TR_5ExemptionClaim[[#This Row],[Subcheck: unique right]])&gt;1,1,0))</f>
        <v>0</v>
      </c>
      <c r="W4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7" s="79">
        <f>IF(TR_5ExemptionClaim[[#This Row],[Material Reporting Category (Exemption Claim)]]=0,0,IF(SUM(TR_5ExemptionClaim[[#This Row],[Subcheck: minimum entry]:[Subcheck: missing CRPF info]])=0,0,1))</f>
        <v>0</v>
      </c>
      <c r="Y47" s="79">
        <f>IF(TR_5ExemptionClaim[[#This Row],[Material Reporting Category (Exemption Claim)]]&lt;&gt;"",0,TR_5ExemptionClaim[[#This Row],[Subcheck: any inputs in row]])</f>
        <v>0</v>
      </c>
      <c r="Z47" s="79">
        <f>IF(TR_5ExemptionClaim[[#This Row],[How many of the pounds recycled through this pathway were supplied by this producer?]]&gt;TR_5ExemptionClaim[[#This Row],[Pounds Recycled through this Pathway]],1,0)</f>
        <v>0</v>
      </c>
      <c r="AA4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7" s="79">
        <f>IF(TR_5ExemptionClaim[[#This Row],[Collection Company Type (autofill)]]&lt;&gt;Lookups!$K$13,0,IF(TR_5ExemptionClaim[[#This Row],[If the collector is OTR, was the service provided under OTR?]]&lt;&gt;"",0,1))</f>
        <v>0</v>
      </c>
      <c r="AF47" s="79">
        <f>IF(TR_5ExemptionClaim[[#This Row],[Did a CRPF ever handle the material before it reached the end market?]]&lt;&gt;"Yes",0,IF(COUNTA(TR_5ExemptionClaim[[#This Row],[CRPF name]:[CRPF Separation Ineligibility Warning]])=3,0,1))</f>
        <v>0</v>
      </c>
      <c r="AG4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7" s="77" t="str">
        <f>LEFT(TR_5ExemptionClaim[[#This Row],[Subcheck: unique]],250)</f>
        <v/>
      </c>
      <c r="AI47" s="77" t="str">
        <f>RIGHT(TR_5ExemptionClaim[[#This Row],[Subcheck: unique]],250)</f>
        <v/>
      </c>
      <c r="AJ47" s="77">
        <f>IF(OR(TR_5ExemptionClaim[[#This Row],[Check: collection ineligibility]]="Not Eligible",TR_5ExemptionClaim[[#This Row],[Check: CRPF non-separation ineligibility]]="Not Eligible",SUM(TR_5ExemptionClaim[[#This Row],[Check: end market does not exist]:[Check pounds (Third Party Substantiated)]])&gt;0),0,1)</f>
        <v>1</v>
      </c>
      <c r="AK47" s="78" t="str">
        <f>IF(TR_5ExemptionClaim[[#This Row],[Did this producer arrange for the recycling collection?]]="No",TR_5ExemptionClaim[[#This Row],[ID_EC]],"")</f>
        <v/>
      </c>
      <c r="AL47" s="80" t="str">
        <f t="shared" si="1"/>
        <v/>
      </c>
      <c r="AM47" s="80" t="str">
        <f>IFERROR(INDEX(TR_2SuppliedPounds[DEQ 2B Notes],MATCH(TR_5ExemptionClaim[[#This Row],[Material Reporting Category (Exemption Claim)]],TR_2SuppliedPounds[Material Reporting Category],0)),"")</f>
        <v/>
      </c>
      <c r="AN47" s="80" t="str">
        <f>IFERROR(INDEX(TR_3Collectors[DEQ 3B Notes],MATCH(TR_5ExemptionClaim[[#This Row],[Collection or Transportation Service Provider Name]],TR_3Collectors[Collection or Transportation Service Provider Name],0)),"")</f>
        <v/>
      </c>
      <c r="AO47" s="80" t="str">
        <f>IFERROR(INDEX(TR_4EndMarkets[DEQ 4B Notes],MATCH(TR_5ExemptionClaim[[#This Row],[End Market Name]],TR_4EndMarkets[Lookup: material+market],0)),"")</f>
        <v/>
      </c>
      <c r="AP47" s="81" t="str">
        <f>IFERROR(INDEX(TR_6RecyclingArranger[DEQ 6B Notes],MATCH(TR_5ExemptionClaim[[#This Row],[ID_EC]],TR_6RecyclingArranger[ID_EC],0)),"")</f>
        <v/>
      </c>
      <c r="AQ47" s="81">
        <f>SUMIFS(TR_6RecyclingArranger[DEQ 6B Eligible Pounds],TR_6RecyclingArranger[ID_EC],TR_5ExemptionClaim[[#This Row],[ID_EC]])</f>
        <v>0</v>
      </c>
      <c r="AR47" s="40"/>
      <c r="AS47" s="58"/>
    </row>
    <row r="48" spans="1:45" ht="30" customHeight="1" x14ac:dyDescent="0.2">
      <c r="A48" s="82" t="s">
        <v>962</v>
      </c>
      <c r="B48" s="46"/>
      <c r="C48" s="45"/>
      <c r="D48" s="45"/>
      <c r="E48" s="74"/>
      <c r="F4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8" s="47"/>
      <c r="H4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8" s="74"/>
      <c r="J48" s="75" t="str">
        <f>IF(TR_5ExemptionClaim[[#This Row],[If the collector is OTR, was the service provided under OTR?]]="Yes","Warning: Material collected under OTR service is not eligible for exemption.","")</f>
        <v/>
      </c>
      <c r="K48" s="47"/>
      <c r="L48" s="76"/>
      <c r="M48" s="47"/>
      <c r="N48" s="76"/>
      <c r="O48" s="104" t="str">
        <f>IF(TR_5ExemptionClaim[[#This Row],[If a CRPF handled the material, did the material undergo separation from other materials at the CRPF?]]="Yes","Warning: Material separated at a CRPF is not eligible for exemption.","")</f>
        <v/>
      </c>
      <c r="P48" s="47"/>
      <c r="Q48" s="47"/>
      <c r="R48" s="77" t="str">
        <f>IF(TR_5ExemptionClaim[[#This Row],[If the collector is OTR, was the service provided under OTR?]]="Yes","Not Eligible","")</f>
        <v/>
      </c>
      <c r="S48" s="77" t="str">
        <f>IF(TR_5ExemptionClaim[[#This Row],[If a CRPF handled the material, did the material undergo separation from other materials at the CRPF?]]="Yes","Not Eligible","")</f>
        <v/>
      </c>
      <c r="T48" s="79" t="str">
        <f>IF(TR_5ExemptionClaim[[#This Row],[Material Reporting Category (Exemption Claim)]]="","",(IFERROR(0*MATCH(TR_5ExemptionClaim[[#This Row],[Material Reporting Category (Exemption Claim)]],TR_2SuppliedPounds[Material Reporting Category],0),1)))</f>
        <v/>
      </c>
      <c r="U48" s="79">
        <f>IF(TR_5ExemptionClaim[[#This Row],[End Market Name]]="",0,IFERROR(MATCH(TR_5ExemptionClaim[[#This Row],[End Market Name]],TR_4EndMarkets[Lookup: material+market],0)*0,1))</f>
        <v>0</v>
      </c>
      <c r="V48" s="79">
        <f>IF(TR_5ExemptionClaim[[#This Row],[Subcheck: unique]]="",0,IF(COUNTIFS(TR_5ExemptionClaim[Subcheck: unique left],TR_5ExemptionClaim[[#This Row],[Subcheck: unique left]],TR_5ExemptionClaim[Subcheck: unique right],TR_5ExemptionClaim[[#This Row],[Subcheck: unique right]])&gt;1,1,0))</f>
        <v>0</v>
      </c>
      <c r="W4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8" s="79">
        <f>IF(TR_5ExemptionClaim[[#This Row],[Material Reporting Category (Exemption Claim)]]=0,0,IF(SUM(TR_5ExemptionClaim[[#This Row],[Subcheck: minimum entry]:[Subcheck: missing CRPF info]])=0,0,1))</f>
        <v>0</v>
      </c>
      <c r="Y48" s="79">
        <f>IF(TR_5ExemptionClaim[[#This Row],[Material Reporting Category (Exemption Claim)]]&lt;&gt;"",0,TR_5ExemptionClaim[[#This Row],[Subcheck: any inputs in row]])</f>
        <v>0</v>
      </c>
      <c r="Z48" s="79">
        <f>IF(TR_5ExemptionClaim[[#This Row],[How many of the pounds recycled through this pathway were supplied by this producer?]]&gt;TR_5ExemptionClaim[[#This Row],[Pounds Recycled through this Pathway]],1,0)</f>
        <v>0</v>
      </c>
      <c r="AA4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8" s="79">
        <f>IF(TR_5ExemptionClaim[[#This Row],[Collection Company Type (autofill)]]&lt;&gt;Lookups!$K$13,0,IF(TR_5ExemptionClaim[[#This Row],[If the collector is OTR, was the service provided under OTR?]]&lt;&gt;"",0,1))</f>
        <v>0</v>
      </c>
      <c r="AF48" s="79">
        <f>IF(TR_5ExemptionClaim[[#This Row],[Did a CRPF ever handle the material before it reached the end market?]]&lt;&gt;"Yes",0,IF(COUNTA(TR_5ExemptionClaim[[#This Row],[CRPF name]:[CRPF Separation Ineligibility Warning]])=3,0,1))</f>
        <v>0</v>
      </c>
      <c r="AG4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8" s="77" t="str">
        <f>LEFT(TR_5ExemptionClaim[[#This Row],[Subcheck: unique]],250)</f>
        <v/>
      </c>
      <c r="AI48" s="77" t="str">
        <f>RIGHT(TR_5ExemptionClaim[[#This Row],[Subcheck: unique]],250)</f>
        <v/>
      </c>
      <c r="AJ48" s="77">
        <f>IF(OR(TR_5ExemptionClaim[[#This Row],[Check: collection ineligibility]]="Not Eligible",TR_5ExemptionClaim[[#This Row],[Check: CRPF non-separation ineligibility]]="Not Eligible",SUM(TR_5ExemptionClaim[[#This Row],[Check: end market does not exist]:[Check pounds (Third Party Substantiated)]])&gt;0),0,1)</f>
        <v>1</v>
      </c>
      <c r="AK48" s="78" t="str">
        <f>IF(TR_5ExemptionClaim[[#This Row],[Did this producer arrange for the recycling collection?]]="No",TR_5ExemptionClaim[[#This Row],[ID_EC]],"")</f>
        <v/>
      </c>
      <c r="AL48" s="80" t="str">
        <f t="shared" si="1"/>
        <v/>
      </c>
      <c r="AM48" s="80" t="str">
        <f>IFERROR(INDEX(TR_2SuppliedPounds[DEQ 2B Notes],MATCH(TR_5ExemptionClaim[[#This Row],[Material Reporting Category (Exemption Claim)]],TR_2SuppliedPounds[Material Reporting Category],0)),"")</f>
        <v/>
      </c>
      <c r="AN48" s="80" t="str">
        <f>IFERROR(INDEX(TR_3Collectors[DEQ 3B Notes],MATCH(TR_5ExemptionClaim[[#This Row],[Collection or Transportation Service Provider Name]],TR_3Collectors[Collection or Transportation Service Provider Name],0)),"")</f>
        <v/>
      </c>
      <c r="AO48" s="80" t="str">
        <f>IFERROR(INDEX(TR_4EndMarkets[DEQ 4B Notes],MATCH(TR_5ExemptionClaim[[#This Row],[End Market Name]],TR_4EndMarkets[Lookup: material+market],0)),"")</f>
        <v/>
      </c>
      <c r="AP48" s="81" t="str">
        <f>IFERROR(INDEX(TR_6RecyclingArranger[DEQ 6B Notes],MATCH(TR_5ExemptionClaim[[#This Row],[ID_EC]],TR_6RecyclingArranger[ID_EC],0)),"")</f>
        <v/>
      </c>
      <c r="AQ48" s="81">
        <f>SUMIFS(TR_6RecyclingArranger[DEQ 6B Eligible Pounds],TR_6RecyclingArranger[ID_EC],TR_5ExemptionClaim[[#This Row],[ID_EC]])</f>
        <v>0</v>
      </c>
      <c r="AR48" s="40"/>
      <c r="AS48" s="58"/>
    </row>
    <row r="49" spans="1:45" ht="30" customHeight="1" x14ac:dyDescent="0.2">
      <c r="A49" s="82" t="s">
        <v>963</v>
      </c>
      <c r="B49" s="46"/>
      <c r="C49" s="45"/>
      <c r="D49" s="45"/>
      <c r="E49" s="74"/>
      <c r="F4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49" s="47"/>
      <c r="H4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49" s="74"/>
      <c r="J49" s="75" t="str">
        <f>IF(TR_5ExemptionClaim[[#This Row],[If the collector is OTR, was the service provided under OTR?]]="Yes","Warning: Material collected under OTR service is not eligible for exemption.","")</f>
        <v/>
      </c>
      <c r="K49" s="47"/>
      <c r="L49" s="76"/>
      <c r="M49" s="47"/>
      <c r="N49" s="76"/>
      <c r="O49" s="104" t="str">
        <f>IF(TR_5ExemptionClaim[[#This Row],[If a CRPF handled the material, did the material undergo separation from other materials at the CRPF?]]="Yes","Warning: Material separated at a CRPF is not eligible for exemption.","")</f>
        <v/>
      </c>
      <c r="P49" s="47"/>
      <c r="Q49" s="47"/>
      <c r="R49" s="77" t="str">
        <f>IF(TR_5ExemptionClaim[[#This Row],[If the collector is OTR, was the service provided under OTR?]]="Yes","Not Eligible","")</f>
        <v/>
      </c>
      <c r="S49" s="77" t="str">
        <f>IF(TR_5ExemptionClaim[[#This Row],[If a CRPF handled the material, did the material undergo separation from other materials at the CRPF?]]="Yes","Not Eligible","")</f>
        <v/>
      </c>
      <c r="T49" s="79" t="str">
        <f>IF(TR_5ExemptionClaim[[#This Row],[Material Reporting Category (Exemption Claim)]]="","",(IFERROR(0*MATCH(TR_5ExemptionClaim[[#This Row],[Material Reporting Category (Exemption Claim)]],TR_2SuppliedPounds[Material Reporting Category],0),1)))</f>
        <v/>
      </c>
      <c r="U49" s="79">
        <f>IF(TR_5ExemptionClaim[[#This Row],[End Market Name]]="",0,IFERROR(MATCH(TR_5ExemptionClaim[[#This Row],[End Market Name]],TR_4EndMarkets[Lookup: material+market],0)*0,1))</f>
        <v>0</v>
      </c>
      <c r="V49" s="79">
        <f>IF(TR_5ExemptionClaim[[#This Row],[Subcheck: unique]]="",0,IF(COUNTIFS(TR_5ExemptionClaim[Subcheck: unique left],TR_5ExemptionClaim[[#This Row],[Subcheck: unique left]],TR_5ExemptionClaim[Subcheck: unique right],TR_5ExemptionClaim[[#This Row],[Subcheck: unique right]])&gt;1,1,0))</f>
        <v>0</v>
      </c>
      <c r="W4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49" s="79">
        <f>IF(TR_5ExemptionClaim[[#This Row],[Material Reporting Category (Exemption Claim)]]=0,0,IF(SUM(TR_5ExemptionClaim[[#This Row],[Subcheck: minimum entry]:[Subcheck: missing CRPF info]])=0,0,1))</f>
        <v>0</v>
      </c>
      <c r="Y49" s="79">
        <f>IF(TR_5ExemptionClaim[[#This Row],[Material Reporting Category (Exemption Claim)]]&lt;&gt;"",0,TR_5ExemptionClaim[[#This Row],[Subcheck: any inputs in row]])</f>
        <v>0</v>
      </c>
      <c r="Z49" s="79">
        <f>IF(TR_5ExemptionClaim[[#This Row],[How many of the pounds recycled through this pathway were supplied by this producer?]]&gt;TR_5ExemptionClaim[[#This Row],[Pounds Recycled through this Pathway]],1,0)</f>
        <v>0</v>
      </c>
      <c r="AA4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4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4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4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49" s="79">
        <f>IF(TR_5ExemptionClaim[[#This Row],[Collection Company Type (autofill)]]&lt;&gt;Lookups!$K$13,0,IF(TR_5ExemptionClaim[[#This Row],[If the collector is OTR, was the service provided under OTR?]]&lt;&gt;"",0,1))</f>
        <v>0</v>
      </c>
      <c r="AF49" s="79">
        <f>IF(TR_5ExemptionClaim[[#This Row],[Did a CRPF ever handle the material before it reached the end market?]]&lt;&gt;"Yes",0,IF(COUNTA(TR_5ExemptionClaim[[#This Row],[CRPF name]:[CRPF Separation Ineligibility Warning]])=3,0,1))</f>
        <v>0</v>
      </c>
      <c r="AG4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49" s="77" t="str">
        <f>LEFT(TR_5ExemptionClaim[[#This Row],[Subcheck: unique]],250)</f>
        <v/>
      </c>
      <c r="AI49" s="77" t="str">
        <f>RIGHT(TR_5ExemptionClaim[[#This Row],[Subcheck: unique]],250)</f>
        <v/>
      </c>
      <c r="AJ49" s="77">
        <f>IF(OR(TR_5ExemptionClaim[[#This Row],[Check: collection ineligibility]]="Not Eligible",TR_5ExemptionClaim[[#This Row],[Check: CRPF non-separation ineligibility]]="Not Eligible",SUM(TR_5ExemptionClaim[[#This Row],[Check: end market does not exist]:[Check pounds (Third Party Substantiated)]])&gt;0),0,1)</f>
        <v>1</v>
      </c>
      <c r="AK49" s="78" t="str">
        <f>IF(TR_5ExemptionClaim[[#This Row],[Did this producer arrange for the recycling collection?]]="No",TR_5ExemptionClaim[[#This Row],[ID_EC]],"")</f>
        <v/>
      </c>
      <c r="AL49" s="80" t="str">
        <f t="shared" si="1"/>
        <v/>
      </c>
      <c r="AM49" s="80" t="str">
        <f>IFERROR(INDEX(TR_2SuppliedPounds[DEQ 2B Notes],MATCH(TR_5ExemptionClaim[[#This Row],[Material Reporting Category (Exemption Claim)]],TR_2SuppliedPounds[Material Reporting Category],0)),"")</f>
        <v/>
      </c>
      <c r="AN49" s="80" t="str">
        <f>IFERROR(INDEX(TR_3Collectors[DEQ 3B Notes],MATCH(TR_5ExemptionClaim[[#This Row],[Collection or Transportation Service Provider Name]],TR_3Collectors[Collection or Transportation Service Provider Name],0)),"")</f>
        <v/>
      </c>
      <c r="AO49" s="80" t="str">
        <f>IFERROR(INDEX(TR_4EndMarkets[DEQ 4B Notes],MATCH(TR_5ExemptionClaim[[#This Row],[End Market Name]],TR_4EndMarkets[Lookup: material+market],0)),"")</f>
        <v/>
      </c>
      <c r="AP49" s="81" t="str">
        <f>IFERROR(INDEX(TR_6RecyclingArranger[DEQ 6B Notes],MATCH(TR_5ExemptionClaim[[#This Row],[ID_EC]],TR_6RecyclingArranger[ID_EC],0)),"")</f>
        <v/>
      </c>
      <c r="AQ49" s="81">
        <f>SUMIFS(TR_6RecyclingArranger[DEQ 6B Eligible Pounds],TR_6RecyclingArranger[ID_EC],TR_5ExemptionClaim[[#This Row],[ID_EC]])</f>
        <v>0</v>
      </c>
      <c r="AR49" s="40"/>
      <c r="AS49" s="58"/>
    </row>
    <row r="50" spans="1:45" ht="30" customHeight="1" x14ac:dyDescent="0.2">
      <c r="A50" s="82" t="s">
        <v>964</v>
      </c>
      <c r="B50" s="46"/>
      <c r="C50" s="45"/>
      <c r="D50" s="45"/>
      <c r="E50" s="74"/>
      <c r="F5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0" s="47"/>
      <c r="H5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0" s="74"/>
      <c r="J50" s="75" t="str">
        <f>IF(TR_5ExemptionClaim[[#This Row],[If the collector is OTR, was the service provided under OTR?]]="Yes","Warning: Material collected under OTR service is not eligible for exemption.","")</f>
        <v/>
      </c>
      <c r="K50" s="47"/>
      <c r="L50" s="76"/>
      <c r="M50" s="47"/>
      <c r="N50" s="76"/>
      <c r="O50" s="104" t="str">
        <f>IF(TR_5ExemptionClaim[[#This Row],[If a CRPF handled the material, did the material undergo separation from other materials at the CRPF?]]="Yes","Warning: Material separated at a CRPF is not eligible for exemption.","")</f>
        <v/>
      </c>
      <c r="P50" s="47"/>
      <c r="Q50" s="47"/>
      <c r="R50" s="77" t="str">
        <f>IF(TR_5ExemptionClaim[[#This Row],[If the collector is OTR, was the service provided under OTR?]]="Yes","Not Eligible","")</f>
        <v/>
      </c>
      <c r="S50" s="77" t="str">
        <f>IF(TR_5ExemptionClaim[[#This Row],[If a CRPF handled the material, did the material undergo separation from other materials at the CRPF?]]="Yes","Not Eligible","")</f>
        <v/>
      </c>
      <c r="T50" s="79" t="str">
        <f>IF(TR_5ExemptionClaim[[#This Row],[Material Reporting Category (Exemption Claim)]]="","",(IFERROR(0*MATCH(TR_5ExemptionClaim[[#This Row],[Material Reporting Category (Exemption Claim)]],TR_2SuppliedPounds[Material Reporting Category],0),1)))</f>
        <v/>
      </c>
      <c r="U50" s="79">
        <f>IF(TR_5ExemptionClaim[[#This Row],[End Market Name]]="",0,IFERROR(MATCH(TR_5ExemptionClaim[[#This Row],[End Market Name]],TR_4EndMarkets[Lookup: material+market],0)*0,1))</f>
        <v>0</v>
      </c>
      <c r="V50" s="79">
        <f>IF(TR_5ExemptionClaim[[#This Row],[Subcheck: unique]]="",0,IF(COUNTIFS(TR_5ExemptionClaim[Subcheck: unique left],TR_5ExemptionClaim[[#This Row],[Subcheck: unique left]],TR_5ExemptionClaim[Subcheck: unique right],TR_5ExemptionClaim[[#This Row],[Subcheck: unique right]])&gt;1,1,0))</f>
        <v>0</v>
      </c>
      <c r="W5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0" s="79">
        <f>IF(TR_5ExemptionClaim[[#This Row],[Material Reporting Category (Exemption Claim)]]=0,0,IF(SUM(TR_5ExemptionClaim[[#This Row],[Subcheck: minimum entry]:[Subcheck: missing CRPF info]])=0,0,1))</f>
        <v>0</v>
      </c>
      <c r="Y50" s="79">
        <f>IF(TR_5ExemptionClaim[[#This Row],[Material Reporting Category (Exemption Claim)]]&lt;&gt;"",0,TR_5ExemptionClaim[[#This Row],[Subcheck: any inputs in row]])</f>
        <v>0</v>
      </c>
      <c r="Z50" s="79">
        <f>IF(TR_5ExemptionClaim[[#This Row],[How many of the pounds recycled through this pathway were supplied by this producer?]]&gt;TR_5ExemptionClaim[[#This Row],[Pounds Recycled through this Pathway]],1,0)</f>
        <v>0</v>
      </c>
      <c r="AA5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0" s="79">
        <f>IF(TR_5ExemptionClaim[[#This Row],[Collection Company Type (autofill)]]&lt;&gt;Lookups!$K$13,0,IF(TR_5ExemptionClaim[[#This Row],[If the collector is OTR, was the service provided under OTR?]]&lt;&gt;"",0,1))</f>
        <v>0</v>
      </c>
      <c r="AF50" s="79">
        <f>IF(TR_5ExemptionClaim[[#This Row],[Did a CRPF ever handle the material before it reached the end market?]]&lt;&gt;"Yes",0,IF(COUNTA(TR_5ExemptionClaim[[#This Row],[CRPF name]:[CRPF Separation Ineligibility Warning]])=3,0,1))</f>
        <v>0</v>
      </c>
      <c r="AG5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0" s="77" t="str">
        <f>LEFT(TR_5ExemptionClaim[[#This Row],[Subcheck: unique]],250)</f>
        <v/>
      </c>
      <c r="AI50" s="77" t="str">
        <f>RIGHT(TR_5ExemptionClaim[[#This Row],[Subcheck: unique]],250)</f>
        <v/>
      </c>
      <c r="AJ50" s="77">
        <f>IF(OR(TR_5ExemptionClaim[[#This Row],[Check: collection ineligibility]]="Not Eligible",TR_5ExemptionClaim[[#This Row],[Check: CRPF non-separation ineligibility]]="Not Eligible",SUM(TR_5ExemptionClaim[[#This Row],[Check: end market does not exist]:[Check pounds (Third Party Substantiated)]])&gt;0),0,1)</f>
        <v>1</v>
      </c>
      <c r="AK50" s="78" t="str">
        <f>IF(TR_5ExemptionClaim[[#This Row],[Did this producer arrange for the recycling collection?]]="No",TR_5ExemptionClaim[[#This Row],[ID_EC]],"")</f>
        <v/>
      </c>
      <c r="AL50" s="80" t="str">
        <f t="shared" si="1"/>
        <v/>
      </c>
      <c r="AM50" s="80" t="str">
        <f>IFERROR(INDEX(TR_2SuppliedPounds[DEQ 2B Notes],MATCH(TR_5ExemptionClaim[[#This Row],[Material Reporting Category (Exemption Claim)]],TR_2SuppliedPounds[Material Reporting Category],0)),"")</f>
        <v/>
      </c>
      <c r="AN50" s="80" t="str">
        <f>IFERROR(INDEX(TR_3Collectors[DEQ 3B Notes],MATCH(TR_5ExemptionClaim[[#This Row],[Collection or Transportation Service Provider Name]],TR_3Collectors[Collection or Transportation Service Provider Name],0)),"")</f>
        <v/>
      </c>
      <c r="AO50" s="80" t="str">
        <f>IFERROR(INDEX(TR_4EndMarkets[DEQ 4B Notes],MATCH(TR_5ExemptionClaim[[#This Row],[End Market Name]],TR_4EndMarkets[Lookup: material+market],0)),"")</f>
        <v/>
      </c>
      <c r="AP50" s="81" t="str">
        <f>IFERROR(INDEX(TR_6RecyclingArranger[DEQ 6B Notes],MATCH(TR_5ExemptionClaim[[#This Row],[ID_EC]],TR_6RecyclingArranger[ID_EC],0)),"")</f>
        <v/>
      </c>
      <c r="AQ50" s="81">
        <f>SUMIFS(TR_6RecyclingArranger[DEQ 6B Eligible Pounds],TR_6RecyclingArranger[ID_EC],TR_5ExemptionClaim[[#This Row],[ID_EC]])</f>
        <v>0</v>
      </c>
      <c r="AR50" s="40"/>
      <c r="AS50" s="58"/>
    </row>
    <row r="51" spans="1:45" ht="30" customHeight="1" x14ac:dyDescent="0.2">
      <c r="A51" s="82" t="s">
        <v>965</v>
      </c>
      <c r="B51" s="46"/>
      <c r="C51" s="45"/>
      <c r="D51" s="45"/>
      <c r="E51" s="74"/>
      <c r="F5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1" s="47"/>
      <c r="H5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1" s="74"/>
      <c r="J51" s="75" t="str">
        <f>IF(TR_5ExemptionClaim[[#This Row],[If the collector is OTR, was the service provided under OTR?]]="Yes","Warning: Material collected under OTR service is not eligible for exemption.","")</f>
        <v/>
      </c>
      <c r="K51" s="47"/>
      <c r="L51" s="76"/>
      <c r="M51" s="47"/>
      <c r="N51" s="76"/>
      <c r="O51" s="104" t="str">
        <f>IF(TR_5ExemptionClaim[[#This Row],[If a CRPF handled the material, did the material undergo separation from other materials at the CRPF?]]="Yes","Warning: Material separated at a CRPF is not eligible for exemption.","")</f>
        <v/>
      </c>
      <c r="P51" s="47"/>
      <c r="Q51" s="47"/>
      <c r="R51" s="77" t="str">
        <f>IF(TR_5ExemptionClaim[[#This Row],[If the collector is OTR, was the service provided under OTR?]]="Yes","Not Eligible","")</f>
        <v/>
      </c>
      <c r="S51" s="77" t="str">
        <f>IF(TR_5ExemptionClaim[[#This Row],[If a CRPF handled the material, did the material undergo separation from other materials at the CRPF?]]="Yes","Not Eligible","")</f>
        <v/>
      </c>
      <c r="T51" s="79" t="str">
        <f>IF(TR_5ExemptionClaim[[#This Row],[Material Reporting Category (Exemption Claim)]]="","",(IFERROR(0*MATCH(TR_5ExemptionClaim[[#This Row],[Material Reporting Category (Exemption Claim)]],TR_2SuppliedPounds[Material Reporting Category],0),1)))</f>
        <v/>
      </c>
      <c r="U51" s="79">
        <f>IF(TR_5ExemptionClaim[[#This Row],[End Market Name]]="",0,IFERROR(MATCH(TR_5ExemptionClaim[[#This Row],[End Market Name]],TR_4EndMarkets[Lookup: material+market],0)*0,1))</f>
        <v>0</v>
      </c>
      <c r="V51" s="79">
        <f>IF(TR_5ExemptionClaim[[#This Row],[Subcheck: unique]]="",0,IF(COUNTIFS(TR_5ExemptionClaim[Subcheck: unique left],TR_5ExemptionClaim[[#This Row],[Subcheck: unique left]],TR_5ExemptionClaim[Subcheck: unique right],TR_5ExemptionClaim[[#This Row],[Subcheck: unique right]])&gt;1,1,0))</f>
        <v>0</v>
      </c>
      <c r="W5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1" s="79">
        <f>IF(TR_5ExemptionClaim[[#This Row],[Material Reporting Category (Exemption Claim)]]=0,0,IF(SUM(TR_5ExemptionClaim[[#This Row],[Subcheck: minimum entry]:[Subcheck: missing CRPF info]])=0,0,1))</f>
        <v>0</v>
      </c>
      <c r="Y51" s="79">
        <f>IF(TR_5ExemptionClaim[[#This Row],[Material Reporting Category (Exemption Claim)]]&lt;&gt;"",0,TR_5ExemptionClaim[[#This Row],[Subcheck: any inputs in row]])</f>
        <v>0</v>
      </c>
      <c r="Z51" s="79">
        <f>IF(TR_5ExemptionClaim[[#This Row],[How many of the pounds recycled through this pathway were supplied by this producer?]]&gt;TR_5ExemptionClaim[[#This Row],[Pounds Recycled through this Pathway]],1,0)</f>
        <v>0</v>
      </c>
      <c r="AA5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1" s="79">
        <f>IF(TR_5ExemptionClaim[[#This Row],[Collection Company Type (autofill)]]&lt;&gt;Lookups!$K$13,0,IF(TR_5ExemptionClaim[[#This Row],[If the collector is OTR, was the service provided under OTR?]]&lt;&gt;"",0,1))</f>
        <v>0</v>
      </c>
      <c r="AF51" s="79">
        <f>IF(TR_5ExemptionClaim[[#This Row],[Did a CRPF ever handle the material before it reached the end market?]]&lt;&gt;"Yes",0,IF(COUNTA(TR_5ExemptionClaim[[#This Row],[CRPF name]:[CRPF Separation Ineligibility Warning]])=3,0,1))</f>
        <v>0</v>
      </c>
      <c r="AG5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1" s="77" t="str">
        <f>LEFT(TR_5ExemptionClaim[[#This Row],[Subcheck: unique]],250)</f>
        <v/>
      </c>
      <c r="AI51" s="77" t="str">
        <f>RIGHT(TR_5ExemptionClaim[[#This Row],[Subcheck: unique]],250)</f>
        <v/>
      </c>
      <c r="AJ51" s="77">
        <f>IF(OR(TR_5ExemptionClaim[[#This Row],[Check: collection ineligibility]]="Not Eligible",TR_5ExemptionClaim[[#This Row],[Check: CRPF non-separation ineligibility]]="Not Eligible",SUM(TR_5ExemptionClaim[[#This Row],[Check: end market does not exist]:[Check pounds (Third Party Substantiated)]])&gt;0),0,1)</f>
        <v>1</v>
      </c>
      <c r="AK51" s="78" t="str">
        <f>IF(TR_5ExemptionClaim[[#This Row],[Did this producer arrange for the recycling collection?]]="No",TR_5ExemptionClaim[[#This Row],[ID_EC]],"")</f>
        <v/>
      </c>
      <c r="AL51" s="80" t="str">
        <f t="shared" si="1"/>
        <v/>
      </c>
      <c r="AM51" s="80" t="str">
        <f>IFERROR(INDEX(TR_2SuppliedPounds[DEQ 2B Notes],MATCH(TR_5ExemptionClaim[[#This Row],[Material Reporting Category (Exemption Claim)]],TR_2SuppliedPounds[Material Reporting Category],0)),"")</f>
        <v/>
      </c>
      <c r="AN51" s="80" t="str">
        <f>IFERROR(INDEX(TR_3Collectors[DEQ 3B Notes],MATCH(TR_5ExemptionClaim[[#This Row],[Collection or Transportation Service Provider Name]],TR_3Collectors[Collection or Transportation Service Provider Name],0)),"")</f>
        <v/>
      </c>
      <c r="AO51" s="80" t="str">
        <f>IFERROR(INDEX(TR_4EndMarkets[DEQ 4B Notes],MATCH(TR_5ExemptionClaim[[#This Row],[End Market Name]],TR_4EndMarkets[Lookup: material+market],0)),"")</f>
        <v/>
      </c>
      <c r="AP51" s="81" t="str">
        <f>IFERROR(INDEX(TR_6RecyclingArranger[DEQ 6B Notes],MATCH(TR_5ExemptionClaim[[#This Row],[ID_EC]],TR_6RecyclingArranger[ID_EC],0)),"")</f>
        <v/>
      </c>
      <c r="AQ51" s="81">
        <f>SUMIFS(TR_6RecyclingArranger[DEQ 6B Eligible Pounds],TR_6RecyclingArranger[ID_EC],TR_5ExemptionClaim[[#This Row],[ID_EC]])</f>
        <v>0</v>
      </c>
      <c r="AR51" s="40"/>
      <c r="AS51" s="58"/>
    </row>
    <row r="52" spans="1:45" ht="30" customHeight="1" x14ac:dyDescent="0.2">
      <c r="A52" s="82" t="s">
        <v>966</v>
      </c>
      <c r="B52" s="46"/>
      <c r="C52" s="45"/>
      <c r="D52" s="45"/>
      <c r="E52" s="74"/>
      <c r="F5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2" s="47"/>
      <c r="H5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2" s="74"/>
      <c r="J52" s="75" t="str">
        <f>IF(TR_5ExemptionClaim[[#This Row],[If the collector is OTR, was the service provided under OTR?]]="Yes","Warning: Material collected under OTR service is not eligible for exemption.","")</f>
        <v/>
      </c>
      <c r="K52" s="47"/>
      <c r="L52" s="76"/>
      <c r="M52" s="47"/>
      <c r="N52" s="76"/>
      <c r="O52" s="104" t="str">
        <f>IF(TR_5ExemptionClaim[[#This Row],[If a CRPF handled the material, did the material undergo separation from other materials at the CRPF?]]="Yes","Warning: Material separated at a CRPF is not eligible for exemption.","")</f>
        <v/>
      </c>
      <c r="P52" s="47"/>
      <c r="Q52" s="47"/>
      <c r="R52" s="77" t="str">
        <f>IF(TR_5ExemptionClaim[[#This Row],[If the collector is OTR, was the service provided under OTR?]]="Yes","Not Eligible","")</f>
        <v/>
      </c>
      <c r="S52" s="77" t="str">
        <f>IF(TR_5ExemptionClaim[[#This Row],[If a CRPF handled the material, did the material undergo separation from other materials at the CRPF?]]="Yes","Not Eligible","")</f>
        <v/>
      </c>
      <c r="T52" s="79" t="str">
        <f>IF(TR_5ExemptionClaim[[#This Row],[Material Reporting Category (Exemption Claim)]]="","",(IFERROR(0*MATCH(TR_5ExemptionClaim[[#This Row],[Material Reporting Category (Exemption Claim)]],TR_2SuppliedPounds[Material Reporting Category],0),1)))</f>
        <v/>
      </c>
      <c r="U52" s="79">
        <f>IF(TR_5ExemptionClaim[[#This Row],[End Market Name]]="",0,IFERROR(MATCH(TR_5ExemptionClaim[[#This Row],[End Market Name]],TR_4EndMarkets[Lookup: material+market],0)*0,1))</f>
        <v>0</v>
      </c>
      <c r="V52" s="79">
        <f>IF(TR_5ExemptionClaim[[#This Row],[Subcheck: unique]]="",0,IF(COUNTIFS(TR_5ExemptionClaim[Subcheck: unique left],TR_5ExemptionClaim[[#This Row],[Subcheck: unique left]],TR_5ExemptionClaim[Subcheck: unique right],TR_5ExemptionClaim[[#This Row],[Subcheck: unique right]])&gt;1,1,0))</f>
        <v>0</v>
      </c>
      <c r="W5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2" s="79">
        <f>IF(TR_5ExemptionClaim[[#This Row],[Material Reporting Category (Exemption Claim)]]=0,0,IF(SUM(TR_5ExemptionClaim[[#This Row],[Subcheck: minimum entry]:[Subcheck: missing CRPF info]])=0,0,1))</f>
        <v>0</v>
      </c>
      <c r="Y52" s="79">
        <f>IF(TR_5ExemptionClaim[[#This Row],[Material Reporting Category (Exemption Claim)]]&lt;&gt;"",0,TR_5ExemptionClaim[[#This Row],[Subcheck: any inputs in row]])</f>
        <v>0</v>
      </c>
      <c r="Z52" s="79">
        <f>IF(TR_5ExemptionClaim[[#This Row],[How many of the pounds recycled through this pathway were supplied by this producer?]]&gt;TR_5ExemptionClaim[[#This Row],[Pounds Recycled through this Pathway]],1,0)</f>
        <v>0</v>
      </c>
      <c r="AA5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2" s="79">
        <f>IF(TR_5ExemptionClaim[[#This Row],[Collection Company Type (autofill)]]&lt;&gt;Lookups!$K$13,0,IF(TR_5ExemptionClaim[[#This Row],[If the collector is OTR, was the service provided under OTR?]]&lt;&gt;"",0,1))</f>
        <v>0</v>
      </c>
      <c r="AF52" s="79">
        <f>IF(TR_5ExemptionClaim[[#This Row],[Did a CRPF ever handle the material before it reached the end market?]]&lt;&gt;"Yes",0,IF(COUNTA(TR_5ExemptionClaim[[#This Row],[CRPF name]:[CRPF Separation Ineligibility Warning]])=3,0,1))</f>
        <v>0</v>
      </c>
      <c r="AG5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2" s="77" t="str">
        <f>LEFT(TR_5ExemptionClaim[[#This Row],[Subcheck: unique]],250)</f>
        <v/>
      </c>
      <c r="AI52" s="77" t="str">
        <f>RIGHT(TR_5ExemptionClaim[[#This Row],[Subcheck: unique]],250)</f>
        <v/>
      </c>
      <c r="AJ52" s="77">
        <f>IF(OR(TR_5ExemptionClaim[[#This Row],[Check: collection ineligibility]]="Not Eligible",TR_5ExemptionClaim[[#This Row],[Check: CRPF non-separation ineligibility]]="Not Eligible",SUM(TR_5ExemptionClaim[[#This Row],[Check: end market does not exist]:[Check pounds (Third Party Substantiated)]])&gt;0),0,1)</f>
        <v>1</v>
      </c>
      <c r="AK52" s="78" t="str">
        <f>IF(TR_5ExemptionClaim[[#This Row],[Did this producer arrange for the recycling collection?]]="No",TR_5ExemptionClaim[[#This Row],[ID_EC]],"")</f>
        <v/>
      </c>
      <c r="AL52" s="80" t="str">
        <f t="shared" si="1"/>
        <v/>
      </c>
      <c r="AM52" s="80" t="str">
        <f>IFERROR(INDEX(TR_2SuppliedPounds[DEQ 2B Notes],MATCH(TR_5ExemptionClaim[[#This Row],[Material Reporting Category (Exemption Claim)]],TR_2SuppliedPounds[Material Reporting Category],0)),"")</f>
        <v/>
      </c>
      <c r="AN52" s="80" t="str">
        <f>IFERROR(INDEX(TR_3Collectors[DEQ 3B Notes],MATCH(TR_5ExemptionClaim[[#This Row],[Collection or Transportation Service Provider Name]],TR_3Collectors[Collection or Transportation Service Provider Name],0)),"")</f>
        <v/>
      </c>
      <c r="AO52" s="80" t="str">
        <f>IFERROR(INDEX(TR_4EndMarkets[DEQ 4B Notes],MATCH(TR_5ExemptionClaim[[#This Row],[End Market Name]],TR_4EndMarkets[Lookup: material+market],0)),"")</f>
        <v/>
      </c>
      <c r="AP52" s="81" t="str">
        <f>IFERROR(INDEX(TR_6RecyclingArranger[DEQ 6B Notes],MATCH(TR_5ExemptionClaim[[#This Row],[ID_EC]],TR_6RecyclingArranger[ID_EC],0)),"")</f>
        <v/>
      </c>
      <c r="AQ52" s="81">
        <f>SUMIFS(TR_6RecyclingArranger[DEQ 6B Eligible Pounds],TR_6RecyclingArranger[ID_EC],TR_5ExemptionClaim[[#This Row],[ID_EC]])</f>
        <v>0</v>
      </c>
      <c r="AR52" s="40"/>
      <c r="AS52" s="58"/>
    </row>
    <row r="53" spans="1:45" ht="30" customHeight="1" x14ac:dyDescent="0.2">
      <c r="A53" s="82" t="s">
        <v>967</v>
      </c>
      <c r="B53" s="46"/>
      <c r="C53" s="45"/>
      <c r="D53" s="45"/>
      <c r="E53" s="74"/>
      <c r="F5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3" s="47"/>
      <c r="H5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3" s="74"/>
      <c r="J53" s="75" t="str">
        <f>IF(TR_5ExemptionClaim[[#This Row],[If the collector is OTR, was the service provided under OTR?]]="Yes","Warning: Material collected under OTR service is not eligible for exemption.","")</f>
        <v/>
      </c>
      <c r="K53" s="47"/>
      <c r="L53" s="76"/>
      <c r="M53" s="47"/>
      <c r="N53" s="76"/>
      <c r="O53" s="104" t="str">
        <f>IF(TR_5ExemptionClaim[[#This Row],[If a CRPF handled the material, did the material undergo separation from other materials at the CRPF?]]="Yes","Warning: Material separated at a CRPF is not eligible for exemption.","")</f>
        <v/>
      </c>
      <c r="P53" s="47"/>
      <c r="Q53" s="47"/>
      <c r="R53" s="77" t="str">
        <f>IF(TR_5ExemptionClaim[[#This Row],[If the collector is OTR, was the service provided under OTR?]]="Yes","Not Eligible","")</f>
        <v/>
      </c>
      <c r="S53" s="77" t="str">
        <f>IF(TR_5ExemptionClaim[[#This Row],[If a CRPF handled the material, did the material undergo separation from other materials at the CRPF?]]="Yes","Not Eligible","")</f>
        <v/>
      </c>
      <c r="T53" s="79" t="str">
        <f>IF(TR_5ExemptionClaim[[#This Row],[Material Reporting Category (Exemption Claim)]]="","",(IFERROR(0*MATCH(TR_5ExemptionClaim[[#This Row],[Material Reporting Category (Exemption Claim)]],TR_2SuppliedPounds[Material Reporting Category],0),1)))</f>
        <v/>
      </c>
      <c r="U53" s="79">
        <f>IF(TR_5ExemptionClaim[[#This Row],[End Market Name]]="",0,IFERROR(MATCH(TR_5ExemptionClaim[[#This Row],[End Market Name]],TR_4EndMarkets[Lookup: material+market],0)*0,1))</f>
        <v>0</v>
      </c>
      <c r="V53" s="79">
        <f>IF(TR_5ExemptionClaim[[#This Row],[Subcheck: unique]]="",0,IF(COUNTIFS(TR_5ExemptionClaim[Subcheck: unique left],TR_5ExemptionClaim[[#This Row],[Subcheck: unique left]],TR_5ExemptionClaim[Subcheck: unique right],TR_5ExemptionClaim[[#This Row],[Subcheck: unique right]])&gt;1,1,0))</f>
        <v>0</v>
      </c>
      <c r="W5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3" s="79">
        <f>IF(TR_5ExemptionClaim[[#This Row],[Material Reporting Category (Exemption Claim)]]=0,0,IF(SUM(TR_5ExemptionClaim[[#This Row],[Subcheck: minimum entry]:[Subcheck: missing CRPF info]])=0,0,1))</f>
        <v>0</v>
      </c>
      <c r="Y53" s="79">
        <f>IF(TR_5ExemptionClaim[[#This Row],[Material Reporting Category (Exemption Claim)]]&lt;&gt;"",0,TR_5ExemptionClaim[[#This Row],[Subcheck: any inputs in row]])</f>
        <v>0</v>
      </c>
      <c r="Z53" s="79">
        <f>IF(TR_5ExemptionClaim[[#This Row],[How many of the pounds recycled through this pathway were supplied by this producer?]]&gt;TR_5ExemptionClaim[[#This Row],[Pounds Recycled through this Pathway]],1,0)</f>
        <v>0</v>
      </c>
      <c r="AA5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3" s="79">
        <f>IF(TR_5ExemptionClaim[[#This Row],[Collection Company Type (autofill)]]&lt;&gt;Lookups!$K$13,0,IF(TR_5ExemptionClaim[[#This Row],[If the collector is OTR, was the service provided under OTR?]]&lt;&gt;"",0,1))</f>
        <v>0</v>
      </c>
      <c r="AF53" s="79">
        <f>IF(TR_5ExemptionClaim[[#This Row],[Did a CRPF ever handle the material before it reached the end market?]]&lt;&gt;"Yes",0,IF(COUNTA(TR_5ExemptionClaim[[#This Row],[CRPF name]:[CRPF Separation Ineligibility Warning]])=3,0,1))</f>
        <v>0</v>
      </c>
      <c r="AG5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3" s="77" t="str">
        <f>LEFT(TR_5ExemptionClaim[[#This Row],[Subcheck: unique]],250)</f>
        <v/>
      </c>
      <c r="AI53" s="77" t="str">
        <f>RIGHT(TR_5ExemptionClaim[[#This Row],[Subcheck: unique]],250)</f>
        <v/>
      </c>
      <c r="AJ53" s="77">
        <f>IF(OR(TR_5ExemptionClaim[[#This Row],[Check: collection ineligibility]]="Not Eligible",TR_5ExemptionClaim[[#This Row],[Check: CRPF non-separation ineligibility]]="Not Eligible",SUM(TR_5ExemptionClaim[[#This Row],[Check: end market does not exist]:[Check pounds (Third Party Substantiated)]])&gt;0),0,1)</f>
        <v>1</v>
      </c>
      <c r="AK53" s="78" t="str">
        <f>IF(TR_5ExemptionClaim[[#This Row],[Did this producer arrange for the recycling collection?]]="No",TR_5ExemptionClaim[[#This Row],[ID_EC]],"")</f>
        <v/>
      </c>
      <c r="AL53" s="80" t="str">
        <f t="shared" si="1"/>
        <v/>
      </c>
      <c r="AM53" s="80" t="str">
        <f>IFERROR(INDEX(TR_2SuppliedPounds[DEQ 2B Notes],MATCH(TR_5ExemptionClaim[[#This Row],[Material Reporting Category (Exemption Claim)]],TR_2SuppliedPounds[Material Reporting Category],0)),"")</f>
        <v/>
      </c>
      <c r="AN53" s="80" t="str">
        <f>IFERROR(INDEX(TR_3Collectors[DEQ 3B Notes],MATCH(TR_5ExemptionClaim[[#This Row],[Collection or Transportation Service Provider Name]],TR_3Collectors[Collection or Transportation Service Provider Name],0)),"")</f>
        <v/>
      </c>
      <c r="AO53" s="80" t="str">
        <f>IFERROR(INDEX(TR_4EndMarkets[DEQ 4B Notes],MATCH(TR_5ExemptionClaim[[#This Row],[End Market Name]],TR_4EndMarkets[Lookup: material+market],0)),"")</f>
        <v/>
      </c>
      <c r="AP53" s="81" t="str">
        <f>IFERROR(INDEX(TR_6RecyclingArranger[DEQ 6B Notes],MATCH(TR_5ExemptionClaim[[#This Row],[ID_EC]],TR_6RecyclingArranger[ID_EC],0)),"")</f>
        <v/>
      </c>
      <c r="AQ53" s="81">
        <f>SUMIFS(TR_6RecyclingArranger[DEQ 6B Eligible Pounds],TR_6RecyclingArranger[ID_EC],TR_5ExemptionClaim[[#This Row],[ID_EC]])</f>
        <v>0</v>
      </c>
      <c r="AR53" s="40"/>
      <c r="AS53" s="58"/>
    </row>
    <row r="54" spans="1:45" ht="30" customHeight="1" x14ac:dyDescent="0.2">
      <c r="A54" s="82" t="s">
        <v>968</v>
      </c>
      <c r="B54" s="46"/>
      <c r="C54" s="45"/>
      <c r="D54" s="45"/>
      <c r="E54" s="74"/>
      <c r="F5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4" s="47"/>
      <c r="H5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4" s="74"/>
      <c r="J54" s="75" t="str">
        <f>IF(TR_5ExemptionClaim[[#This Row],[If the collector is OTR, was the service provided under OTR?]]="Yes","Warning: Material collected under OTR service is not eligible for exemption.","")</f>
        <v/>
      </c>
      <c r="K54" s="47"/>
      <c r="L54" s="76"/>
      <c r="M54" s="47"/>
      <c r="N54" s="76"/>
      <c r="O54" s="104" t="str">
        <f>IF(TR_5ExemptionClaim[[#This Row],[If a CRPF handled the material, did the material undergo separation from other materials at the CRPF?]]="Yes","Warning: Material separated at a CRPF is not eligible for exemption.","")</f>
        <v/>
      </c>
      <c r="P54" s="47"/>
      <c r="Q54" s="47"/>
      <c r="R54" s="77" t="str">
        <f>IF(TR_5ExemptionClaim[[#This Row],[If the collector is OTR, was the service provided under OTR?]]="Yes","Not Eligible","")</f>
        <v/>
      </c>
      <c r="S54" s="77" t="str">
        <f>IF(TR_5ExemptionClaim[[#This Row],[If a CRPF handled the material, did the material undergo separation from other materials at the CRPF?]]="Yes","Not Eligible","")</f>
        <v/>
      </c>
      <c r="T54" s="79" t="str">
        <f>IF(TR_5ExemptionClaim[[#This Row],[Material Reporting Category (Exemption Claim)]]="","",(IFERROR(0*MATCH(TR_5ExemptionClaim[[#This Row],[Material Reporting Category (Exemption Claim)]],TR_2SuppliedPounds[Material Reporting Category],0),1)))</f>
        <v/>
      </c>
      <c r="U54" s="79">
        <f>IF(TR_5ExemptionClaim[[#This Row],[End Market Name]]="",0,IFERROR(MATCH(TR_5ExemptionClaim[[#This Row],[End Market Name]],TR_4EndMarkets[Lookup: material+market],0)*0,1))</f>
        <v>0</v>
      </c>
      <c r="V54" s="79">
        <f>IF(TR_5ExemptionClaim[[#This Row],[Subcheck: unique]]="",0,IF(COUNTIFS(TR_5ExemptionClaim[Subcheck: unique left],TR_5ExemptionClaim[[#This Row],[Subcheck: unique left]],TR_5ExemptionClaim[Subcheck: unique right],TR_5ExemptionClaim[[#This Row],[Subcheck: unique right]])&gt;1,1,0))</f>
        <v>0</v>
      </c>
      <c r="W5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4" s="79">
        <f>IF(TR_5ExemptionClaim[[#This Row],[Material Reporting Category (Exemption Claim)]]=0,0,IF(SUM(TR_5ExemptionClaim[[#This Row],[Subcheck: minimum entry]:[Subcheck: missing CRPF info]])=0,0,1))</f>
        <v>0</v>
      </c>
      <c r="Y54" s="79">
        <f>IF(TR_5ExemptionClaim[[#This Row],[Material Reporting Category (Exemption Claim)]]&lt;&gt;"",0,TR_5ExemptionClaim[[#This Row],[Subcheck: any inputs in row]])</f>
        <v>0</v>
      </c>
      <c r="Z54" s="79">
        <f>IF(TR_5ExemptionClaim[[#This Row],[How many of the pounds recycled through this pathway were supplied by this producer?]]&gt;TR_5ExemptionClaim[[#This Row],[Pounds Recycled through this Pathway]],1,0)</f>
        <v>0</v>
      </c>
      <c r="AA5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4" s="79">
        <f>IF(TR_5ExemptionClaim[[#This Row],[Collection Company Type (autofill)]]&lt;&gt;Lookups!$K$13,0,IF(TR_5ExemptionClaim[[#This Row],[If the collector is OTR, was the service provided under OTR?]]&lt;&gt;"",0,1))</f>
        <v>0</v>
      </c>
      <c r="AF54" s="79">
        <f>IF(TR_5ExemptionClaim[[#This Row],[Did a CRPF ever handle the material before it reached the end market?]]&lt;&gt;"Yes",0,IF(COUNTA(TR_5ExemptionClaim[[#This Row],[CRPF name]:[CRPF Separation Ineligibility Warning]])=3,0,1))</f>
        <v>0</v>
      </c>
      <c r="AG5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4" s="77" t="str">
        <f>LEFT(TR_5ExemptionClaim[[#This Row],[Subcheck: unique]],250)</f>
        <v/>
      </c>
      <c r="AI54" s="77" t="str">
        <f>RIGHT(TR_5ExemptionClaim[[#This Row],[Subcheck: unique]],250)</f>
        <v/>
      </c>
      <c r="AJ54" s="77">
        <f>IF(OR(TR_5ExemptionClaim[[#This Row],[Check: collection ineligibility]]="Not Eligible",TR_5ExemptionClaim[[#This Row],[Check: CRPF non-separation ineligibility]]="Not Eligible",SUM(TR_5ExemptionClaim[[#This Row],[Check: end market does not exist]:[Check pounds (Third Party Substantiated)]])&gt;0),0,1)</f>
        <v>1</v>
      </c>
      <c r="AK54" s="78" t="str">
        <f>IF(TR_5ExemptionClaim[[#This Row],[Did this producer arrange for the recycling collection?]]="No",TR_5ExemptionClaim[[#This Row],[ID_EC]],"")</f>
        <v/>
      </c>
      <c r="AL54" s="80" t="str">
        <f t="shared" si="1"/>
        <v/>
      </c>
      <c r="AM54" s="80" t="str">
        <f>IFERROR(INDEX(TR_2SuppliedPounds[DEQ 2B Notes],MATCH(TR_5ExemptionClaim[[#This Row],[Material Reporting Category (Exemption Claim)]],TR_2SuppliedPounds[Material Reporting Category],0)),"")</f>
        <v/>
      </c>
      <c r="AN54" s="80" t="str">
        <f>IFERROR(INDEX(TR_3Collectors[DEQ 3B Notes],MATCH(TR_5ExemptionClaim[[#This Row],[Collection or Transportation Service Provider Name]],TR_3Collectors[Collection or Transportation Service Provider Name],0)),"")</f>
        <v/>
      </c>
      <c r="AO54" s="80" t="str">
        <f>IFERROR(INDEX(TR_4EndMarkets[DEQ 4B Notes],MATCH(TR_5ExemptionClaim[[#This Row],[End Market Name]],TR_4EndMarkets[Lookup: material+market],0)),"")</f>
        <v/>
      </c>
      <c r="AP54" s="81" t="str">
        <f>IFERROR(INDEX(TR_6RecyclingArranger[DEQ 6B Notes],MATCH(TR_5ExemptionClaim[[#This Row],[ID_EC]],TR_6RecyclingArranger[ID_EC],0)),"")</f>
        <v/>
      </c>
      <c r="AQ54" s="81">
        <f>SUMIFS(TR_6RecyclingArranger[DEQ 6B Eligible Pounds],TR_6RecyclingArranger[ID_EC],TR_5ExemptionClaim[[#This Row],[ID_EC]])</f>
        <v>0</v>
      </c>
      <c r="AR54" s="40"/>
      <c r="AS54" s="58"/>
    </row>
    <row r="55" spans="1:45" ht="30" customHeight="1" x14ac:dyDescent="0.2">
      <c r="A55" s="82" t="s">
        <v>969</v>
      </c>
      <c r="B55" s="46"/>
      <c r="C55" s="45"/>
      <c r="D55" s="45"/>
      <c r="E55" s="74"/>
      <c r="F5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5" s="47"/>
      <c r="H5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5" s="74"/>
      <c r="J55" s="75" t="str">
        <f>IF(TR_5ExemptionClaim[[#This Row],[If the collector is OTR, was the service provided under OTR?]]="Yes","Warning: Material collected under OTR service is not eligible for exemption.","")</f>
        <v/>
      </c>
      <c r="K55" s="47"/>
      <c r="L55" s="76"/>
      <c r="M55" s="47"/>
      <c r="N55" s="76"/>
      <c r="O55" s="104" t="str">
        <f>IF(TR_5ExemptionClaim[[#This Row],[If a CRPF handled the material, did the material undergo separation from other materials at the CRPF?]]="Yes","Warning: Material separated at a CRPF is not eligible for exemption.","")</f>
        <v/>
      </c>
      <c r="P55" s="47"/>
      <c r="Q55" s="47"/>
      <c r="R55" s="77" t="str">
        <f>IF(TR_5ExemptionClaim[[#This Row],[If the collector is OTR, was the service provided under OTR?]]="Yes","Not Eligible","")</f>
        <v/>
      </c>
      <c r="S55" s="77" t="str">
        <f>IF(TR_5ExemptionClaim[[#This Row],[If a CRPF handled the material, did the material undergo separation from other materials at the CRPF?]]="Yes","Not Eligible","")</f>
        <v/>
      </c>
      <c r="T55" s="79" t="str">
        <f>IF(TR_5ExemptionClaim[[#This Row],[Material Reporting Category (Exemption Claim)]]="","",(IFERROR(0*MATCH(TR_5ExemptionClaim[[#This Row],[Material Reporting Category (Exemption Claim)]],TR_2SuppliedPounds[Material Reporting Category],0),1)))</f>
        <v/>
      </c>
      <c r="U55" s="79">
        <f>IF(TR_5ExemptionClaim[[#This Row],[End Market Name]]="",0,IFERROR(MATCH(TR_5ExemptionClaim[[#This Row],[End Market Name]],TR_4EndMarkets[Lookup: material+market],0)*0,1))</f>
        <v>0</v>
      </c>
      <c r="V55" s="79">
        <f>IF(TR_5ExemptionClaim[[#This Row],[Subcheck: unique]]="",0,IF(COUNTIFS(TR_5ExemptionClaim[Subcheck: unique left],TR_5ExemptionClaim[[#This Row],[Subcheck: unique left]],TR_5ExemptionClaim[Subcheck: unique right],TR_5ExemptionClaim[[#This Row],[Subcheck: unique right]])&gt;1,1,0))</f>
        <v>0</v>
      </c>
      <c r="W5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5" s="79">
        <f>IF(TR_5ExemptionClaim[[#This Row],[Material Reporting Category (Exemption Claim)]]=0,0,IF(SUM(TR_5ExemptionClaim[[#This Row],[Subcheck: minimum entry]:[Subcheck: missing CRPF info]])=0,0,1))</f>
        <v>0</v>
      </c>
      <c r="Y55" s="79">
        <f>IF(TR_5ExemptionClaim[[#This Row],[Material Reporting Category (Exemption Claim)]]&lt;&gt;"",0,TR_5ExemptionClaim[[#This Row],[Subcheck: any inputs in row]])</f>
        <v>0</v>
      </c>
      <c r="Z55" s="79">
        <f>IF(TR_5ExemptionClaim[[#This Row],[How many of the pounds recycled through this pathway were supplied by this producer?]]&gt;TR_5ExemptionClaim[[#This Row],[Pounds Recycled through this Pathway]],1,0)</f>
        <v>0</v>
      </c>
      <c r="AA5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5" s="79">
        <f>IF(TR_5ExemptionClaim[[#This Row],[Collection Company Type (autofill)]]&lt;&gt;Lookups!$K$13,0,IF(TR_5ExemptionClaim[[#This Row],[If the collector is OTR, was the service provided under OTR?]]&lt;&gt;"",0,1))</f>
        <v>0</v>
      </c>
      <c r="AF55" s="79">
        <f>IF(TR_5ExemptionClaim[[#This Row],[Did a CRPF ever handle the material before it reached the end market?]]&lt;&gt;"Yes",0,IF(COUNTA(TR_5ExemptionClaim[[#This Row],[CRPF name]:[CRPF Separation Ineligibility Warning]])=3,0,1))</f>
        <v>0</v>
      </c>
      <c r="AG5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5" s="77" t="str">
        <f>LEFT(TR_5ExemptionClaim[[#This Row],[Subcheck: unique]],250)</f>
        <v/>
      </c>
      <c r="AI55" s="77" t="str">
        <f>RIGHT(TR_5ExemptionClaim[[#This Row],[Subcheck: unique]],250)</f>
        <v/>
      </c>
      <c r="AJ55" s="77">
        <f>IF(OR(TR_5ExemptionClaim[[#This Row],[Check: collection ineligibility]]="Not Eligible",TR_5ExemptionClaim[[#This Row],[Check: CRPF non-separation ineligibility]]="Not Eligible",SUM(TR_5ExemptionClaim[[#This Row],[Check: end market does not exist]:[Check pounds (Third Party Substantiated)]])&gt;0),0,1)</f>
        <v>1</v>
      </c>
      <c r="AK55" s="78" t="str">
        <f>IF(TR_5ExemptionClaim[[#This Row],[Did this producer arrange for the recycling collection?]]="No",TR_5ExemptionClaim[[#This Row],[ID_EC]],"")</f>
        <v/>
      </c>
      <c r="AL55" s="80" t="str">
        <f t="shared" si="1"/>
        <v/>
      </c>
      <c r="AM55" s="80" t="str">
        <f>IFERROR(INDEX(TR_2SuppliedPounds[DEQ 2B Notes],MATCH(TR_5ExemptionClaim[[#This Row],[Material Reporting Category (Exemption Claim)]],TR_2SuppliedPounds[Material Reporting Category],0)),"")</f>
        <v/>
      </c>
      <c r="AN55" s="80" t="str">
        <f>IFERROR(INDEX(TR_3Collectors[DEQ 3B Notes],MATCH(TR_5ExemptionClaim[[#This Row],[Collection or Transportation Service Provider Name]],TR_3Collectors[Collection or Transportation Service Provider Name],0)),"")</f>
        <v/>
      </c>
      <c r="AO55" s="80" t="str">
        <f>IFERROR(INDEX(TR_4EndMarkets[DEQ 4B Notes],MATCH(TR_5ExemptionClaim[[#This Row],[End Market Name]],TR_4EndMarkets[Lookup: material+market],0)),"")</f>
        <v/>
      </c>
      <c r="AP55" s="81" t="str">
        <f>IFERROR(INDEX(TR_6RecyclingArranger[DEQ 6B Notes],MATCH(TR_5ExemptionClaim[[#This Row],[ID_EC]],TR_6RecyclingArranger[ID_EC],0)),"")</f>
        <v/>
      </c>
      <c r="AQ55" s="81">
        <f>SUMIFS(TR_6RecyclingArranger[DEQ 6B Eligible Pounds],TR_6RecyclingArranger[ID_EC],TR_5ExemptionClaim[[#This Row],[ID_EC]])</f>
        <v>0</v>
      </c>
      <c r="AR55" s="40"/>
      <c r="AS55" s="58"/>
    </row>
    <row r="56" spans="1:45" ht="30" customHeight="1" x14ac:dyDescent="0.2">
      <c r="A56" s="82" t="s">
        <v>970</v>
      </c>
      <c r="B56" s="46"/>
      <c r="C56" s="45"/>
      <c r="D56" s="45"/>
      <c r="E56" s="74"/>
      <c r="F5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6" s="47"/>
      <c r="H5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6" s="74"/>
      <c r="J56" s="75" t="str">
        <f>IF(TR_5ExemptionClaim[[#This Row],[If the collector is OTR, was the service provided under OTR?]]="Yes","Warning: Material collected under OTR service is not eligible for exemption.","")</f>
        <v/>
      </c>
      <c r="K56" s="47"/>
      <c r="L56" s="76"/>
      <c r="M56" s="47"/>
      <c r="N56" s="76"/>
      <c r="O56" s="104" t="str">
        <f>IF(TR_5ExemptionClaim[[#This Row],[If a CRPF handled the material, did the material undergo separation from other materials at the CRPF?]]="Yes","Warning: Material separated at a CRPF is not eligible for exemption.","")</f>
        <v/>
      </c>
      <c r="P56" s="47"/>
      <c r="Q56" s="47"/>
      <c r="R56" s="77" t="str">
        <f>IF(TR_5ExemptionClaim[[#This Row],[If the collector is OTR, was the service provided under OTR?]]="Yes","Not Eligible","")</f>
        <v/>
      </c>
      <c r="S56" s="77" t="str">
        <f>IF(TR_5ExemptionClaim[[#This Row],[If a CRPF handled the material, did the material undergo separation from other materials at the CRPF?]]="Yes","Not Eligible","")</f>
        <v/>
      </c>
      <c r="T56" s="79" t="str">
        <f>IF(TR_5ExemptionClaim[[#This Row],[Material Reporting Category (Exemption Claim)]]="","",(IFERROR(0*MATCH(TR_5ExemptionClaim[[#This Row],[Material Reporting Category (Exemption Claim)]],TR_2SuppliedPounds[Material Reporting Category],0),1)))</f>
        <v/>
      </c>
      <c r="U56" s="79">
        <f>IF(TR_5ExemptionClaim[[#This Row],[End Market Name]]="",0,IFERROR(MATCH(TR_5ExemptionClaim[[#This Row],[End Market Name]],TR_4EndMarkets[Lookup: material+market],0)*0,1))</f>
        <v>0</v>
      </c>
      <c r="V56" s="79">
        <f>IF(TR_5ExemptionClaim[[#This Row],[Subcheck: unique]]="",0,IF(COUNTIFS(TR_5ExemptionClaim[Subcheck: unique left],TR_5ExemptionClaim[[#This Row],[Subcheck: unique left]],TR_5ExemptionClaim[Subcheck: unique right],TR_5ExemptionClaim[[#This Row],[Subcheck: unique right]])&gt;1,1,0))</f>
        <v>0</v>
      </c>
      <c r="W5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6" s="79">
        <f>IF(TR_5ExemptionClaim[[#This Row],[Material Reporting Category (Exemption Claim)]]=0,0,IF(SUM(TR_5ExemptionClaim[[#This Row],[Subcheck: minimum entry]:[Subcheck: missing CRPF info]])=0,0,1))</f>
        <v>0</v>
      </c>
      <c r="Y56" s="79">
        <f>IF(TR_5ExemptionClaim[[#This Row],[Material Reporting Category (Exemption Claim)]]&lt;&gt;"",0,TR_5ExemptionClaim[[#This Row],[Subcheck: any inputs in row]])</f>
        <v>0</v>
      </c>
      <c r="Z56" s="79">
        <f>IF(TR_5ExemptionClaim[[#This Row],[How many of the pounds recycled through this pathway were supplied by this producer?]]&gt;TR_5ExemptionClaim[[#This Row],[Pounds Recycled through this Pathway]],1,0)</f>
        <v>0</v>
      </c>
      <c r="AA5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6" s="79">
        <f>IF(TR_5ExemptionClaim[[#This Row],[Collection Company Type (autofill)]]&lt;&gt;Lookups!$K$13,0,IF(TR_5ExemptionClaim[[#This Row],[If the collector is OTR, was the service provided under OTR?]]&lt;&gt;"",0,1))</f>
        <v>0</v>
      </c>
      <c r="AF56" s="79">
        <f>IF(TR_5ExemptionClaim[[#This Row],[Did a CRPF ever handle the material before it reached the end market?]]&lt;&gt;"Yes",0,IF(COUNTA(TR_5ExemptionClaim[[#This Row],[CRPF name]:[CRPF Separation Ineligibility Warning]])=3,0,1))</f>
        <v>0</v>
      </c>
      <c r="AG5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6" s="77" t="str">
        <f>LEFT(TR_5ExemptionClaim[[#This Row],[Subcheck: unique]],250)</f>
        <v/>
      </c>
      <c r="AI56" s="77" t="str">
        <f>RIGHT(TR_5ExemptionClaim[[#This Row],[Subcheck: unique]],250)</f>
        <v/>
      </c>
      <c r="AJ56" s="77">
        <f>IF(OR(TR_5ExemptionClaim[[#This Row],[Check: collection ineligibility]]="Not Eligible",TR_5ExemptionClaim[[#This Row],[Check: CRPF non-separation ineligibility]]="Not Eligible",SUM(TR_5ExemptionClaim[[#This Row],[Check: end market does not exist]:[Check pounds (Third Party Substantiated)]])&gt;0),0,1)</f>
        <v>1</v>
      </c>
      <c r="AK56" s="78" t="str">
        <f>IF(TR_5ExemptionClaim[[#This Row],[Did this producer arrange for the recycling collection?]]="No",TR_5ExemptionClaim[[#This Row],[ID_EC]],"")</f>
        <v/>
      </c>
      <c r="AL56" s="80" t="str">
        <f t="shared" si="1"/>
        <v/>
      </c>
      <c r="AM56" s="80" t="str">
        <f>IFERROR(INDEX(TR_2SuppliedPounds[DEQ 2B Notes],MATCH(TR_5ExemptionClaim[[#This Row],[Material Reporting Category (Exemption Claim)]],TR_2SuppliedPounds[Material Reporting Category],0)),"")</f>
        <v/>
      </c>
      <c r="AN56" s="80" t="str">
        <f>IFERROR(INDEX(TR_3Collectors[DEQ 3B Notes],MATCH(TR_5ExemptionClaim[[#This Row],[Collection or Transportation Service Provider Name]],TR_3Collectors[Collection or Transportation Service Provider Name],0)),"")</f>
        <v/>
      </c>
      <c r="AO56" s="80" t="str">
        <f>IFERROR(INDEX(TR_4EndMarkets[DEQ 4B Notes],MATCH(TR_5ExemptionClaim[[#This Row],[End Market Name]],TR_4EndMarkets[Lookup: material+market],0)),"")</f>
        <v/>
      </c>
      <c r="AP56" s="81" t="str">
        <f>IFERROR(INDEX(TR_6RecyclingArranger[DEQ 6B Notes],MATCH(TR_5ExemptionClaim[[#This Row],[ID_EC]],TR_6RecyclingArranger[ID_EC],0)),"")</f>
        <v/>
      </c>
      <c r="AQ56" s="81">
        <f>SUMIFS(TR_6RecyclingArranger[DEQ 6B Eligible Pounds],TR_6RecyclingArranger[ID_EC],TR_5ExemptionClaim[[#This Row],[ID_EC]])</f>
        <v>0</v>
      </c>
      <c r="AR56" s="40"/>
      <c r="AS56" s="58"/>
    </row>
    <row r="57" spans="1:45" ht="30" customHeight="1" x14ac:dyDescent="0.2">
      <c r="A57" s="82" t="s">
        <v>971</v>
      </c>
      <c r="B57" s="46"/>
      <c r="C57" s="45"/>
      <c r="D57" s="45"/>
      <c r="E57" s="74"/>
      <c r="F5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7" s="47"/>
      <c r="H5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7" s="74"/>
      <c r="J57" s="75" t="str">
        <f>IF(TR_5ExemptionClaim[[#This Row],[If the collector is OTR, was the service provided under OTR?]]="Yes","Warning: Material collected under OTR service is not eligible for exemption.","")</f>
        <v/>
      </c>
      <c r="K57" s="47"/>
      <c r="L57" s="76"/>
      <c r="M57" s="47"/>
      <c r="N57" s="76"/>
      <c r="O57" s="104" t="str">
        <f>IF(TR_5ExemptionClaim[[#This Row],[If a CRPF handled the material, did the material undergo separation from other materials at the CRPF?]]="Yes","Warning: Material separated at a CRPF is not eligible for exemption.","")</f>
        <v/>
      </c>
      <c r="P57" s="47"/>
      <c r="Q57" s="47"/>
      <c r="R57" s="77" t="str">
        <f>IF(TR_5ExemptionClaim[[#This Row],[If the collector is OTR, was the service provided under OTR?]]="Yes","Not Eligible","")</f>
        <v/>
      </c>
      <c r="S57" s="77" t="str">
        <f>IF(TR_5ExemptionClaim[[#This Row],[If a CRPF handled the material, did the material undergo separation from other materials at the CRPF?]]="Yes","Not Eligible","")</f>
        <v/>
      </c>
      <c r="T57" s="79" t="str">
        <f>IF(TR_5ExemptionClaim[[#This Row],[Material Reporting Category (Exemption Claim)]]="","",(IFERROR(0*MATCH(TR_5ExemptionClaim[[#This Row],[Material Reporting Category (Exemption Claim)]],TR_2SuppliedPounds[Material Reporting Category],0),1)))</f>
        <v/>
      </c>
      <c r="U57" s="79">
        <f>IF(TR_5ExemptionClaim[[#This Row],[End Market Name]]="",0,IFERROR(MATCH(TR_5ExemptionClaim[[#This Row],[End Market Name]],TR_4EndMarkets[Lookup: material+market],0)*0,1))</f>
        <v>0</v>
      </c>
      <c r="V57" s="79">
        <f>IF(TR_5ExemptionClaim[[#This Row],[Subcheck: unique]]="",0,IF(COUNTIFS(TR_5ExemptionClaim[Subcheck: unique left],TR_5ExemptionClaim[[#This Row],[Subcheck: unique left]],TR_5ExemptionClaim[Subcheck: unique right],TR_5ExemptionClaim[[#This Row],[Subcheck: unique right]])&gt;1,1,0))</f>
        <v>0</v>
      </c>
      <c r="W5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7" s="79">
        <f>IF(TR_5ExemptionClaim[[#This Row],[Material Reporting Category (Exemption Claim)]]=0,0,IF(SUM(TR_5ExemptionClaim[[#This Row],[Subcheck: minimum entry]:[Subcheck: missing CRPF info]])=0,0,1))</f>
        <v>0</v>
      </c>
      <c r="Y57" s="79">
        <f>IF(TR_5ExemptionClaim[[#This Row],[Material Reporting Category (Exemption Claim)]]&lt;&gt;"",0,TR_5ExemptionClaim[[#This Row],[Subcheck: any inputs in row]])</f>
        <v>0</v>
      </c>
      <c r="Z57" s="79">
        <f>IF(TR_5ExemptionClaim[[#This Row],[How many of the pounds recycled through this pathway were supplied by this producer?]]&gt;TR_5ExemptionClaim[[#This Row],[Pounds Recycled through this Pathway]],1,0)</f>
        <v>0</v>
      </c>
      <c r="AA5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7" s="79">
        <f>IF(TR_5ExemptionClaim[[#This Row],[Collection Company Type (autofill)]]&lt;&gt;Lookups!$K$13,0,IF(TR_5ExemptionClaim[[#This Row],[If the collector is OTR, was the service provided under OTR?]]&lt;&gt;"",0,1))</f>
        <v>0</v>
      </c>
      <c r="AF57" s="79">
        <f>IF(TR_5ExemptionClaim[[#This Row],[Did a CRPF ever handle the material before it reached the end market?]]&lt;&gt;"Yes",0,IF(COUNTA(TR_5ExemptionClaim[[#This Row],[CRPF name]:[CRPF Separation Ineligibility Warning]])=3,0,1))</f>
        <v>0</v>
      </c>
      <c r="AG5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7" s="77" t="str">
        <f>LEFT(TR_5ExemptionClaim[[#This Row],[Subcheck: unique]],250)</f>
        <v/>
      </c>
      <c r="AI57" s="77" t="str">
        <f>RIGHT(TR_5ExemptionClaim[[#This Row],[Subcheck: unique]],250)</f>
        <v/>
      </c>
      <c r="AJ57" s="77">
        <f>IF(OR(TR_5ExemptionClaim[[#This Row],[Check: collection ineligibility]]="Not Eligible",TR_5ExemptionClaim[[#This Row],[Check: CRPF non-separation ineligibility]]="Not Eligible",SUM(TR_5ExemptionClaim[[#This Row],[Check: end market does not exist]:[Check pounds (Third Party Substantiated)]])&gt;0),0,1)</f>
        <v>1</v>
      </c>
      <c r="AK57" s="78" t="str">
        <f>IF(TR_5ExemptionClaim[[#This Row],[Did this producer arrange for the recycling collection?]]="No",TR_5ExemptionClaim[[#This Row],[ID_EC]],"")</f>
        <v/>
      </c>
      <c r="AL57" s="80" t="str">
        <f t="shared" si="1"/>
        <v/>
      </c>
      <c r="AM57" s="80" t="str">
        <f>IFERROR(INDEX(TR_2SuppliedPounds[DEQ 2B Notes],MATCH(TR_5ExemptionClaim[[#This Row],[Material Reporting Category (Exemption Claim)]],TR_2SuppliedPounds[Material Reporting Category],0)),"")</f>
        <v/>
      </c>
      <c r="AN57" s="80" t="str">
        <f>IFERROR(INDEX(TR_3Collectors[DEQ 3B Notes],MATCH(TR_5ExemptionClaim[[#This Row],[Collection or Transportation Service Provider Name]],TR_3Collectors[Collection or Transportation Service Provider Name],0)),"")</f>
        <v/>
      </c>
      <c r="AO57" s="80" t="str">
        <f>IFERROR(INDEX(TR_4EndMarkets[DEQ 4B Notes],MATCH(TR_5ExemptionClaim[[#This Row],[End Market Name]],TR_4EndMarkets[Lookup: material+market],0)),"")</f>
        <v/>
      </c>
      <c r="AP57" s="81" t="str">
        <f>IFERROR(INDEX(TR_6RecyclingArranger[DEQ 6B Notes],MATCH(TR_5ExemptionClaim[[#This Row],[ID_EC]],TR_6RecyclingArranger[ID_EC],0)),"")</f>
        <v/>
      </c>
      <c r="AQ57" s="81">
        <f>SUMIFS(TR_6RecyclingArranger[DEQ 6B Eligible Pounds],TR_6RecyclingArranger[ID_EC],TR_5ExemptionClaim[[#This Row],[ID_EC]])</f>
        <v>0</v>
      </c>
      <c r="AR57" s="40"/>
      <c r="AS57" s="58"/>
    </row>
    <row r="58" spans="1:45" ht="30" customHeight="1" x14ac:dyDescent="0.2">
      <c r="A58" s="82" t="s">
        <v>972</v>
      </c>
      <c r="B58" s="46"/>
      <c r="C58" s="45"/>
      <c r="D58" s="45"/>
      <c r="E58" s="74"/>
      <c r="F5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8" s="47"/>
      <c r="H5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8" s="74"/>
      <c r="J58" s="75" t="str">
        <f>IF(TR_5ExemptionClaim[[#This Row],[If the collector is OTR, was the service provided under OTR?]]="Yes","Warning: Material collected under OTR service is not eligible for exemption.","")</f>
        <v/>
      </c>
      <c r="K58" s="47"/>
      <c r="L58" s="76"/>
      <c r="M58" s="47"/>
      <c r="N58" s="76"/>
      <c r="O58" s="104" t="str">
        <f>IF(TR_5ExemptionClaim[[#This Row],[If a CRPF handled the material, did the material undergo separation from other materials at the CRPF?]]="Yes","Warning: Material separated at a CRPF is not eligible for exemption.","")</f>
        <v/>
      </c>
      <c r="P58" s="47"/>
      <c r="Q58" s="47"/>
      <c r="R58" s="77" t="str">
        <f>IF(TR_5ExemptionClaim[[#This Row],[If the collector is OTR, was the service provided under OTR?]]="Yes","Not Eligible","")</f>
        <v/>
      </c>
      <c r="S58" s="77" t="str">
        <f>IF(TR_5ExemptionClaim[[#This Row],[If a CRPF handled the material, did the material undergo separation from other materials at the CRPF?]]="Yes","Not Eligible","")</f>
        <v/>
      </c>
      <c r="T58" s="79" t="str">
        <f>IF(TR_5ExemptionClaim[[#This Row],[Material Reporting Category (Exemption Claim)]]="","",(IFERROR(0*MATCH(TR_5ExemptionClaim[[#This Row],[Material Reporting Category (Exemption Claim)]],TR_2SuppliedPounds[Material Reporting Category],0),1)))</f>
        <v/>
      </c>
      <c r="U58" s="79">
        <f>IF(TR_5ExemptionClaim[[#This Row],[End Market Name]]="",0,IFERROR(MATCH(TR_5ExemptionClaim[[#This Row],[End Market Name]],TR_4EndMarkets[Lookup: material+market],0)*0,1))</f>
        <v>0</v>
      </c>
      <c r="V58" s="79">
        <f>IF(TR_5ExemptionClaim[[#This Row],[Subcheck: unique]]="",0,IF(COUNTIFS(TR_5ExemptionClaim[Subcheck: unique left],TR_5ExemptionClaim[[#This Row],[Subcheck: unique left]],TR_5ExemptionClaim[Subcheck: unique right],TR_5ExemptionClaim[[#This Row],[Subcheck: unique right]])&gt;1,1,0))</f>
        <v>0</v>
      </c>
      <c r="W5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8" s="79">
        <f>IF(TR_5ExemptionClaim[[#This Row],[Material Reporting Category (Exemption Claim)]]=0,0,IF(SUM(TR_5ExemptionClaim[[#This Row],[Subcheck: minimum entry]:[Subcheck: missing CRPF info]])=0,0,1))</f>
        <v>0</v>
      </c>
      <c r="Y58" s="79">
        <f>IF(TR_5ExemptionClaim[[#This Row],[Material Reporting Category (Exemption Claim)]]&lt;&gt;"",0,TR_5ExemptionClaim[[#This Row],[Subcheck: any inputs in row]])</f>
        <v>0</v>
      </c>
      <c r="Z58" s="79">
        <f>IF(TR_5ExemptionClaim[[#This Row],[How many of the pounds recycled through this pathway were supplied by this producer?]]&gt;TR_5ExemptionClaim[[#This Row],[Pounds Recycled through this Pathway]],1,0)</f>
        <v>0</v>
      </c>
      <c r="AA5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8" s="79">
        <f>IF(TR_5ExemptionClaim[[#This Row],[Collection Company Type (autofill)]]&lt;&gt;Lookups!$K$13,0,IF(TR_5ExemptionClaim[[#This Row],[If the collector is OTR, was the service provided under OTR?]]&lt;&gt;"",0,1))</f>
        <v>0</v>
      </c>
      <c r="AF58" s="79">
        <f>IF(TR_5ExemptionClaim[[#This Row],[Did a CRPF ever handle the material before it reached the end market?]]&lt;&gt;"Yes",0,IF(COUNTA(TR_5ExemptionClaim[[#This Row],[CRPF name]:[CRPF Separation Ineligibility Warning]])=3,0,1))</f>
        <v>0</v>
      </c>
      <c r="AG5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8" s="77" t="str">
        <f>LEFT(TR_5ExemptionClaim[[#This Row],[Subcheck: unique]],250)</f>
        <v/>
      </c>
      <c r="AI58" s="77" t="str">
        <f>RIGHT(TR_5ExemptionClaim[[#This Row],[Subcheck: unique]],250)</f>
        <v/>
      </c>
      <c r="AJ58" s="77">
        <f>IF(OR(TR_5ExemptionClaim[[#This Row],[Check: collection ineligibility]]="Not Eligible",TR_5ExemptionClaim[[#This Row],[Check: CRPF non-separation ineligibility]]="Not Eligible",SUM(TR_5ExemptionClaim[[#This Row],[Check: end market does not exist]:[Check pounds (Third Party Substantiated)]])&gt;0),0,1)</f>
        <v>1</v>
      </c>
      <c r="AK58" s="78" t="str">
        <f>IF(TR_5ExemptionClaim[[#This Row],[Did this producer arrange for the recycling collection?]]="No",TR_5ExemptionClaim[[#This Row],[ID_EC]],"")</f>
        <v/>
      </c>
      <c r="AL58" s="80" t="str">
        <f t="shared" si="1"/>
        <v/>
      </c>
      <c r="AM58" s="80" t="str">
        <f>IFERROR(INDEX(TR_2SuppliedPounds[DEQ 2B Notes],MATCH(TR_5ExemptionClaim[[#This Row],[Material Reporting Category (Exemption Claim)]],TR_2SuppliedPounds[Material Reporting Category],0)),"")</f>
        <v/>
      </c>
      <c r="AN58" s="80" t="str">
        <f>IFERROR(INDEX(TR_3Collectors[DEQ 3B Notes],MATCH(TR_5ExemptionClaim[[#This Row],[Collection or Transportation Service Provider Name]],TR_3Collectors[Collection or Transportation Service Provider Name],0)),"")</f>
        <v/>
      </c>
      <c r="AO58" s="80" t="str">
        <f>IFERROR(INDEX(TR_4EndMarkets[DEQ 4B Notes],MATCH(TR_5ExemptionClaim[[#This Row],[End Market Name]],TR_4EndMarkets[Lookup: material+market],0)),"")</f>
        <v/>
      </c>
      <c r="AP58" s="81" t="str">
        <f>IFERROR(INDEX(TR_6RecyclingArranger[DEQ 6B Notes],MATCH(TR_5ExemptionClaim[[#This Row],[ID_EC]],TR_6RecyclingArranger[ID_EC],0)),"")</f>
        <v/>
      </c>
      <c r="AQ58" s="81">
        <f>SUMIFS(TR_6RecyclingArranger[DEQ 6B Eligible Pounds],TR_6RecyclingArranger[ID_EC],TR_5ExemptionClaim[[#This Row],[ID_EC]])</f>
        <v>0</v>
      </c>
      <c r="AR58" s="40"/>
      <c r="AS58" s="58"/>
    </row>
    <row r="59" spans="1:45" ht="30" customHeight="1" x14ac:dyDescent="0.2">
      <c r="A59" s="82" t="s">
        <v>973</v>
      </c>
      <c r="B59" s="46"/>
      <c r="C59" s="45"/>
      <c r="D59" s="45"/>
      <c r="E59" s="74"/>
      <c r="F5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59" s="47"/>
      <c r="H5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59" s="74"/>
      <c r="J59" s="75" t="str">
        <f>IF(TR_5ExemptionClaim[[#This Row],[If the collector is OTR, was the service provided under OTR?]]="Yes","Warning: Material collected under OTR service is not eligible for exemption.","")</f>
        <v/>
      </c>
      <c r="K59" s="47"/>
      <c r="L59" s="76"/>
      <c r="M59" s="47"/>
      <c r="N59" s="76"/>
      <c r="O59" s="104" t="str">
        <f>IF(TR_5ExemptionClaim[[#This Row],[If a CRPF handled the material, did the material undergo separation from other materials at the CRPF?]]="Yes","Warning: Material separated at a CRPF is not eligible for exemption.","")</f>
        <v/>
      </c>
      <c r="P59" s="47"/>
      <c r="Q59" s="47"/>
      <c r="R59" s="77" t="str">
        <f>IF(TR_5ExemptionClaim[[#This Row],[If the collector is OTR, was the service provided under OTR?]]="Yes","Not Eligible","")</f>
        <v/>
      </c>
      <c r="S59" s="77" t="str">
        <f>IF(TR_5ExemptionClaim[[#This Row],[If a CRPF handled the material, did the material undergo separation from other materials at the CRPF?]]="Yes","Not Eligible","")</f>
        <v/>
      </c>
      <c r="T59" s="79" t="str">
        <f>IF(TR_5ExemptionClaim[[#This Row],[Material Reporting Category (Exemption Claim)]]="","",(IFERROR(0*MATCH(TR_5ExemptionClaim[[#This Row],[Material Reporting Category (Exemption Claim)]],TR_2SuppliedPounds[Material Reporting Category],0),1)))</f>
        <v/>
      </c>
      <c r="U59" s="79">
        <f>IF(TR_5ExemptionClaim[[#This Row],[End Market Name]]="",0,IFERROR(MATCH(TR_5ExemptionClaim[[#This Row],[End Market Name]],TR_4EndMarkets[Lookup: material+market],0)*0,1))</f>
        <v>0</v>
      </c>
      <c r="V59" s="79">
        <f>IF(TR_5ExemptionClaim[[#This Row],[Subcheck: unique]]="",0,IF(COUNTIFS(TR_5ExemptionClaim[Subcheck: unique left],TR_5ExemptionClaim[[#This Row],[Subcheck: unique left]],TR_5ExemptionClaim[Subcheck: unique right],TR_5ExemptionClaim[[#This Row],[Subcheck: unique right]])&gt;1,1,0))</f>
        <v>0</v>
      </c>
      <c r="W5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59" s="79">
        <f>IF(TR_5ExemptionClaim[[#This Row],[Material Reporting Category (Exemption Claim)]]=0,0,IF(SUM(TR_5ExemptionClaim[[#This Row],[Subcheck: minimum entry]:[Subcheck: missing CRPF info]])=0,0,1))</f>
        <v>0</v>
      </c>
      <c r="Y59" s="79">
        <f>IF(TR_5ExemptionClaim[[#This Row],[Material Reporting Category (Exemption Claim)]]&lt;&gt;"",0,TR_5ExemptionClaim[[#This Row],[Subcheck: any inputs in row]])</f>
        <v>0</v>
      </c>
      <c r="Z59" s="79">
        <f>IF(TR_5ExemptionClaim[[#This Row],[How many of the pounds recycled through this pathway were supplied by this producer?]]&gt;TR_5ExemptionClaim[[#This Row],[Pounds Recycled through this Pathway]],1,0)</f>
        <v>0</v>
      </c>
      <c r="AA5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5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5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5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59" s="79">
        <f>IF(TR_5ExemptionClaim[[#This Row],[Collection Company Type (autofill)]]&lt;&gt;Lookups!$K$13,0,IF(TR_5ExemptionClaim[[#This Row],[If the collector is OTR, was the service provided under OTR?]]&lt;&gt;"",0,1))</f>
        <v>0</v>
      </c>
      <c r="AF59" s="79">
        <f>IF(TR_5ExemptionClaim[[#This Row],[Did a CRPF ever handle the material before it reached the end market?]]&lt;&gt;"Yes",0,IF(COUNTA(TR_5ExemptionClaim[[#This Row],[CRPF name]:[CRPF Separation Ineligibility Warning]])=3,0,1))</f>
        <v>0</v>
      </c>
      <c r="AG5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59" s="77" t="str">
        <f>LEFT(TR_5ExemptionClaim[[#This Row],[Subcheck: unique]],250)</f>
        <v/>
      </c>
      <c r="AI59" s="77" t="str">
        <f>RIGHT(TR_5ExemptionClaim[[#This Row],[Subcheck: unique]],250)</f>
        <v/>
      </c>
      <c r="AJ59" s="77">
        <f>IF(OR(TR_5ExemptionClaim[[#This Row],[Check: collection ineligibility]]="Not Eligible",TR_5ExemptionClaim[[#This Row],[Check: CRPF non-separation ineligibility]]="Not Eligible",SUM(TR_5ExemptionClaim[[#This Row],[Check: end market does not exist]:[Check pounds (Third Party Substantiated)]])&gt;0),0,1)</f>
        <v>1</v>
      </c>
      <c r="AK59" s="78" t="str">
        <f>IF(TR_5ExemptionClaim[[#This Row],[Did this producer arrange for the recycling collection?]]="No",TR_5ExemptionClaim[[#This Row],[ID_EC]],"")</f>
        <v/>
      </c>
      <c r="AL59" s="80" t="str">
        <f t="shared" si="1"/>
        <v/>
      </c>
      <c r="AM59" s="80" t="str">
        <f>IFERROR(INDEX(TR_2SuppliedPounds[DEQ 2B Notes],MATCH(TR_5ExemptionClaim[[#This Row],[Material Reporting Category (Exemption Claim)]],TR_2SuppliedPounds[Material Reporting Category],0)),"")</f>
        <v/>
      </c>
      <c r="AN59" s="80" t="str">
        <f>IFERROR(INDEX(TR_3Collectors[DEQ 3B Notes],MATCH(TR_5ExemptionClaim[[#This Row],[Collection or Transportation Service Provider Name]],TR_3Collectors[Collection or Transportation Service Provider Name],0)),"")</f>
        <v/>
      </c>
      <c r="AO59" s="80" t="str">
        <f>IFERROR(INDEX(TR_4EndMarkets[DEQ 4B Notes],MATCH(TR_5ExemptionClaim[[#This Row],[End Market Name]],TR_4EndMarkets[Lookup: material+market],0)),"")</f>
        <v/>
      </c>
      <c r="AP59" s="81" t="str">
        <f>IFERROR(INDEX(TR_6RecyclingArranger[DEQ 6B Notes],MATCH(TR_5ExemptionClaim[[#This Row],[ID_EC]],TR_6RecyclingArranger[ID_EC],0)),"")</f>
        <v/>
      </c>
      <c r="AQ59" s="81">
        <f>SUMIFS(TR_6RecyclingArranger[DEQ 6B Eligible Pounds],TR_6RecyclingArranger[ID_EC],TR_5ExemptionClaim[[#This Row],[ID_EC]])</f>
        <v>0</v>
      </c>
      <c r="AR59" s="40"/>
      <c r="AS59" s="58"/>
    </row>
    <row r="60" spans="1:45" ht="30" customHeight="1" x14ac:dyDescent="0.2">
      <c r="A60" s="82" t="s">
        <v>974</v>
      </c>
      <c r="B60" s="46"/>
      <c r="C60" s="45"/>
      <c r="D60" s="45"/>
      <c r="E60" s="74"/>
      <c r="F6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0" s="47"/>
      <c r="H6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0" s="74"/>
      <c r="J60" s="75" t="str">
        <f>IF(TR_5ExemptionClaim[[#This Row],[If the collector is OTR, was the service provided under OTR?]]="Yes","Warning: Material collected under OTR service is not eligible for exemption.","")</f>
        <v/>
      </c>
      <c r="K60" s="47"/>
      <c r="L60" s="76"/>
      <c r="M60" s="47"/>
      <c r="N60" s="76"/>
      <c r="O60" s="104" t="str">
        <f>IF(TR_5ExemptionClaim[[#This Row],[If a CRPF handled the material, did the material undergo separation from other materials at the CRPF?]]="Yes","Warning: Material separated at a CRPF is not eligible for exemption.","")</f>
        <v/>
      </c>
      <c r="P60" s="47"/>
      <c r="Q60" s="47"/>
      <c r="R60" s="77" t="str">
        <f>IF(TR_5ExemptionClaim[[#This Row],[If the collector is OTR, was the service provided under OTR?]]="Yes","Not Eligible","")</f>
        <v/>
      </c>
      <c r="S60" s="77" t="str">
        <f>IF(TR_5ExemptionClaim[[#This Row],[If a CRPF handled the material, did the material undergo separation from other materials at the CRPF?]]="Yes","Not Eligible","")</f>
        <v/>
      </c>
      <c r="T60" s="79" t="str">
        <f>IF(TR_5ExemptionClaim[[#This Row],[Material Reporting Category (Exemption Claim)]]="","",(IFERROR(0*MATCH(TR_5ExemptionClaim[[#This Row],[Material Reporting Category (Exemption Claim)]],TR_2SuppliedPounds[Material Reporting Category],0),1)))</f>
        <v/>
      </c>
      <c r="U60" s="79">
        <f>IF(TR_5ExemptionClaim[[#This Row],[End Market Name]]="",0,IFERROR(MATCH(TR_5ExemptionClaim[[#This Row],[End Market Name]],TR_4EndMarkets[Lookup: material+market],0)*0,1))</f>
        <v>0</v>
      </c>
      <c r="V60" s="79">
        <f>IF(TR_5ExemptionClaim[[#This Row],[Subcheck: unique]]="",0,IF(COUNTIFS(TR_5ExemptionClaim[Subcheck: unique left],TR_5ExemptionClaim[[#This Row],[Subcheck: unique left]],TR_5ExemptionClaim[Subcheck: unique right],TR_5ExemptionClaim[[#This Row],[Subcheck: unique right]])&gt;1,1,0))</f>
        <v>0</v>
      </c>
      <c r="W6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0" s="79">
        <f>IF(TR_5ExemptionClaim[[#This Row],[Material Reporting Category (Exemption Claim)]]=0,0,IF(SUM(TR_5ExemptionClaim[[#This Row],[Subcheck: minimum entry]:[Subcheck: missing CRPF info]])=0,0,1))</f>
        <v>0</v>
      </c>
      <c r="Y60" s="79">
        <f>IF(TR_5ExemptionClaim[[#This Row],[Material Reporting Category (Exemption Claim)]]&lt;&gt;"",0,TR_5ExemptionClaim[[#This Row],[Subcheck: any inputs in row]])</f>
        <v>0</v>
      </c>
      <c r="Z60" s="79">
        <f>IF(TR_5ExemptionClaim[[#This Row],[How many of the pounds recycled through this pathway were supplied by this producer?]]&gt;TR_5ExemptionClaim[[#This Row],[Pounds Recycled through this Pathway]],1,0)</f>
        <v>0</v>
      </c>
      <c r="AA6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0" s="79">
        <f>IF(TR_5ExemptionClaim[[#This Row],[Collection Company Type (autofill)]]&lt;&gt;Lookups!$K$13,0,IF(TR_5ExemptionClaim[[#This Row],[If the collector is OTR, was the service provided under OTR?]]&lt;&gt;"",0,1))</f>
        <v>0</v>
      </c>
      <c r="AF60" s="79">
        <f>IF(TR_5ExemptionClaim[[#This Row],[Did a CRPF ever handle the material before it reached the end market?]]&lt;&gt;"Yes",0,IF(COUNTA(TR_5ExemptionClaim[[#This Row],[CRPF name]:[CRPF Separation Ineligibility Warning]])=3,0,1))</f>
        <v>0</v>
      </c>
      <c r="AG6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0" s="77" t="str">
        <f>LEFT(TR_5ExemptionClaim[[#This Row],[Subcheck: unique]],250)</f>
        <v/>
      </c>
      <c r="AI60" s="77" t="str">
        <f>RIGHT(TR_5ExemptionClaim[[#This Row],[Subcheck: unique]],250)</f>
        <v/>
      </c>
      <c r="AJ60" s="77">
        <f>IF(OR(TR_5ExemptionClaim[[#This Row],[Check: collection ineligibility]]="Not Eligible",TR_5ExemptionClaim[[#This Row],[Check: CRPF non-separation ineligibility]]="Not Eligible",SUM(TR_5ExemptionClaim[[#This Row],[Check: end market does not exist]:[Check pounds (Third Party Substantiated)]])&gt;0),0,1)</f>
        <v>1</v>
      </c>
      <c r="AK60" s="78" t="str">
        <f>IF(TR_5ExemptionClaim[[#This Row],[Did this producer arrange for the recycling collection?]]="No",TR_5ExemptionClaim[[#This Row],[ID_EC]],"")</f>
        <v/>
      </c>
      <c r="AL60" s="80" t="str">
        <f t="shared" si="1"/>
        <v/>
      </c>
      <c r="AM60" s="80" t="str">
        <f>IFERROR(INDEX(TR_2SuppliedPounds[DEQ 2B Notes],MATCH(TR_5ExemptionClaim[[#This Row],[Material Reporting Category (Exemption Claim)]],TR_2SuppliedPounds[Material Reporting Category],0)),"")</f>
        <v/>
      </c>
      <c r="AN60" s="80" t="str">
        <f>IFERROR(INDEX(TR_3Collectors[DEQ 3B Notes],MATCH(TR_5ExemptionClaim[[#This Row],[Collection or Transportation Service Provider Name]],TR_3Collectors[Collection or Transportation Service Provider Name],0)),"")</f>
        <v/>
      </c>
      <c r="AO60" s="80" t="str">
        <f>IFERROR(INDEX(TR_4EndMarkets[DEQ 4B Notes],MATCH(TR_5ExemptionClaim[[#This Row],[End Market Name]],TR_4EndMarkets[Lookup: material+market],0)),"")</f>
        <v/>
      </c>
      <c r="AP60" s="81" t="str">
        <f>IFERROR(INDEX(TR_6RecyclingArranger[DEQ 6B Notes],MATCH(TR_5ExemptionClaim[[#This Row],[ID_EC]],TR_6RecyclingArranger[ID_EC],0)),"")</f>
        <v/>
      </c>
      <c r="AQ60" s="81">
        <f>SUMIFS(TR_6RecyclingArranger[DEQ 6B Eligible Pounds],TR_6RecyclingArranger[ID_EC],TR_5ExemptionClaim[[#This Row],[ID_EC]])</f>
        <v>0</v>
      </c>
      <c r="AR60" s="40"/>
      <c r="AS60" s="58"/>
    </row>
    <row r="61" spans="1:45" ht="30" customHeight="1" x14ac:dyDescent="0.2">
      <c r="A61" s="82" t="s">
        <v>975</v>
      </c>
      <c r="B61" s="46"/>
      <c r="C61" s="45"/>
      <c r="D61" s="45"/>
      <c r="E61" s="74"/>
      <c r="F6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1" s="47"/>
      <c r="H6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1" s="74"/>
      <c r="J61" s="75" t="str">
        <f>IF(TR_5ExemptionClaim[[#This Row],[If the collector is OTR, was the service provided under OTR?]]="Yes","Warning: Material collected under OTR service is not eligible for exemption.","")</f>
        <v/>
      </c>
      <c r="K61" s="47"/>
      <c r="L61" s="76"/>
      <c r="M61" s="47"/>
      <c r="N61" s="76"/>
      <c r="O61" s="104" t="str">
        <f>IF(TR_5ExemptionClaim[[#This Row],[If a CRPF handled the material, did the material undergo separation from other materials at the CRPF?]]="Yes","Warning: Material separated at a CRPF is not eligible for exemption.","")</f>
        <v/>
      </c>
      <c r="P61" s="47"/>
      <c r="Q61" s="47"/>
      <c r="R61" s="77" t="str">
        <f>IF(TR_5ExemptionClaim[[#This Row],[If the collector is OTR, was the service provided under OTR?]]="Yes","Not Eligible","")</f>
        <v/>
      </c>
      <c r="S61" s="77" t="str">
        <f>IF(TR_5ExemptionClaim[[#This Row],[If a CRPF handled the material, did the material undergo separation from other materials at the CRPF?]]="Yes","Not Eligible","")</f>
        <v/>
      </c>
      <c r="T61" s="79" t="str">
        <f>IF(TR_5ExemptionClaim[[#This Row],[Material Reporting Category (Exemption Claim)]]="","",(IFERROR(0*MATCH(TR_5ExemptionClaim[[#This Row],[Material Reporting Category (Exemption Claim)]],TR_2SuppliedPounds[Material Reporting Category],0),1)))</f>
        <v/>
      </c>
      <c r="U61" s="79">
        <f>IF(TR_5ExemptionClaim[[#This Row],[End Market Name]]="",0,IFERROR(MATCH(TR_5ExemptionClaim[[#This Row],[End Market Name]],TR_4EndMarkets[Lookup: material+market],0)*0,1))</f>
        <v>0</v>
      </c>
      <c r="V61" s="79">
        <f>IF(TR_5ExemptionClaim[[#This Row],[Subcheck: unique]]="",0,IF(COUNTIFS(TR_5ExemptionClaim[Subcheck: unique left],TR_5ExemptionClaim[[#This Row],[Subcheck: unique left]],TR_5ExemptionClaim[Subcheck: unique right],TR_5ExemptionClaim[[#This Row],[Subcheck: unique right]])&gt;1,1,0))</f>
        <v>0</v>
      </c>
      <c r="W6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1" s="79">
        <f>IF(TR_5ExemptionClaim[[#This Row],[Material Reporting Category (Exemption Claim)]]=0,0,IF(SUM(TR_5ExemptionClaim[[#This Row],[Subcheck: minimum entry]:[Subcheck: missing CRPF info]])=0,0,1))</f>
        <v>0</v>
      </c>
      <c r="Y61" s="79">
        <f>IF(TR_5ExemptionClaim[[#This Row],[Material Reporting Category (Exemption Claim)]]&lt;&gt;"",0,TR_5ExemptionClaim[[#This Row],[Subcheck: any inputs in row]])</f>
        <v>0</v>
      </c>
      <c r="Z61" s="79">
        <f>IF(TR_5ExemptionClaim[[#This Row],[How many of the pounds recycled through this pathway were supplied by this producer?]]&gt;TR_5ExemptionClaim[[#This Row],[Pounds Recycled through this Pathway]],1,0)</f>
        <v>0</v>
      </c>
      <c r="AA6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1" s="79">
        <f>IF(TR_5ExemptionClaim[[#This Row],[Collection Company Type (autofill)]]&lt;&gt;Lookups!$K$13,0,IF(TR_5ExemptionClaim[[#This Row],[If the collector is OTR, was the service provided under OTR?]]&lt;&gt;"",0,1))</f>
        <v>0</v>
      </c>
      <c r="AF61" s="79">
        <f>IF(TR_5ExemptionClaim[[#This Row],[Did a CRPF ever handle the material before it reached the end market?]]&lt;&gt;"Yes",0,IF(COUNTA(TR_5ExemptionClaim[[#This Row],[CRPF name]:[CRPF Separation Ineligibility Warning]])=3,0,1))</f>
        <v>0</v>
      </c>
      <c r="AG6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1" s="77" t="str">
        <f>LEFT(TR_5ExemptionClaim[[#This Row],[Subcheck: unique]],250)</f>
        <v/>
      </c>
      <c r="AI61" s="77" t="str">
        <f>RIGHT(TR_5ExemptionClaim[[#This Row],[Subcheck: unique]],250)</f>
        <v/>
      </c>
      <c r="AJ61" s="77">
        <f>IF(OR(TR_5ExemptionClaim[[#This Row],[Check: collection ineligibility]]="Not Eligible",TR_5ExemptionClaim[[#This Row],[Check: CRPF non-separation ineligibility]]="Not Eligible",SUM(TR_5ExemptionClaim[[#This Row],[Check: end market does not exist]:[Check pounds (Third Party Substantiated)]])&gt;0),0,1)</f>
        <v>1</v>
      </c>
      <c r="AK61" s="78" t="str">
        <f>IF(TR_5ExemptionClaim[[#This Row],[Did this producer arrange for the recycling collection?]]="No",TR_5ExemptionClaim[[#This Row],[ID_EC]],"")</f>
        <v/>
      </c>
      <c r="AL61" s="80" t="str">
        <f t="shared" si="1"/>
        <v/>
      </c>
      <c r="AM61" s="80" t="str">
        <f>IFERROR(INDEX(TR_2SuppliedPounds[DEQ 2B Notes],MATCH(TR_5ExemptionClaim[[#This Row],[Material Reporting Category (Exemption Claim)]],TR_2SuppliedPounds[Material Reporting Category],0)),"")</f>
        <v/>
      </c>
      <c r="AN61" s="80" t="str">
        <f>IFERROR(INDEX(TR_3Collectors[DEQ 3B Notes],MATCH(TR_5ExemptionClaim[[#This Row],[Collection or Transportation Service Provider Name]],TR_3Collectors[Collection or Transportation Service Provider Name],0)),"")</f>
        <v/>
      </c>
      <c r="AO61" s="80" t="str">
        <f>IFERROR(INDEX(TR_4EndMarkets[DEQ 4B Notes],MATCH(TR_5ExemptionClaim[[#This Row],[End Market Name]],TR_4EndMarkets[Lookup: material+market],0)),"")</f>
        <v/>
      </c>
      <c r="AP61" s="81" t="str">
        <f>IFERROR(INDEX(TR_6RecyclingArranger[DEQ 6B Notes],MATCH(TR_5ExemptionClaim[[#This Row],[ID_EC]],TR_6RecyclingArranger[ID_EC],0)),"")</f>
        <v/>
      </c>
      <c r="AQ61" s="81">
        <f>SUMIFS(TR_6RecyclingArranger[DEQ 6B Eligible Pounds],TR_6RecyclingArranger[ID_EC],TR_5ExemptionClaim[[#This Row],[ID_EC]])</f>
        <v>0</v>
      </c>
      <c r="AR61" s="40"/>
      <c r="AS61" s="58"/>
    </row>
    <row r="62" spans="1:45" ht="30" customHeight="1" x14ac:dyDescent="0.2">
      <c r="A62" s="82" t="s">
        <v>976</v>
      </c>
      <c r="B62" s="46"/>
      <c r="C62" s="45"/>
      <c r="D62" s="45"/>
      <c r="E62" s="74"/>
      <c r="F6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2" s="47"/>
      <c r="H6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2" s="74"/>
      <c r="J62" s="75" t="str">
        <f>IF(TR_5ExemptionClaim[[#This Row],[If the collector is OTR, was the service provided under OTR?]]="Yes","Warning: Material collected under OTR service is not eligible for exemption.","")</f>
        <v/>
      </c>
      <c r="K62" s="47"/>
      <c r="L62" s="76"/>
      <c r="M62" s="47"/>
      <c r="N62" s="76"/>
      <c r="O62" s="104" t="str">
        <f>IF(TR_5ExemptionClaim[[#This Row],[If a CRPF handled the material, did the material undergo separation from other materials at the CRPF?]]="Yes","Warning: Material separated at a CRPF is not eligible for exemption.","")</f>
        <v/>
      </c>
      <c r="P62" s="47"/>
      <c r="Q62" s="47"/>
      <c r="R62" s="77" t="str">
        <f>IF(TR_5ExemptionClaim[[#This Row],[If the collector is OTR, was the service provided under OTR?]]="Yes","Not Eligible","")</f>
        <v/>
      </c>
      <c r="S62" s="77" t="str">
        <f>IF(TR_5ExemptionClaim[[#This Row],[If a CRPF handled the material, did the material undergo separation from other materials at the CRPF?]]="Yes","Not Eligible","")</f>
        <v/>
      </c>
      <c r="T62" s="79" t="str">
        <f>IF(TR_5ExemptionClaim[[#This Row],[Material Reporting Category (Exemption Claim)]]="","",(IFERROR(0*MATCH(TR_5ExemptionClaim[[#This Row],[Material Reporting Category (Exemption Claim)]],TR_2SuppliedPounds[Material Reporting Category],0),1)))</f>
        <v/>
      </c>
      <c r="U62" s="79">
        <f>IF(TR_5ExemptionClaim[[#This Row],[End Market Name]]="",0,IFERROR(MATCH(TR_5ExemptionClaim[[#This Row],[End Market Name]],TR_4EndMarkets[Lookup: material+market],0)*0,1))</f>
        <v>0</v>
      </c>
      <c r="V62" s="79">
        <f>IF(TR_5ExemptionClaim[[#This Row],[Subcheck: unique]]="",0,IF(COUNTIFS(TR_5ExemptionClaim[Subcheck: unique left],TR_5ExemptionClaim[[#This Row],[Subcheck: unique left]],TR_5ExemptionClaim[Subcheck: unique right],TR_5ExemptionClaim[[#This Row],[Subcheck: unique right]])&gt;1,1,0))</f>
        <v>0</v>
      </c>
      <c r="W6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2" s="79">
        <f>IF(TR_5ExemptionClaim[[#This Row],[Material Reporting Category (Exemption Claim)]]=0,0,IF(SUM(TR_5ExemptionClaim[[#This Row],[Subcheck: minimum entry]:[Subcheck: missing CRPF info]])=0,0,1))</f>
        <v>0</v>
      </c>
      <c r="Y62" s="79">
        <f>IF(TR_5ExemptionClaim[[#This Row],[Material Reporting Category (Exemption Claim)]]&lt;&gt;"",0,TR_5ExemptionClaim[[#This Row],[Subcheck: any inputs in row]])</f>
        <v>0</v>
      </c>
      <c r="Z62" s="79">
        <f>IF(TR_5ExemptionClaim[[#This Row],[How many of the pounds recycled through this pathway were supplied by this producer?]]&gt;TR_5ExemptionClaim[[#This Row],[Pounds Recycled through this Pathway]],1,0)</f>
        <v>0</v>
      </c>
      <c r="AA6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2" s="79">
        <f>IF(TR_5ExemptionClaim[[#This Row],[Collection Company Type (autofill)]]&lt;&gt;Lookups!$K$13,0,IF(TR_5ExemptionClaim[[#This Row],[If the collector is OTR, was the service provided under OTR?]]&lt;&gt;"",0,1))</f>
        <v>0</v>
      </c>
      <c r="AF62" s="79">
        <f>IF(TR_5ExemptionClaim[[#This Row],[Did a CRPF ever handle the material before it reached the end market?]]&lt;&gt;"Yes",0,IF(COUNTA(TR_5ExemptionClaim[[#This Row],[CRPF name]:[CRPF Separation Ineligibility Warning]])=3,0,1))</f>
        <v>0</v>
      </c>
      <c r="AG6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2" s="77" t="str">
        <f>LEFT(TR_5ExemptionClaim[[#This Row],[Subcheck: unique]],250)</f>
        <v/>
      </c>
      <c r="AI62" s="77" t="str">
        <f>RIGHT(TR_5ExemptionClaim[[#This Row],[Subcheck: unique]],250)</f>
        <v/>
      </c>
      <c r="AJ62" s="77">
        <f>IF(OR(TR_5ExemptionClaim[[#This Row],[Check: collection ineligibility]]="Not Eligible",TR_5ExemptionClaim[[#This Row],[Check: CRPF non-separation ineligibility]]="Not Eligible",SUM(TR_5ExemptionClaim[[#This Row],[Check: end market does not exist]:[Check pounds (Third Party Substantiated)]])&gt;0),0,1)</f>
        <v>1</v>
      </c>
      <c r="AK62" s="78" t="str">
        <f>IF(TR_5ExemptionClaim[[#This Row],[Did this producer arrange for the recycling collection?]]="No",TR_5ExemptionClaim[[#This Row],[ID_EC]],"")</f>
        <v/>
      </c>
      <c r="AL62" s="80" t="str">
        <f t="shared" si="1"/>
        <v/>
      </c>
      <c r="AM62" s="80" t="str">
        <f>IFERROR(INDEX(TR_2SuppliedPounds[DEQ 2B Notes],MATCH(TR_5ExemptionClaim[[#This Row],[Material Reporting Category (Exemption Claim)]],TR_2SuppliedPounds[Material Reporting Category],0)),"")</f>
        <v/>
      </c>
      <c r="AN62" s="80" t="str">
        <f>IFERROR(INDEX(TR_3Collectors[DEQ 3B Notes],MATCH(TR_5ExemptionClaim[[#This Row],[Collection or Transportation Service Provider Name]],TR_3Collectors[Collection or Transportation Service Provider Name],0)),"")</f>
        <v/>
      </c>
      <c r="AO62" s="80" t="str">
        <f>IFERROR(INDEX(TR_4EndMarkets[DEQ 4B Notes],MATCH(TR_5ExemptionClaim[[#This Row],[End Market Name]],TR_4EndMarkets[Lookup: material+market],0)),"")</f>
        <v/>
      </c>
      <c r="AP62" s="81" t="str">
        <f>IFERROR(INDEX(TR_6RecyclingArranger[DEQ 6B Notes],MATCH(TR_5ExemptionClaim[[#This Row],[ID_EC]],TR_6RecyclingArranger[ID_EC],0)),"")</f>
        <v/>
      </c>
      <c r="AQ62" s="81">
        <f>SUMIFS(TR_6RecyclingArranger[DEQ 6B Eligible Pounds],TR_6RecyclingArranger[ID_EC],TR_5ExemptionClaim[[#This Row],[ID_EC]])</f>
        <v>0</v>
      </c>
      <c r="AR62" s="40"/>
      <c r="AS62" s="58"/>
    </row>
    <row r="63" spans="1:45" ht="30" customHeight="1" x14ac:dyDescent="0.2">
      <c r="A63" s="82" t="s">
        <v>977</v>
      </c>
      <c r="B63" s="46"/>
      <c r="C63" s="45"/>
      <c r="D63" s="45"/>
      <c r="E63" s="74"/>
      <c r="F6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3" s="47"/>
      <c r="H6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3" s="74"/>
      <c r="J63" s="75" t="str">
        <f>IF(TR_5ExemptionClaim[[#This Row],[If the collector is OTR, was the service provided under OTR?]]="Yes","Warning: Material collected under OTR service is not eligible for exemption.","")</f>
        <v/>
      </c>
      <c r="K63" s="47"/>
      <c r="L63" s="76"/>
      <c r="M63" s="47"/>
      <c r="N63" s="76"/>
      <c r="O63" s="104" t="str">
        <f>IF(TR_5ExemptionClaim[[#This Row],[If a CRPF handled the material, did the material undergo separation from other materials at the CRPF?]]="Yes","Warning: Material separated at a CRPF is not eligible for exemption.","")</f>
        <v/>
      </c>
      <c r="P63" s="47"/>
      <c r="Q63" s="47"/>
      <c r="R63" s="77" t="str">
        <f>IF(TR_5ExemptionClaim[[#This Row],[If the collector is OTR, was the service provided under OTR?]]="Yes","Not Eligible","")</f>
        <v/>
      </c>
      <c r="S63" s="77" t="str">
        <f>IF(TR_5ExemptionClaim[[#This Row],[If a CRPF handled the material, did the material undergo separation from other materials at the CRPF?]]="Yes","Not Eligible","")</f>
        <v/>
      </c>
      <c r="T63" s="79" t="str">
        <f>IF(TR_5ExemptionClaim[[#This Row],[Material Reporting Category (Exemption Claim)]]="","",(IFERROR(0*MATCH(TR_5ExemptionClaim[[#This Row],[Material Reporting Category (Exemption Claim)]],TR_2SuppliedPounds[Material Reporting Category],0),1)))</f>
        <v/>
      </c>
      <c r="U63" s="79">
        <f>IF(TR_5ExemptionClaim[[#This Row],[End Market Name]]="",0,IFERROR(MATCH(TR_5ExemptionClaim[[#This Row],[End Market Name]],TR_4EndMarkets[Lookup: material+market],0)*0,1))</f>
        <v>0</v>
      </c>
      <c r="V63" s="79">
        <f>IF(TR_5ExemptionClaim[[#This Row],[Subcheck: unique]]="",0,IF(COUNTIFS(TR_5ExemptionClaim[Subcheck: unique left],TR_5ExemptionClaim[[#This Row],[Subcheck: unique left]],TR_5ExemptionClaim[Subcheck: unique right],TR_5ExemptionClaim[[#This Row],[Subcheck: unique right]])&gt;1,1,0))</f>
        <v>0</v>
      </c>
      <c r="W6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3" s="79">
        <f>IF(TR_5ExemptionClaim[[#This Row],[Material Reporting Category (Exemption Claim)]]=0,0,IF(SUM(TR_5ExemptionClaim[[#This Row],[Subcheck: minimum entry]:[Subcheck: missing CRPF info]])=0,0,1))</f>
        <v>0</v>
      </c>
      <c r="Y63" s="79">
        <f>IF(TR_5ExemptionClaim[[#This Row],[Material Reporting Category (Exemption Claim)]]&lt;&gt;"",0,TR_5ExemptionClaim[[#This Row],[Subcheck: any inputs in row]])</f>
        <v>0</v>
      </c>
      <c r="Z63" s="79">
        <f>IF(TR_5ExemptionClaim[[#This Row],[How many of the pounds recycled through this pathway were supplied by this producer?]]&gt;TR_5ExemptionClaim[[#This Row],[Pounds Recycled through this Pathway]],1,0)</f>
        <v>0</v>
      </c>
      <c r="AA6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3" s="79">
        <f>IF(TR_5ExemptionClaim[[#This Row],[Collection Company Type (autofill)]]&lt;&gt;Lookups!$K$13,0,IF(TR_5ExemptionClaim[[#This Row],[If the collector is OTR, was the service provided under OTR?]]&lt;&gt;"",0,1))</f>
        <v>0</v>
      </c>
      <c r="AF63" s="79">
        <f>IF(TR_5ExemptionClaim[[#This Row],[Did a CRPF ever handle the material before it reached the end market?]]&lt;&gt;"Yes",0,IF(COUNTA(TR_5ExemptionClaim[[#This Row],[CRPF name]:[CRPF Separation Ineligibility Warning]])=3,0,1))</f>
        <v>0</v>
      </c>
      <c r="AG6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3" s="77" t="str">
        <f>LEFT(TR_5ExemptionClaim[[#This Row],[Subcheck: unique]],250)</f>
        <v/>
      </c>
      <c r="AI63" s="77" t="str">
        <f>RIGHT(TR_5ExemptionClaim[[#This Row],[Subcheck: unique]],250)</f>
        <v/>
      </c>
      <c r="AJ63" s="77">
        <f>IF(OR(TR_5ExemptionClaim[[#This Row],[Check: collection ineligibility]]="Not Eligible",TR_5ExemptionClaim[[#This Row],[Check: CRPF non-separation ineligibility]]="Not Eligible",SUM(TR_5ExemptionClaim[[#This Row],[Check: end market does not exist]:[Check pounds (Third Party Substantiated)]])&gt;0),0,1)</f>
        <v>1</v>
      </c>
      <c r="AK63" s="78" t="str">
        <f>IF(TR_5ExemptionClaim[[#This Row],[Did this producer arrange for the recycling collection?]]="No",TR_5ExemptionClaim[[#This Row],[ID_EC]],"")</f>
        <v/>
      </c>
      <c r="AL63" s="80" t="str">
        <f t="shared" si="1"/>
        <v/>
      </c>
      <c r="AM63" s="80" t="str">
        <f>IFERROR(INDEX(TR_2SuppliedPounds[DEQ 2B Notes],MATCH(TR_5ExemptionClaim[[#This Row],[Material Reporting Category (Exemption Claim)]],TR_2SuppliedPounds[Material Reporting Category],0)),"")</f>
        <v/>
      </c>
      <c r="AN63" s="80" t="str">
        <f>IFERROR(INDEX(TR_3Collectors[DEQ 3B Notes],MATCH(TR_5ExemptionClaim[[#This Row],[Collection or Transportation Service Provider Name]],TR_3Collectors[Collection or Transportation Service Provider Name],0)),"")</f>
        <v/>
      </c>
      <c r="AO63" s="80" t="str">
        <f>IFERROR(INDEX(TR_4EndMarkets[DEQ 4B Notes],MATCH(TR_5ExemptionClaim[[#This Row],[End Market Name]],TR_4EndMarkets[Lookup: material+market],0)),"")</f>
        <v/>
      </c>
      <c r="AP63" s="81" t="str">
        <f>IFERROR(INDEX(TR_6RecyclingArranger[DEQ 6B Notes],MATCH(TR_5ExemptionClaim[[#This Row],[ID_EC]],TR_6RecyclingArranger[ID_EC],0)),"")</f>
        <v/>
      </c>
      <c r="AQ63" s="81">
        <f>SUMIFS(TR_6RecyclingArranger[DEQ 6B Eligible Pounds],TR_6RecyclingArranger[ID_EC],TR_5ExemptionClaim[[#This Row],[ID_EC]])</f>
        <v>0</v>
      </c>
      <c r="AR63" s="40"/>
      <c r="AS63" s="58"/>
    </row>
    <row r="64" spans="1:45" ht="30" customHeight="1" x14ac:dyDescent="0.2">
      <c r="A64" s="82" t="s">
        <v>978</v>
      </c>
      <c r="B64" s="46"/>
      <c r="C64" s="45"/>
      <c r="D64" s="45"/>
      <c r="E64" s="74"/>
      <c r="F6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4" s="47"/>
      <c r="H6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4" s="74"/>
      <c r="J64" s="75" t="str">
        <f>IF(TR_5ExemptionClaim[[#This Row],[If the collector is OTR, was the service provided under OTR?]]="Yes","Warning: Material collected under OTR service is not eligible for exemption.","")</f>
        <v/>
      </c>
      <c r="K64" s="47"/>
      <c r="L64" s="76"/>
      <c r="M64" s="47"/>
      <c r="N64" s="76"/>
      <c r="O64" s="104" t="str">
        <f>IF(TR_5ExemptionClaim[[#This Row],[If a CRPF handled the material, did the material undergo separation from other materials at the CRPF?]]="Yes","Warning: Material separated at a CRPF is not eligible for exemption.","")</f>
        <v/>
      </c>
      <c r="P64" s="47"/>
      <c r="Q64" s="47"/>
      <c r="R64" s="77" t="str">
        <f>IF(TR_5ExemptionClaim[[#This Row],[If the collector is OTR, was the service provided under OTR?]]="Yes","Not Eligible","")</f>
        <v/>
      </c>
      <c r="S64" s="77" t="str">
        <f>IF(TR_5ExemptionClaim[[#This Row],[If a CRPF handled the material, did the material undergo separation from other materials at the CRPF?]]="Yes","Not Eligible","")</f>
        <v/>
      </c>
      <c r="T64" s="79" t="str">
        <f>IF(TR_5ExemptionClaim[[#This Row],[Material Reporting Category (Exemption Claim)]]="","",(IFERROR(0*MATCH(TR_5ExemptionClaim[[#This Row],[Material Reporting Category (Exemption Claim)]],TR_2SuppliedPounds[Material Reporting Category],0),1)))</f>
        <v/>
      </c>
      <c r="U64" s="79">
        <f>IF(TR_5ExemptionClaim[[#This Row],[End Market Name]]="",0,IFERROR(MATCH(TR_5ExemptionClaim[[#This Row],[End Market Name]],TR_4EndMarkets[Lookup: material+market],0)*0,1))</f>
        <v>0</v>
      </c>
      <c r="V64" s="79">
        <f>IF(TR_5ExemptionClaim[[#This Row],[Subcheck: unique]]="",0,IF(COUNTIFS(TR_5ExemptionClaim[Subcheck: unique left],TR_5ExemptionClaim[[#This Row],[Subcheck: unique left]],TR_5ExemptionClaim[Subcheck: unique right],TR_5ExemptionClaim[[#This Row],[Subcheck: unique right]])&gt;1,1,0))</f>
        <v>0</v>
      </c>
      <c r="W6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4" s="79">
        <f>IF(TR_5ExemptionClaim[[#This Row],[Material Reporting Category (Exemption Claim)]]=0,0,IF(SUM(TR_5ExemptionClaim[[#This Row],[Subcheck: minimum entry]:[Subcheck: missing CRPF info]])=0,0,1))</f>
        <v>0</v>
      </c>
      <c r="Y64" s="79">
        <f>IF(TR_5ExemptionClaim[[#This Row],[Material Reporting Category (Exemption Claim)]]&lt;&gt;"",0,TR_5ExemptionClaim[[#This Row],[Subcheck: any inputs in row]])</f>
        <v>0</v>
      </c>
      <c r="Z64" s="79">
        <f>IF(TR_5ExemptionClaim[[#This Row],[How many of the pounds recycled through this pathway were supplied by this producer?]]&gt;TR_5ExemptionClaim[[#This Row],[Pounds Recycled through this Pathway]],1,0)</f>
        <v>0</v>
      </c>
      <c r="AA6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4" s="79">
        <f>IF(TR_5ExemptionClaim[[#This Row],[Collection Company Type (autofill)]]&lt;&gt;Lookups!$K$13,0,IF(TR_5ExemptionClaim[[#This Row],[If the collector is OTR, was the service provided under OTR?]]&lt;&gt;"",0,1))</f>
        <v>0</v>
      </c>
      <c r="AF64" s="79">
        <f>IF(TR_5ExemptionClaim[[#This Row],[Did a CRPF ever handle the material before it reached the end market?]]&lt;&gt;"Yes",0,IF(COUNTA(TR_5ExemptionClaim[[#This Row],[CRPF name]:[CRPF Separation Ineligibility Warning]])=3,0,1))</f>
        <v>0</v>
      </c>
      <c r="AG6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4" s="77" t="str">
        <f>LEFT(TR_5ExemptionClaim[[#This Row],[Subcheck: unique]],250)</f>
        <v/>
      </c>
      <c r="AI64" s="77" t="str">
        <f>RIGHT(TR_5ExemptionClaim[[#This Row],[Subcheck: unique]],250)</f>
        <v/>
      </c>
      <c r="AJ64" s="77">
        <f>IF(OR(TR_5ExemptionClaim[[#This Row],[Check: collection ineligibility]]="Not Eligible",TR_5ExemptionClaim[[#This Row],[Check: CRPF non-separation ineligibility]]="Not Eligible",SUM(TR_5ExemptionClaim[[#This Row],[Check: end market does not exist]:[Check pounds (Third Party Substantiated)]])&gt;0),0,1)</f>
        <v>1</v>
      </c>
      <c r="AK64" s="78" t="str">
        <f>IF(TR_5ExemptionClaim[[#This Row],[Did this producer arrange for the recycling collection?]]="No",TR_5ExemptionClaim[[#This Row],[ID_EC]],"")</f>
        <v/>
      </c>
      <c r="AL64" s="80" t="str">
        <f t="shared" si="1"/>
        <v/>
      </c>
      <c r="AM64" s="80" t="str">
        <f>IFERROR(INDEX(TR_2SuppliedPounds[DEQ 2B Notes],MATCH(TR_5ExemptionClaim[[#This Row],[Material Reporting Category (Exemption Claim)]],TR_2SuppliedPounds[Material Reporting Category],0)),"")</f>
        <v/>
      </c>
      <c r="AN64" s="80" t="str">
        <f>IFERROR(INDEX(TR_3Collectors[DEQ 3B Notes],MATCH(TR_5ExemptionClaim[[#This Row],[Collection or Transportation Service Provider Name]],TR_3Collectors[Collection or Transportation Service Provider Name],0)),"")</f>
        <v/>
      </c>
      <c r="AO64" s="80" t="str">
        <f>IFERROR(INDEX(TR_4EndMarkets[DEQ 4B Notes],MATCH(TR_5ExemptionClaim[[#This Row],[End Market Name]],TR_4EndMarkets[Lookup: material+market],0)),"")</f>
        <v/>
      </c>
      <c r="AP64" s="81" t="str">
        <f>IFERROR(INDEX(TR_6RecyclingArranger[DEQ 6B Notes],MATCH(TR_5ExemptionClaim[[#This Row],[ID_EC]],TR_6RecyclingArranger[ID_EC],0)),"")</f>
        <v/>
      </c>
      <c r="AQ64" s="81">
        <f>SUMIFS(TR_6RecyclingArranger[DEQ 6B Eligible Pounds],TR_6RecyclingArranger[ID_EC],TR_5ExemptionClaim[[#This Row],[ID_EC]])</f>
        <v>0</v>
      </c>
      <c r="AR64" s="40"/>
      <c r="AS64" s="58"/>
    </row>
    <row r="65" spans="1:45" ht="30" customHeight="1" x14ac:dyDescent="0.2">
      <c r="A65" s="82" t="s">
        <v>979</v>
      </c>
      <c r="B65" s="46"/>
      <c r="C65" s="45"/>
      <c r="D65" s="45"/>
      <c r="E65" s="74"/>
      <c r="F6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5" s="47"/>
      <c r="H6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5" s="74"/>
      <c r="J65" s="75" t="str">
        <f>IF(TR_5ExemptionClaim[[#This Row],[If the collector is OTR, was the service provided under OTR?]]="Yes","Warning: Material collected under OTR service is not eligible for exemption.","")</f>
        <v/>
      </c>
      <c r="K65" s="47"/>
      <c r="L65" s="76"/>
      <c r="M65" s="47"/>
      <c r="N65" s="76"/>
      <c r="O65" s="104" t="str">
        <f>IF(TR_5ExemptionClaim[[#This Row],[If a CRPF handled the material, did the material undergo separation from other materials at the CRPF?]]="Yes","Warning: Material separated at a CRPF is not eligible for exemption.","")</f>
        <v/>
      </c>
      <c r="P65" s="47"/>
      <c r="Q65" s="47"/>
      <c r="R65" s="77" t="str">
        <f>IF(TR_5ExemptionClaim[[#This Row],[If the collector is OTR, was the service provided under OTR?]]="Yes","Not Eligible","")</f>
        <v/>
      </c>
      <c r="S65" s="77" t="str">
        <f>IF(TR_5ExemptionClaim[[#This Row],[If a CRPF handled the material, did the material undergo separation from other materials at the CRPF?]]="Yes","Not Eligible","")</f>
        <v/>
      </c>
      <c r="T65" s="79" t="str">
        <f>IF(TR_5ExemptionClaim[[#This Row],[Material Reporting Category (Exemption Claim)]]="","",(IFERROR(0*MATCH(TR_5ExemptionClaim[[#This Row],[Material Reporting Category (Exemption Claim)]],TR_2SuppliedPounds[Material Reporting Category],0),1)))</f>
        <v/>
      </c>
      <c r="U65" s="79">
        <f>IF(TR_5ExemptionClaim[[#This Row],[End Market Name]]="",0,IFERROR(MATCH(TR_5ExemptionClaim[[#This Row],[End Market Name]],TR_4EndMarkets[Lookup: material+market],0)*0,1))</f>
        <v>0</v>
      </c>
      <c r="V65" s="79">
        <f>IF(TR_5ExemptionClaim[[#This Row],[Subcheck: unique]]="",0,IF(COUNTIFS(TR_5ExemptionClaim[Subcheck: unique left],TR_5ExemptionClaim[[#This Row],[Subcheck: unique left]],TR_5ExemptionClaim[Subcheck: unique right],TR_5ExemptionClaim[[#This Row],[Subcheck: unique right]])&gt;1,1,0))</f>
        <v>0</v>
      </c>
      <c r="W6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5" s="79">
        <f>IF(TR_5ExemptionClaim[[#This Row],[Material Reporting Category (Exemption Claim)]]=0,0,IF(SUM(TR_5ExemptionClaim[[#This Row],[Subcheck: minimum entry]:[Subcheck: missing CRPF info]])=0,0,1))</f>
        <v>0</v>
      </c>
      <c r="Y65" s="79">
        <f>IF(TR_5ExemptionClaim[[#This Row],[Material Reporting Category (Exemption Claim)]]&lt;&gt;"",0,TR_5ExemptionClaim[[#This Row],[Subcheck: any inputs in row]])</f>
        <v>0</v>
      </c>
      <c r="Z65" s="79">
        <f>IF(TR_5ExemptionClaim[[#This Row],[How many of the pounds recycled through this pathway were supplied by this producer?]]&gt;TR_5ExemptionClaim[[#This Row],[Pounds Recycled through this Pathway]],1,0)</f>
        <v>0</v>
      </c>
      <c r="AA6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5" s="79">
        <f>IF(TR_5ExemptionClaim[[#This Row],[Collection Company Type (autofill)]]&lt;&gt;Lookups!$K$13,0,IF(TR_5ExemptionClaim[[#This Row],[If the collector is OTR, was the service provided under OTR?]]&lt;&gt;"",0,1))</f>
        <v>0</v>
      </c>
      <c r="AF65" s="79">
        <f>IF(TR_5ExemptionClaim[[#This Row],[Did a CRPF ever handle the material before it reached the end market?]]&lt;&gt;"Yes",0,IF(COUNTA(TR_5ExemptionClaim[[#This Row],[CRPF name]:[CRPF Separation Ineligibility Warning]])=3,0,1))</f>
        <v>0</v>
      </c>
      <c r="AG6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5" s="77" t="str">
        <f>LEFT(TR_5ExemptionClaim[[#This Row],[Subcheck: unique]],250)</f>
        <v/>
      </c>
      <c r="AI65" s="77" t="str">
        <f>RIGHT(TR_5ExemptionClaim[[#This Row],[Subcheck: unique]],250)</f>
        <v/>
      </c>
      <c r="AJ65" s="77">
        <f>IF(OR(TR_5ExemptionClaim[[#This Row],[Check: collection ineligibility]]="Not Eligible",TR_5ExemptionClaim[[#This Row],[Check: CRPF non-separation ineligibility]]="Not Eligible",SUM(TR_5ExemptionClaim[[#This Row],[Check: end market does not exist]:[Check pounds (Third Party Substantiated)]])&gt;0),0,1)</f>
        <v>1</v>
      </c>
      <c r="AK65" s="78" t="str">
        <f>IF(TR_5ExemptionClaim[[#This Row],[Did this producer arrange for the recycling collection?]]="No",TR_5ExemptionClaim[[#This Row],[ID_EC]],"")</f>
        <v/>
      </c>
      <c r="AL65" s="80" t="str">
        <f t="shared" si="1"/>
        <v/>
      </c>
      <c r="AM65" s="80" t="str">
        <f>IFERROR(INDEX(TR_2SuppliedPounds[DEQ 2B Notes],MATCH(TR_5ExemptionClaim[[#This Row],[Material Reporting Category (Exemption Claim)]],TR_2SuppliedPounds[Material Reporting Category],0)),"")</f>
        <v/>
      </c>
      <c r="AN65" s="80" t="str">
        <f>IFERROR(INDEX(TR_3Collectors[DEQ 3B Notes],MATCH(TR_5ExemptionClaim[[#This Row],[Collection or Transportation Service Provider Name]],TR_3Collectors[Collection or Transportation Service Provider Name],0)),"")</f>
        <v/>
      </c>
      <c r="AO65" s="80" t="str">
        <f>IFERROR(INDEX(TR_4EndMarkets[DEQ 4B Notes],MATCH(TR_5ExemptionClaim[[#This Row],[End Market Name]],TR_4EndMarkets[Lookup: material+market],0)),"")</f>
        <v/>
      </c>
      <c r="AP65" s="81" t="str">
        <f>IFERROR(INDEX(TR_6RecyclingArranger[DEQ 6B Notes],MATCH(TR_5ExemptionClaim[[#This Row],[ID_EC]],TR_6RecyclingArranger[ID_EC],0)),"")</f>
        <v/>
      </c>
      <c r="AQ65" s="81">
        <f>SUMIFS(TR_6RecyclingArranger[DEQ 6B Eligible Pounds],TR_6RecyclingArranger[ID_EC],TR_5ExemptionClaim[[#This Row],[ID_EC]])</f>
        <v>0</v>
      </c>
      <c r="AR65" s="40"/>
      <c r="AS65" s="58"/>
    </row>
    <row r="66" spans="1:45" ht="30" customHeight="1" x14ac:dyDescent="0.2">
      <c r="A66" s="82" t="s">
        <v>980</v>
      </c>
      <c r="B66" s="46"/>
      <c r="C66" s="45"/>
      <c r="D66" s="45"/>
      <c r="E66" s="74"/>
      <c r="F6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6" s="47"/>
      <c r="H6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6" s="74"/>
      <c r="J66" s="75" t="str">
        <f>IF(TR_5ExemptionClaim[[#This Row],[If the collector is OTR, was the service provided under OTR?]]="Yes","Warning: Material collected under OTR service is not eligible for exemption.","")</f>
        <v/>
      </c>
      <c r="K66" s="47"/>
      <c r="L66" s="76"/>
      <c r="M66" s="47"/>
      <c r="N66" s="76"/>
      <c r="O66" s="104" t="str">
        <f>IF(TR_5ExemptionClaim[[#This Row],[If a CRPF handled the material, did the material undergo separation from other materials at the CRPF?]]="Yes","Warning: Material separated at a CRPF is not eligible for exemption.","")</f>
        <v/>
      </c>
      <c r="P66" s="47"/>
      <c r="Q66" s="47"/>
      <c r="R66" s="77" t="str">
        <f>IF(TR_5ExemptionClaim[[#This Row],[If the collector is OTR, was the service provided under OTR?]]="Yes","Not Eligible","")</f>
        <v/>
      </c>
      <c r="S66" s="77" t="str">
        <f>IF(TR_5ExemptionClaim[[#This Row],[If a CRPF handled the material, did the material undergo separation from other materials at the CRPF?]]="Yes","Not Eligible","")</f>
        <v/>
      </c>
      <c r="T66" s="79" t="str">
        <f>IF(TR_5ExemptionClaim[[#This Row],[Material Reporting Category (Exemption Claim)]]="","",(IFERROR(0*MATCH(TR_5ExemptionClaim[[#This Row],[Material Reporting Category (Exemption Claim)]],TR_2SuppliedPounds[Material Reporting Category],0),1)))</f>
        <v/>
      </c>
      <c r="U66" s="79">
        <f>IF(TR_5ExemptionClaim[[#This Row],[End Market Name]]="",0,IFERROR(MATCH(TR_5ExemptionClaim[[#This Row],[End Market Name]],TR_4EndMarkets[Lookup: material+market],0)*0,1))</f>
        <v>0</v>
      </c>
      <c r="V66" s="79">
        <f>IF(TR_5ExemptionClaim[[#This Row],[Subcheck: unique]]="",0,IF(COUNTIFS(TR_5ExemptionClaim[Subcheck: unique left],TR_5ExemptionClaim[[#This Row],[Subcheck: unique left]],TR_5ExemptionClaim[Subcheck: unique right],TR_5ExemptionClaim[[#This Row],[Subcheck: unique right]])&gt;1,1,0))</f>
        <v>0</v>
      </c>
      <c r="W6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6" s="79">
        <f>IF(TR_5ExemptionClaim[[#This Row],[Material Reporting Category (Exemption Claim)]]=0,0,IF(SUM(TR_5ExemptionClaim[[#This Row],[Subcheck: minimum entry]:[Subcheck: missing CRPF info]])=0,0,1))</f>
        <v>0</v>
      </c>
      <c r="Y66" s="79">
        <f>IF(TR_5ExemptionClaim[[#This Row],[Material Reporting Category (Exemption Claim)]]&lt;&gt;"",0,TR_5ExemptionClaim[[#This Row],[Subcheck: any inputs in row]])</f>
        <v>0</v>
      </c>
      <c r="Z66" s="79">
        <f>IF(TR_5ExemptionClaim[[#This Row],[How many of the pounds recycled through this pathway were supplied by this producer?]]&gt;TR_5ExemptionClaim[[#This Row],[Pounds Recycled through this Pathway]],1,0)</f>
        <v>0</v>
      </c>
      <c r="AA6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6" s="79">
        <f>IF(TR_5ExemptionClaim[[#This Row],[Collection Company Type (autofill)]]&lt;&gt;Lookups!$K$13,0,IF(TR_5ExemptionClaim[[#This Row],[If the collector is OTR, was the service provided under OTR?]]&lt;&gt;"",0,1))</f>
        <v>0</v>
      </c>
      <c r="AF66" s="79">
        <f>IF(TR_5ExemptionClaim[[#This Row],[Did a CRPF ever handle the material before it reached the end market?]]&lt;&gt;"Yes",0,IF(COUNTA(TR_5ExemptionClaim[[#This Row],[CRPF name]:[CRPF Separation Ineligibility Warning]])=3,0,1))</f>
        <v>0</v>
      </c>
      <c r="AG6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6" s="77" t="str">
        <f>LEFT(TR_5ExemptionClaim[[#This Row],[Subcheck: unique]],250)</f>
        <v/>
      </c>
      <c r="AI66" s="77" t="str">
        <f>RIGHT(TR_5ExemptionClaim[[#This Row],[Subcheck: unique]],250)</f>
        <v/>
      </c>
      <c r="AJ66" s="77">
        <f>IF(OR(TR_5ExemptionClaim[[#This Row],[Check: collection ineligibility]]="Not Eligible",TR_5ExemptionClaim[[#This Row],[Check: CRPF non-separation ineligibility]]="Not Eligible",SUM(TR_5ExemptionClaim[[#This Row],[Check: end market does not exist]:[Check pounds (Third Party Substantiated)]])&gt;0),0,1)</f>
        <v>1</v>
      </c>
      <c r="AK66" s="78" t="str">
        <f>IF(TR_5ExemptionClaim[[#This Row],[Did this producer arrange for the recycling collection?]]="No",TR_5ExemptionClaim[[#This Row],[ID_EC]],"")</f>
        <v/>
      </c>
      <c r="AL66" s="80" t="str">
        <f t="shared" si="1"/>
        <v/>
      </c>
      <c r="AM66" s="80" t="str">
        <f>IFERROR(INDEX(TR_2SuppliedPounds[DEQ 2B Notes],MATCH(TR_5ExemptionClaim[[#This Row],[Material Reporting Category (Exemption Claim)]],TR_2SuppliedPounds[Material Reporting Category],0)),"")</f>
        <v/>
      </c>
      <c r="AN66" s="80" t="str">
        <f>IFERROR(INDEX(TR_3Collectors[DEQ 3B Notes],MATCH(TR_5ExemptionClaim[[#This Row],[Collection or Transportation Service Provider Name]],TR_3Collectors[Collection or Transportation Service Provider Name],0)),"")</f>
        <v/>
      </c>
      <c r="AO66" s="80" t="str">
        <f>IFERROR(INDEX(TR_4EndMarkets[DEQ 4B Notes],MATCH(TR_5ExemptionClaim[[#This Row],[End Market Name]],TR_4EndMarkets[Lookup: material+market],0)),"")</f>
        <v/>
      </c>
      <c r="AP66" s="81" t="str">
        <f>IFERROR(INDEX(TR_6RecyclingArranger[DEQ 6B Notes],MATCH(TR_5ExemptionClaim[[#This Row],[ID_EC]],TR_6RecyclingArranger[ID_EC],0)),"")</f>
        <v/>
      </c>
      <c r="AQ66" s="81">
        <f>SUMIFS(TR_6RecyclingArranger[DEQ 6B Eligible Pounds],TR_6RecyclingArranger[ID_EC],TR_5ExemptionClaim[[#This Row],[ID_EC]])</f>
        <v>0</v>
      </c>
      <c r="AR66" s="40"/>
      <c r="AS66" s="58"/>
    </row>
    <row r="67" spans="1:45" ht="30" customHeight="1" x14ac:dyDescent="0.2">
      <c r="A67" s="82" t="s">
        <v>981</v>
      </c>
      <c r="B67" s="46"/>
      <c r="C67" s="45"/>
      <c r="D67" s="45"/>
      <c r="E67" s="74"/>
      <c r="F6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7" s="47"/>
      <c r="H6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7" s="74"/>
      <c r="J67" s="75" t="str">
        <f>IF(TR_5ExemptionClaim[[#This Row],[If the collector is OTR, was the service provided under OTR?]]="Yes","Warning: Material collected under OTR service is not eligible for exemption.","")</f>
        <v/>
      </c>
      <c r="K67" s="47"/>
      <c r="L67" s="76"/>
      <c r="M67" s="47"/>
      <c r="N67" s="76"/>
      <c r="O67" s="104" t="str">
        <f>IF(TR_5ExemptionClaim[[#This Row],[If a CRPF handled the material, did the material undergo separation from other materials at the CRPF?]]="Yes","Warning: Material separated at a CRPF is not eligible for exemption.","")</f>
        <v/>
      </c>
      <c r="P67" s="47"/>
      <c r="Q67" s="47"/>
      <c r="R67" s="77" t="str">
        <f>IF(TR_5ExemptionClaim[[#This Row],[If the collector is OTR, was the service provided under OTR?]]="Yes","Not Eligible","")</f>
        <v/>
      </c>
      <c r="S67" s="77" t="str">
        <f>IF(TR_5ExemptionClaim[[#This Row],[If a CRPF handled the material, did the material undergo separation from other materials at the CRPF?]]="Yes","Not Eligible","")</f>
        <v/>
      </c>
      <c r="T67" s="79" t="str">
        <f>IF(TR_5ExemptionClaim[[#This Row],[Material Reporting Category (Exemption Claim)]]="","",(IFERROR(0*MATCH(TR_5ExemptionClaim[[#This Row],[Material Reporting Category (Exemption Claim)]],TR_2SuppliedPounds[Material Reporting Category],0),1)))</f>
        <v/>
      </c>
      <c r="U67" s="79">
        <f>IF(TR_5ExemptionClaim[[#This Row],[End Market Name]]="",0,IFERROR(MATCH(TR_5ExemptionClaim[[#This Row],[End Market Name]],TR_4EndMarkets[Lookup: material+market],0)*0,1))</f>
        <v>0</v>
      </c>
      <c r="V67" s="79">
        <f>IF(TR_5ExemptionClaim[[#This Row],[Subcheck: unique]]="",0,IF(COUNTIFS(TR_5ExemptionClaim[Subcheck: unique left],TR_5ExemptionClaim[[#This Row],[Subcheck: unique left]],TR_5ExemptionClaim[Subcheck: unique right],TR_5ExemptionClaim[[#This Row],[Subcheck: unique right]])&gt;1,1,0))</f>
        <v>0</v>
      </c>
      <c r="W6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7" s="79">
        <f>IF(TR_5ExemptionClaim[[#This Row],[Material Reporting Category (Exemption Claim)]]=0,0,IF(SUM(TR_5ExemptionClaim[[#This Row],[Subcheck: minimum entry]:[Subcheck: missing CRPF info]])=0,0,1))</f>
        <v>0</v>
      </c>
      <c r="Y67" s="79">
        <f>IF(TR_5ExemptionClaim[[#This Row],[Material Reporting Category (Exemption Claim)]]&lt;&gt;"",0,TR_5ExemptionClaim[[#This Row],[Subcheck: any inputs in row]])</f>
        <v>0</v>
      </c>
      <c r="Z67" s="79">
        <f>IF(TR_5ExemptionClaim[[#This Row],[How many of the pounds recycled through this pathway were supplied by this producer?]]&gt;TR_5ExemptionClaim[[#This Row],[Pounds Recycled through this Pathway]],1,0)</f>
        <v>0</v>
      </c>
      <c r="AA6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7" s="79">
        <f>IF(TR_5ExemptionClaim[[#This Row],[Collection Company Type (autofill)]]&lt;&gt;Lookups!$K$13,0,IF(TR_5ExemptionClaim[[#This Row],[If the collector is OTR, was the service provided under OTR?]]&lt;&gt;"",0,1))</f>
        <v>0</v>
      </c>
      <c r="AF67" s="79">
        <f>IF(TR_5ExemptionClaim[[#This Row],[Did a CRPF ever handle the material before it reached the end market?]]&lt;&gt;"Yes",0,IF(COUNTA(TR_5ExemptionClaim[[#This Row],[CRPF name]:[CRPF Separation Ineligibility Warning]])=3,0,1))</f>
        <v>0</v>
      </c>
      <c r="AG6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7" s="77" t="str">
        <f>LEFT(TR_5ExemptionClaim[[#This Row],[Subcheck: unique]],250)</f>
        <v/>
      </c>
      <c r="AI67" s="77" t="str">
        <f>RIGHT(TR_5ExemptionClaim[[#This Row],[Subcheck: unique]],250)</f>
        <v/>
      </c>
      <c r="AJ67" s="77">
        <f>IF(OR(TR_5ExemptionClaim[[#This Row],[Check: collection ineligibility]]="Not Eligible",TR_5ExemptionClaim[[#This Row],[Check: CRPF non-separation ineligibility]]="Not Eligible",SUM(TR_5ExemptionClaim[[#This Row],[Check: end market does not exist]:[Check pounds (Third Party Substantiated)]])&gt;0),0,1)</f>
        <v>1</v>
      </c>
      <c r="AK67" s="78" t="str">
        <f>IF(TR_5ExemptionClaim[[#This Row],[Did this producer arrange for the recycling collection?]]="No",TR_5ExemptionClaim[[#This Row],[ID_EC]],"")</f>
        <v/>
      </c>
      <c r="AL67" s="80" t="str">
        <f t="shared" si="1"/>
        <v/>
      </c>
      <c r="AM67" s="80" t="str">
        <f>IFERROR(INDEX(TR_2SuppliedPounds[DEQ 2B Notes],MATCH(TR_5ExemptionClaim[[#This Row],[Material Reporting Category (Exemption Claim)]],TR_2SuppliedPounds[Material Reporting Category],0)),"")</f>
        <v/>
      </c>
      <c r="AN67" s="80" t="str">
        <f>IFERROR(INDEX(TR_3Collectors[DEQ 3B Notes],MATCH(TR_5ExemptionClaim[[#This Row],[Collection or Transportation Service Provider Name]],TR_3Collectors[Collection or Transportation Service Provider Name],0)),"")</f>
        <v/>
      </c>
      <c r="AO67" s="80" t="str">
        <f>IFERROR(INDEX(TR_4EndMarkets[DEQ 4B Notes],MATCH(TR_5ExemptionClaim[[#This Row],[End Market Name]],TR_4EndMarkets[Lookup: material+market],0)),"")</f>
        <v/>
      </c>
      <c r="AP67" s="81" t="str">
        <f>IFERROR(INDEX(TR_6RecyclingArranger[DEQ 6B Notes],MATCH(TR_5ExemptionClaim[[#This Row],[ID_EC]],TR_6RecyclingArranger[ID_EC],0)),"")</f>
        <v/>
      </c>
      <c r="AQ67" s="81">
        <f>SUMIFS(TR_6RecyclingArranger[DEQ 6B Eligible Pounds],TR_6RecyclingArranger[ID_EC],TR_5ExemptionClaim[[#This Row],[ID_EC]])</f>
        <v>0</v>
      </c>
      <c r="AR67" s="40"/>
      <c r="AS67" s="58"/>
    </row>
    <row r="68" spans="1:45" ht="30" customHeight="1" x14ac:dyDescent="0.2">
      <c r="A68" s="82" t="s">
        <v>982</v>
      </c>
      <c r="B68" s="46"/>
      <c r="C68" s="45"/>
      <c r="D68" s="45"/>
      <c r="E68" s="74"/>
      <c r="F6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8" s="47"/>
      <c r="H6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8" s="74"/>
      <c r="J68" s="75" t="str">
        <f>IF(TR_5ExemptionClaim[[#This Row],[If the collector is OTR, was the service provided under OTR?]]="Yes","Warning: Material collected under OTR service is not eligible for exemption.","")</f>
        <v/>
      </c>
      <c r="K68" s="47"/>
      <c r="L68" s="76"/>
      <c r="M68" s="47"/>
      <c r="N68" s="76"/>
      <c r="O68" s="104" t="str">
        <f>IF(TR_5ExemptionClaim[[#This Row],[If a CRPF handled the material, did the material undergo separation from other materials at the CRPF?]]="Yes","Warning: Material separated at a CRPF is not eligible for exemption.","")</f>
        <v/>
      </c>
      <c r="P68" s="47"/>
      <c r="Q68" s="47"/>
      <c r="R68" s="77" t="str">
        <f>IF(TR_5ExemptionClaim[[#This Row],[If the collector is OTR, was the service provided under OTR?]]="Yes","Not Eligible","")</f>
        <v/>
      </c>
      <c r="S68" s="77" t="str">
        <f>IF(TR_5ExemptionClaim[[#This Row],[If a CRPF handled the material, did the material undergo separation from other materials at the CRPF?]]="Yes","Not Eligible","")</f>
        <v/>
      </c>
      <c r="T68" s="79" t="str">
        <f>IF(TR_5ExemptionClaim[[#This Row],[Material Reporting Category (Exemption Claim)]]="","",(IFERROR(0*MATCH(TR_5ExemptionClaim[[#This Row],[Material Reporting Category (Exemption Claim)]],TR_2SuppliedPounds[Material Reporting Category],0),1)))</f>
        <v/>
      </c>
      <c r="U68" s="79">
        <f>IF(TR_5ExemptionClaim[[#This Row],[End Market Name]]="",0,IFERROR(MATCH(TR_5ExemptionClaim[[#This Row],[End Market Name]],TR_4EndMarkets[Lookup: material+market],0)*0,1))</f>
        <v>0</v>
      </c>
      <c r="V68" s="79">
        <f>IF(TR_5ExemptionClaim[[#This Row],[Subcheck: unique]]="",0,IF(COUNTIFS(TR_5ExemptionClaim[Subcheck: unique left],TR_5ExemptionClaim[[#This Row],[Subcheck: unique left]],TR_5ExemptionClaim[Subcheck: unique right],TR_5ExemptionClaim[[#This Row],[Subcheck: unique right]])&gt;1,1,0))</f>
        <v>0</v>
      </c>
      <c r="W6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8" s="79">
        <f>IF(TR_5ExemptionClaim[[#This Row],[Material Reporting Category (Exemption Claim)]]=0,0,IF(SUM(TR_5ExemptionClaim[[#This Row],[Subcheck: minimum entry]:[Subcheck: missing CRPF info]])=0,0,1))</f>
        <v>0</v>
      </c>
      <c r="Y68" s="79">
        <f>IF(TR_5ExemptionClaim[[#This Row],[Material Reporting Category (Exemption Claim)]]&lt;&gt;"",0,TR_5ExemptionClaim[[#This Row],[Subcheck: any inputs in row]])</f>
        <v>0</v>
      </c>
      <c r="Z68" s="79">
        <f>IF(TR_5ExemptionClaim[[#This Row],[How many of the pounds recycled through this pathway were supplied by this producer?]]&gt;TR_5ExemptionClaim[[#This Row],[Pounds Recycled through this Pathway]],1,0)</f>
        <v>0</v>
      </c>
      <c r="AA6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8" s="79">
        <f>IF(TR_5ExemptionClaim[[#This Row],[Collection Company Type (autofill)]]&lt;&gt;Lookups!$K$13,0,IF(TR_5ExemptionClaim[[#This Row],[If the collector is OTR, was the service provided under OTR?]]&lt;&gt;"",0,1))</f>
        <v>0</v>
      </c>
      <c r="AF68" s="79">
        <f>IF(TR_5ExemptionClaim[[#This Row],[Did a CRPF ever handle the material before it reached the end market?]]&lt;&gt;"Yes",0,IF(COUNTA(TR_5ExemptionClaim[[#This Row],[CRPF name]:[CRPF Separation Ineligibility Warning]])=3,0,1))</f>
        <v>0</v>
      </c>
      <c r="AG6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8" s="77" t="str">
        <f>LEFT(TR_5ExemptionClaim[[#This Row],[Subcheck: unique]],250)</f>
        <v/>
      </c>
      <c r="AI68" s="77" t="str">
        <f>RIGHT(TR_5ExemptionClaim[[#This Row],[Subcheck: unique]],250)</f>
        <v/>
      </c>
      <c r="AJ68" s="77">
        <f>IF(OR(TR_5ExemptionClaim[[#This Row],[Check: collection ineligibility]]="Not Eligible",TR_5ExemptionClaim[[#This Row],[Check: CRPF non-separation ineligibility]]="Not Eligible",SUM(TR_5ExemptionClaim[[#This Row],[Check: end market does not exist]:[Check pounds (Third Party Substantiated)]])&gt;0),0,1)</f>
        <v>1</v>
      </c>
      <c r="AK68" s="78" t="str">
        <f>IF(TR_5ExemptionClaim[[#This Row],[Did this producer arrange for the recycling collection?]]="No",TR_5ExemptionClaim[[#This Row],[ID_EC]],"")</f>
        <v/>
      </c>
      <c r="AL68" s="80" t="str">
        <f t="shared" si="1"/>
        <v/>
      </c>
      <c r="AM68" s="80" t="str">
        <f>IFERROR(INDEX(TR_2SuppliedPounds[DEQ 2B Notes],MATCH(TR_5ExemptionClaim[[#This Row],[Material Reporting Category (Exemption Claim)]],TR_2SuppliedPounds[Material Reporting Category],0)),"")</f>
        <v/>
      </c>
      <c r="AN68" s="80" t="str">
        <f>IFERROR(INDEX(TR_3Collectors[DEQ 3B Notes],MATCH(TR_5ExemptionClaim[[#This Row],[Collection or Transportation Service Provider Name]],TR_3Collectors[Collection or Transportation Service Provider Name],0)),"")</f>
        <v/>
      </c>
      <c r="AO68" s="80" t="str">
        <f>IFERROR(INDEX(TR_4EndMarkets[DEQ 4B Notes],MATCH(TR_5ExemptionClaim[[#This Row],[End Market Name]],TR_4EndMarkets[Lookup: material+market],0)),"")</f>
        <v/>
      </c>
      <c r="AP68" s="81" t="str">
        <f>IFERROR(INDEX(TR_6RecyclingArranger[DEQ 6B Notes],MATCH(TR_5ExemptionClaim[[#This Row],[ID_EC]],TR_6RecyclingArranger[ID_EC],0)),"")</f>
        <v/>
      </c>
      <c r="AQ68" s="81">
        <f>SUMIFS(TR_6RecyclingArranger[DEQ 6B Eligible Pounds],TR_6RecyclingArranger[ID_EC],TR_5ExemptionClaim[[#This Row],[ID_EC]])</f>
        <v>0</v>
      </c>
      <c r="AR68" s="40"/>
      <c r="AS68" s="58"/>
    </row>
    <row r="69" spans="1:45" ht="30" customHeight="1" x14ac:dyDescent="0.2">
      <c r="A69" s="82" t="s">
        <v>983</v>
      </c>
      <c r="B69" s="46"/>
      <c r="C69" s="45"/>
      <c r="D69" s="45"/>
      <c r="E69" s="74"/>
      <c r="F6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69" s="47"/>
      <c r="H6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69" s="74"/>
      <c r="J69" s="75" t="str">
        <f>IF(TR_5ExemptionClaim[[#This Row],[If the collector is OTR, was the service provided under OTR?]]="Yes","Warning: Material collected under OTR service is not eligible for exemption.","")</f>
        <v/>
      </c>
      <c r="K69" s="47"/>
      <c r="L69" s="76"/>
      <c r="M69" s="47"/>
      <c r="N69" s="76"/>
      <c r="O69" s="104" t="str">
        <f>IF(TR_5ExemptionClaim[[#This Row],[If a CRPF handled the material, did the material undergo separation from other materials at the CRPF?]]="Yes","Warning: Material separated at a CRPF is not eligible for exemption.","")</f>
        <v/>
      </c>
      <c r="P69" s="47"/>
      <c r="Q69" s="47"/>
      <c r="R69" s="77" t="str">
        <f>IF(TR_5ExemptionClaim[[#This Row],[If the collector is OTR, was the service provided under OTR?]]="Yes","Not Eligible","")</f>
        <v/>
      </c>
      <c r="S69" s="77" t="str">
        <f>IF(TR_5ExemptionClaim[[#This Row],[If a CRPF handled the material, did the material undergo separation from other materials at the CRPF?]]="Yes","Not Eligible","")</f>
        <v/>
      </c>
      <c r="T69" s="79" t="str">
        <f>IF(TR_5ExemptionClaim[[#This Row],[Material Reporting Category (Exemption Claim)]]="","",(IFERROR(0*MATCH(TR_5ExemptionClaim[[#This Row],[Material Reporting Category (Exemption Claim)]],TR_2SuppliedPounds[Material Reporting Category],0),1)))</f>
        <v/>
      </c>
      <c r="U69" s="79">
        <f>IF(TR_5ExemptionClaim[[#This Row],[End Market Name]]="",0,IFERROR(MATCH(TR_5ExemptionClaim[[#This Row],[End Market Name]],TR_4EndMarkets[Lookup: material+market],0)*0,1))</f>
        <v>0</v>
      </c>
      <c r="V69" s="79">
        <f>IF(TR_5ExemptionClaim[[#This Row],[Subcheck: unique]]="",0,IF(COUNTIFS(TR_5ExemptionClaim[Subcheck: unique left],TR_5ExemptionClaim[[#This Row],[Subcheck: unique left]],TR_5ExemptionClaim[Subcheck: unique right],TR_5ExemptionClaim[[#This Row],[Subcheck: unique right]])&gt;1,1,0))</f>
        <v>0</v>
      </c>
      <c r="W6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69" s="79">
        <f>IF(TR_5ExemptionClaim[[#This Row],[Material Reporting Category (Exemption Claim)]]=0,0,IF(SUM(TR_5ExemptionClaim[[#This Row],[Subcheck: minimum entry]:[Subcheck: missing CRPF info]])=0,0,1))</f>
        <v>0</v>
      </c>
      <c r="Y69" s="79">
        <f>IF(TR_5ExemptionClaim[[#This Row],[Material Reporting Category (Exemption Claim)]]&lt;&gt;"",0,TR_5ExemptionClaim[[#This Row],[Subcheck: any inputs in row]])</f>
        <v>0</v>
      </c>
      <c r="Z69" s="79">
        <f>IF(TR_5ExemptionClaim[[#This Row],[How many of the pounds recycled through this pathway were supplied by this producer?]]&gt;TR_5ExemptionClaim[[#This Row],[Pounds Recycled through this Pathway]],1,0)</f>
        <v>0</v>
      </c>
      <c r="AA6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6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6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6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69" s="79">
        <f>IF(TR_5ExemptionClaim[[#This Row],[Collection Company Type (autofill)]]&lt;&gt;Lookups!$K$13,0,IF(TR_5ExemptionClaim[[#This Row],[If the collector is OTR, was the service provided under OTR?]]&lt;&gt;"",0,1))</f>
        <v>0</v>
      </c>
      <c r="AF69" s="79">
        <f>IF(TR_5ExemptionClaim[[#This Row],[Did a CRPF ever handle the material before it reached the end market?]]&lt;&gt;"Yes",0,IF(COUNTA(TR_5ExemptionClaim[[#This Row],[CRPF name]:[CRPF Separation Ineligibility Warning]])=3,0,1))</f>
        <v>0</v>
      </c>
      <c r="AG6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69" s="77" t="str">
        <f>LEFT(TR_5ExemptionClaim[[#This Row],[Subcheck: unique]],250)</f>
        <v/>
      </c>
      <c r="AI69" s="77" t="str">
        <f>RIGHT(TR_5ExemptionClaim[[#This Row],[Subcheck: unique]],250)</f>
        <v/>
      </c>
      <c r="AJ69" s="77">
        <f>IF(OR(TR_5ExemptionClaim[[#This Row],[Check: collection ineligibility]]="Not Eligible",TR_5ExemptionClaim[[#This Row],[Check: CRPF non-separation ineligibility]]="Not Eligible",SUM(TR_5ExemptionClaim[[#This Row],[Check: end market does not exist]:[Check pounds (Third Party Substantiated)]])&gt;0),0,1)</f>
        <v>1</v>
      </c>
      <c r="AK69" s="78" t="str">
        <f>IF(TR_5ExemptionClaim[[#This Row],[Did this producer arrange for the recycling collection?]]="No",TR_5ExemptionClaim[[#This Row],[ID_EC]],"")</f>
        <v/>
      </c>
      <c r="AL69" s="80" t="str">
        <f t="shared" si="1"/>
        <v/>
      </c>
      <c r="AM69" s="80" t="str">
        <f>IFERROR(INDEX(TR_2SuppliedPounds[DEQ 2B Notes],MATCH(TR_5ExemptionClaim[[#This Row],[Material Reporting Category (Exemption Claim)]],TR_2SuppliedPounds[Material Reporting Category],0)),"")</f>
        <v/>
      </c>
      <c r="AN69" s="80" t="str">
        <f>IFERROR(INDEX(TR_3Collectors[DEQ 3B Notes],MATCH(TR_5ExemptionClaim[[#This Row],[Collection or Transportation Service Provider Name]],TR_3Collectors[Collection or Transportation Service Provider Name],0)),"")</f>
        <v/>
      </c>
      <c r="AO69" s="80" t="str">
        <f>IFERROR(INDEX(TR_4EndMarkets[DEQ 4B Notes],MATCH(TR_5ExemptionClaim[[#This Row],[End Market Name]],TR_4EndMarkets[Lookup: material+market],0)),"")</f>
        <v/>
      </c>
      <c r="AP69" s="81" t="str">
        <f>IFERROR(INDEX(TR_6RecyclingArranger[DEQ 6B Notes],MATCH(TR_5ExemptionClaim[[#This Row],[ID_EC]],TR_6RecyclingArranger[ID_EC],0)),"")</f>
        <v/>
      </c>
      <c r="AQ69" s="81">
        <f>SUMIFS(TR_6RecyclingArranger[DEQ 6B Eligible Pounds],TR_6RecyclingArranger[ID_EC],TR_5ExemptionClaim[[#This Row],[ID_EC]])</f>
        <v>0</v>
      </c>
      <c r="AR69" s="40"/>
      <c r="AS69" s="58"/>
    </row>
    <row r="70" spans="1:45" ht="30" customHeight="1" x14ac:dyDescent="0.2">
      <c r="A70" s="82" t="s">
        <v>984</v>
      </c>
      <c r="B70" s="46"/>
      <c r="C70" s="45"/>
      <c r="D70" s="45"/>
      <c r="E70" s="74"/>
      <c r="F7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0" s="47"/>
      <c r="H7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0" s="74"/>
      <c r="J70" s="75" t="str">
        <f>IF(TR_5ExemptionClaim[[#This Row],[If the collector is OTR, was the service provided under OTR?]]="Yes","Warning: Material collected under OTR service is not eligible for exemption.","")</f>
        <v/>
      </c>
      <c r="K70" s="47"/>
      <c r="L70" s="76"/>
      <c r="M70" s="47"/>
      <c r="N70" s="76"/>
      <c r="O70" s="104" t="str">
        <f>IF(TR_5ExemptionClaim[[#This Row],[If a CRPF handled the material, did the material undergo separation from other materials at the CRPF?]]="Yes","Warning: Material separated at a CRPF is not eligible for exemption.","")</f>
        <v/>
      </c>
      <c r="P70" s="47"/>
      <c r="Q70" s="47"/>
      <c r="R70" s="77" t="str">
        <f>IF(TR_5ExemptionClaim[[#This Row],[If the collector is OTR, was the service provided under OTR?]]="Yes","Not Eligible","")</f>
        <v/>
      </c>
      <c r="S70" s="77" t="str">
        <f>IF(TR_5ExemptionClaim[[#This Row],[If a CRPF handled the material, did the material undergo separation from other materials at the CRPF?]]="Yes","Not Eligible","")</f>
        <v/>
      </c>
      <c r="T70" s="79" t="str">
        <f>IF(TR_5ExemptionClaim[[#This Row],[Material Reporting Category (Exemption Claim)]]="","",(IFERROR(0*MATCH(TR_5ExemptionClaim[[#This Row],[Material Reporting Category (Exemption Claim)]],TR_2SuppliedPounds[Material Reporting Category],0),1)))</f>
        <v/>
      </c>
      <c r="U70" s="79">
        <f>IF(TR_5ExemptionClaim[[#This Row],[End Market Name]]="",0,IFERROR(MATCH(TR_5ExemptionClaim[[#This Row],[End Market Name]],TR_4EndMarkets[Lookup: material+market],0)*0,1))</f>
        <v>0</v>
      </c>
      <c r="V70" s="79">
        <f>IF(TR_5ExemptionClaim[[#This Row],[Subcheck: unique]]="",0,IF(COUNTIFS(TR_5ExemptionClaim[Subcheck: unique left],TR_5ExemptionClaim[[#This Row],[Subcheck: unique left]],TR_5ExemptionClaim[Subcheck: unique right],TR_5ExemptionClaim[[#This Row],[Subcheck: unique right]])&gt;1,1,0))</f>
        <v>0</v>
      </c>
      <c r="W7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0" s="79">
        <f>IF(TR_5ExemptionClaim[[#This Row],[Material Reporting Category (Exemption Claim)]]=0,0,IF(SUM(TR_5ExemptionClaim[[#This Row],[Subcheck: minimum entry]:[Subcheck: missing CRPF info]])=0,0,1))</f>
        <v>0</v>
      </c>
      <c r="Y70" s="79">
        <f>IF(TR_5ExemptionClaim[[#This Row],[Material Reporting Category (Exemption Claim)]]&lt;&gt;"",0,TR_5ExemptionClaim[[#This Row],[Subcheck: any inputs in row]])</f>
        <v>0</v>
      </c>
      <c r="Z70" s="79">
        <f>IF(TR_5ExemptionClaim[[#This Row],[How many of the pounds recycled through this pathway were supplied by this producer?]]&gt;TR_5ExemptionClaim[[#This Row],[Pounds Recycled through this Pathway]],1,0)</f>
        <v>0</v>
      </c>
      <c r="AA7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0" s="79">
        <f>IF(TR_5ExemptionClaim[[#This Row],[Collection Company Type (autofill)]]&lt;&gt;Lookups!$K$13,0,IF(TR_5ExemptionClaim[[#This Row],[If the collector is OTR, was the service provided under OTR?]]&lt;&gt;"",0,1))</f>
        <v>0</v>
      </c>
      <c r="AF70" s="79">
        <f>IF(TR_5ExemptionClaim[[#This Row],[Did a CRPF ever handle the material before it reached the end market?]]&lt;&gt;"Yes",0,IF(COUNTA(TR_5ExemptionClaim[[#This Row],[CRPF name]:[CRPF Separation Ineligibility Warning]])=3,0,1))</f>
        <v>0</v>
      </c>
      <c r="AG7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0" s="77" t="str">
        <f>LEFT(TR_5ExemptionClaim[[#This Row],[Subcheck: unique]],250)</f>
        <v/>
      </c>
      <c r="AI70" s="77" t="str">
        <f>RIGHT(TR_5ExemptionClaim[[#This Row],[Subcheck: unique]],250)</f>
        <v/>
      </c>
      <c r="AJ70" s="77">
        <f>IF(OR(TR_5ExemptionClaim[[#This Row],[Check: collection ineligibility]]="Not Eligible",TR_5ExemptionClaim[[#This Row],[Check: CRPF non-separation ineligibility]]="Not Eligible",SUM(TR_5ExemptionClaim[[#This Row],[Check: end market does not exist]:[Check pounds (Third Party Substantiated)]])&gt;0),0,1)</f>
        <v>1</v>
      </c>
      <c r="AK70" s="78" t="str">
        <f>IF(TR_5ExemptionClaim[[#This Row],[Did this producer arrange for the recycling collection?]]="No",TR_5ExemptionClaim[[#This Row],[ID_EC]],"")</f>
        <v/>
      </c>
      <c r="AL70" s="80" t="str">
        <f t="shared" ref="AL70:AL105" si="2">IF(DR_ProducerID=0,"",DR_ProducerID)</f>
        <v/>
      </c>
      <c r="AM70" s="80" t="str">
        <f>IFERROR(INDEX(TR_2SuppliedPounds[DEQ 2B Notes],MATCH(TR_5ExemptionClaim[[#This Row],[Material Reporting Category (Exemption Claim)]],TR_2SuppliedPounds[Material Reporting Category],0)),"")</f>
        <v/>
      </c>
      <c r="AN70" s="80" t="str">
        <f>IFERROR(INDEX(TR_3Collectors[DEQ 3B Notes],MATCH(TR_5ExemptionClaim[[#This Row],[Collection or Transportation Service Provider Name]],TR_3Collectors[Collection or Transportation Service Provider Name],0)),"")</f>
        <v/>
      </c>
      <c r="AO70" s="80" t="str">
        <f>IFERROR(INDEX(TR_4EndMarkets[DEQ 4B Notes],MATCH(TR_5ExemptionClaim[[#This Row],[End Market Name]],TR_4EndMarkets[Lookup: material+market],0)),"")</f>
        <v/>
      </c>
      <c r="AP70" s="81" t="str">
        <f>IFERROR(INDEX(TR_6RecyclingArranger[DEQ 6B Notes],MATCH(TR_5ExemptionClaim[[#This Row],[ID_EC]],TR_6RecyclingArranger[ID_EC],0)),"")</f>
        <v/>
      </c>
      <c r="AQ70" s="81">
        <f>SUMIFS(TR_6RecyclingArranger[DEQ 6B Eligible Pounds],TR_6RecyclingArranger[ID_EC],TR_5ExemptionClaim[[#This Row],[ID_EC]])</f>
        <v>0</v>
      </c>
      <c r="AR70" s="40"/>
      <c r="AS70" s="58"/>
    </row>
    <row r="71" spans="1:45" ht="30" customHeight="1" x14ac:dyDescent="0.2">
      <c r="A71" s="82" t="s">
        <v>985</v>
      </c>
      <c r="B71" s="46"/>
      <c r="C71" s="45"/>
      <c r="D71" s="45"/>
      <c r="E71" s="74"/>
      <c r="F7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1" s="47"/>
      <c r="H7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1" s="74"/>
      <c r="J71" s="75" t="str">
        <f>IF(TR_5ExemptionClaim[[#This Row],[If the collector is OTR, was the service provided under OTR?]]="Yes","Warning: Material collected under OTR service is not eligible for exemption.","")</f>
        <v/>
      </c>
      <c r="K71" s="47"/>
      <c r="L71" s="76"/>
      <c r="M71" s="47"/>
      <c r="N71" s="76"/>
      <c r="O71" s="104" t="str">
        <f>IF(TR_5ExemptionClaim[[#This Row],[If a CRPF handled the material, did the material undergo separation from other materials at the CRPF?]]="Yes","Warning: Material separated at a CRPF is not eligible for exemption.","")</f>
        <v/>
      </c>
      <c r="P71" s="47"/>
      <c r="Q71" s="47"/>
      <c r="R71" s="77" t="str">
        <f>IF(TR_5ExemptionClaim[[#This Row],[If the collector is OTR, was the service provided under OTR?]]="Yes","Not Eligible","")</f>
        <v/>
      </c>
      <c r="S71" s="77" t="str">
        <f>IF(TR_5ExemptionClaim[[#This Row],[If a CRPF handled the material, did the material undergo separation from other materials at the CRPF?]]="Yes","Not Eligible","")</f>
        <v/>
      </c>
      <c r="T71" s="79" t="str">
        <f>IF(TR_5ExemptionClaim[[#This Row],[Material Reporting Category (Exemption Claim)]]="","",(IFERROR(0*MATCH(TR_5ExemptionClaim[[#This Row],[Material Reporting Category (Exemption Claim)]],TR_2SuppliedPounds[Material Reporting Category],0),1)))</f>
        <v/>
      </c>
      <c r="U71" s="79">
        <f>IF(TR_5ExemptionClaim[[#This Row],[End Market Name]]="",0,IFERROR(MATCH(TR_5ExemptionClaim[[#This Row],[End Market Name]],TR_4EndMarkets[Lookup: material+market],0)*0,1))</f>
        <v>0</v>
      </c>
      <c r="V71" s="79">
        <f>IF(TR_5ExemptionClaim[[#This Row],[Subcheck: unique]]="",0,IF(COUNTIFS(TR_5ExemptionClaim[Subcheck: unique left],TR_5ExemptionClaim[[#This Row],[Subcheck: unique left]],TR_5ExemptionClaim[Subcheck: unique right],TR_5ExemptionClaim[[#This Row],[Subcheck: unique right]])&gt;1,1,0))</f>
        <v>0</v>
      </c>
      <c r="W7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1" s="79">
        <f>IF(TR_5ExemptionClaim[[#This Row],[Material Reporting Category (Exemption Claim)]]=0,0,IF(SUM(TR_5ExemptionClaim[[#This Row],[Subcheck: minimum entry]:[Subcheck: missing CRPF info]])=0,0,1))</f>
        <v>0</v>
      </c>
      <c r="Y71" s="79">
        <f>IF(TR_5ExemptionClaim[[#This Row],[Material Reporting Category (Exemption Claim)]]&lt;&gt;"",0,TR_5ExemptionClaim[[#This Row],[Subcheck: any inputs in row]])</f>
        <v>0</v>
      </c>
      <c r="Z71" s="79">
        <f>IF(TR_5ExemptionClaim[[#This Row],[How many of the pounds recycled through this pathway were supplied by this producer?]]&gt;TR_5ExemptionClaim[[#This Row],[Pounds Recycled through this Pathway]],1,0)</f>
        <v>0</v>
      </c>
      <c r="AA7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1" s="79">
        <f>IF(TR_5ExemptionClaim[[#This Row],[Collection Company Type (autofill)]]&lt;&gt;Lookups!$K$13,0,IF(TR_5ExemptionClaim[[#This Row],[If the collector is OTR, was the service provided under OTR?]]&lt;&gt;"",0,1))</f>
        <v>0</v>
      </c>
      <c r="AF71" s="79">
        <f>IF(TR_5ExemptionClaim[[#This Row],[Did a CRPF ever handle the material before it reached the end market?]]&lt;&gt;"Yes",0,IF(COUNTA(TR_5ExemptionClaim[[#This Row],[CRPF name]:[CRPF Separation Ineligibility Warning]])=3,0,1))</f>
        <v>0</v>
      </c>
      <c r="AG7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1" s="77" t="str">
        <f>LEFT(TR_5ExemptionClaim[[#This Row],[Subcheck: unique]],250)</f>
        <v/>
      </c>
      <c r="AI71" s="77" t="str">
        <f>RIGHT(TR_5ExemptionClaim[[#This Row],[Subcheck: unique]],250)</f>
        <v/>
      </c>
      <c r="AJ71" s="77">
        <f>IF(OR(TR_5ExemptionClaim[[#This Row],[Check: collection ineligibility]]="Not Eligible",TR_5ExemptionClaim[[#This Row],[Check: CRPF non-separation ineligibility]]="Not Eligible",SUM(TR_5ExemptionClaim[[#This Row],[Check: end market does not exist]:[Check pounds (Third Party Substantiated)]])&gt;0),0,1)</f>
        <v>1</v>
      </c>
      <c r="AK71" s="78" t="str">
        <f>IF(TR_5ExemptionClaim[[#This Row],[Did this producer arrange for the recycling collection?]]="No",TR_5ExemptionClaim[[#This Row],[ID_EC]],"")</f>
        <v/>
      </c>
      <c r="AL71" s="80" t="str">
        <f t="shared" si="2"/>
        <v/>
      </c>
      <c r="AM71" s="80" t="str">
        <f>IFERROR(INDEX(TR_2SuppliedPounds[DEQ 2B Notes],MATCH(TR_5ExemptionClaim[[#This Row],[Material Reporting Category (Exemption Claim)]],TR_2SuppliedPounds[Material Reporting Category],0)),"")</f>
        <v/>
      </c>
      <c r="AN71" s="80" t="str">
        <f>IFERROR(INDEX(TR_3Collectors[DEQ 3B Notes],MATCH(TR_5ExemptionClaim[[#This Row],[Collection or Transportation Service Provider Name]],TR_3Collectors[Collection or Transportation Service Provider Name],0)),"")</f>
        <v/>
      </c>
      <c r="AO71" s="80" t="str">
        <f>IFERROR(INDEX(TR_4EndMarkets[DEQ 4B Notes],MATCH(TR_5ExemptionClaim[[#This Row],[End Market Name]],TR_4EndMarkets[Lookup: material+market],0)),"")</f>
        <v/>
      </c>
      <c r="AP71" s="81" t="str">
        <f>IFERROR(INDEX(TR_6RecyclingArranger[DEQ 6B Notes],MATCH(TR_5ExemptionClaim[[#This Row],[ID_EC]],TR_6RecyclingArranger[ID_EC],0)),"")</f>
        <v/>
      </c>
      <c r="AQ71" s="81">
        <f>SUMIFS(TR_6RecyclingArranger[DEQ 6B Eligible Pounds],TR_6RecyclingArranger[ID_EC],TR_5ExemptionClaim[[#This Row],[ID_EC]])</f>
        <v>0</v>
      </c>
      <c r="AR71" s="40"/>
      <c r="AS71" s="58"/>
    </row>
    <row r="72" spans="1:45" ht="30" customHeight="1" x14ac:dyDescent="0.2">
      <c r="A72" s="82" t="s">
        <v>986</v>
      </c>
      <c r="B72" s="46"/>
      <c r="C72" s="45"/>
      <c r="D72" s="45"/>
      <c r="E72" s="74"/>
      <c r="F7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2" s="47"/>
      <c r="H7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2" s="74"/>
      <c r="J72" s="75" t="str">
        <f>IF(TR_5ExemptionClaim[[#This Row],[If the collector is OTR, was the service provided under OTR?]]="Yes","Warning: Material collected under OTR service is not eligible for exemption.","")</f>
        <v/>
      </c>
      <c r="K72" s="47"/>
      <c r="L72" s="76"/>
      <c r="M72" s="47"/>
      <c r="N72" s="76"/>
      <c r="O72" s="104" t="str">
        <f>IF(TR_5ExemptionClaim[[#This Row],[If a CRPF handled the material, did the material undergo separation from other materials at the CRPF?]]="Yes","Warning: Material separated at a CRPF is not eligible for exemption.","")</f>
        <v/>
      </c>
      <c r="P72" s="47"/>
      <c r="Q72" s="47"/>
      <c r="R72" s="77" t="str">
        <f>IF(TR_5ExemptionClaim[[#This Row],[If the collector is OTR, was the service provided under OTR?]]="Yes","Not Eligible","")</f>
        <v/>
      </c>
      <c r="S72" s="77" t="str">
        <f>IF(TR_5ExemptionClaim[[#This Row],[If a CRPF handled the material, did the material undergo separation from other materials at the CRPF?]]="Yes","Not Eligible","")</f>
        <v/>
      </c>
      <c r="T72" s="79" t="str">
        <f>IF(TR_5ExemptionClaim[[#This Row],[Material Reporting Category (Exemption Claim)]]="","",(IFERROR(0*MATCH(TR_5ExemptionClaim[[#This Row],[Material Reporting Category (Exemption Claim)]],TR_2SuppliedPounds[Material Reporting Category],0),1)))</f>
        <v/>
      </c>
      <c r="U72" s="79">
        <f>IF(TR_5ExemptionClaim[[#This Row],[End Market Name]]="",0,IFERROR(MATCH(TR_5ExemptionClaim[[#This Row],[End Market Name]],TR_4EndMarkets[Lookup: material+market],0)*0,1))</f>
        <v>0</v>
      </c>
      <c r="V72" s="79">
        <f>IF(TR_5ExemptionClaim[[#This Row],[Subcheck: unique]]="",0,IF(COUNTIFS(TR_5ExemptionClaim[Subcheck: unique left],TR_5ExemptionClaim[[#This Row],[Subcheck: unique left]],TR_5ExemptionClaim[Subcheck: unique right],TR_5ExemptionClaim[[#This Row],[Subcheck: unique right]])&gt;1,1,0))</f>
        <v>0</v>
      </c>
      <c r="W7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2" s="79">
        <f>IF(TR_5ExemptionClaim[[#This Row],[Material Reporting Category (Exemption Claim)]]=0,0,IF(SUM(TR_5ExemptionClaim[[#This Row],[Subcheck: minimum entry]:[Subcheck: missing CRPF info]])=0,0,1))</f>
        <v>0</v>
      </c>
      <c r="Y72" s="79">
        <f>IF(TR_5ExemptionClaim[[#This Row],[Material Reporting Category (Exemption Claim)]]&lt;&gt;"",0,TR_5ExemptionClaim[[#This Row],[Subcheck: any inputs in row]])</f>
        <v>0</v>
      </c>
      <c r="Z72" s="79">
        <f>IF(TR_5ExemptionClaim[[#This Row],[How many of the pounds recycled through this pathway were supplied by this producer?]]&gt;TR_5ExemptionClaim[[#This Row],[Pounds Recycled through this Pathway]],1,0)</f>
        <v>0</v>
      </c>
      <c r="AA7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2" s="79">
        <f>IF(TR_5ExemptionClaim[[#This Row],[Collection Company Type (autofill)]]&lt;&gt;Lookups!$K$13,0,IF(TR_5ExemptionClaim[[#This Row],[If the collector is OTR, was the service provided under OTR?]]&lt;&gt;"",0,1))</f>
        <v>0</v>
      </c>
      <c r="AF72" s="79">
        <f>IF(TR_5ExemptionClaim[[#This Row],[Did a CRPF ever handle the material before it reached the end market?]]&lt;&gt;"Yes",0,IF(COUNTA(TR_5ExemptionClaim[[#This Row],[CRPF name]:[CRPF Separation Ineligibility Warning]])=3,0,1))</f>
        <v>0</v>
      </c>
      <c r="AG7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2" s="77" t="str">
        <f>LEFT(TR_5ExemptionClaim[[#This Row],[Subcheck: unique]],250)</f>
        <v/>
      </c>
      <c r="AI72" s="77" t="str">
        <f>RIGHT(TR_5ExemptionClaim[[#This Row],[Subcheck: unique]],250)</f>
        <v/>
      </c>
      <c r="AJ72" s="77">
        <f>IF(OR(TR_5ExemptionClaim[[#This Row],[Check: collection ineligibility]]="Not Eligible",TR_5ExemptionClaim[[#This Row],[Check: CRPF non-separation ineligibility]]="Not Eligible",SUM(TR_5ExemptionClaim[[#This Row],[Check: end market does not exist]:[Check pounds (Third Party Substantiated)]])&gt;0),0,1)</f>
        <v>1</v>
      </c>
      <c r="AK72" s="78" t="str">
        <f>IF(TR_5ExemptionClaim[[#This Row],[Did this producer arrange for the recycling collection?]]="No",TR_5ExemptionClaim[[#This Row],[ID_EC]],"")</f>
        <v/>
      </c>
      <c r="AL72" s="80" t="str">
        <f t="shared" si="2"/>
        <v/>
      </c>
      <c r="AM72" s="80" t="str">
        <f>IFERROR(INDEX(TR_2SuppliedPounds[DEQ 2B Notes],MATCH(TR_5ExemptionClaim[[#This Row],[Material Reporting Category (Exemption Claim)]],TR_2SuppliedPounds[Material Reporting Category],0)),"")</f>
        <v/>
      </c>
      <c r="AN72" s="80" t="str">
        <f>IFERROR(INDEX(TR_3Collectors[DEQ 3B Notes],MATCH(TR_5ExemptionClaim[[#This Row],[Collection or Transportation Service Provider Name]],TR_3Collectors[Collection or Transportation Service Provider Name],0)),"")</f>
        <v/>
      </c>
      <c r="AO72" s="80" t="str">
        <f>IFERROR(INDEX(TR_4EndMarkets[DEQ 4B Notes],MATCH(TR_5ExemptionClaim[[#This Row],[End Market Name]],TR_4EndMarkets[Lookup: material+market],0)),"")</f>
        <v/>
      </c>
      <c r="AP72" s="81" t="str">
        <f>IFERROR(INDEX(TR_6RecyclingArranger[DEQ 6B Notes],MATCH(TR_5ExemptionClaim[[#This Row],[ID_EC]],TR_6RecyclingArranger[ID_EC],0)),"")</f>
        <v/>
      </c>
      <c r="AQ72" s="81">
        <f>SUMIFS(TR_6RecyclingArranger[DEQ 6B Eligible Pounds],TR_6RecyclingArranger[ID_EC],TR_5ExemptionClaim[[#This Row],[ID_EC]])</f>
        <v>0</v>
      </c>
      <c r="AR72" s="40"/>
      <c r="AS72" s="58"/>
    </row>
    <row r="73" spans="1:45" ht="30" customHeight="1" x14ac:dyDescent="0.2">
      <c r="A73" s="82" t="s">
        <v>987</v>
      </c>
      <c r="B73" s="46"/>
      <c r="C73" s="45"/>
      <c r="D73" s="45"/>
      <c r="E73" s="74"/>
      <c r="F7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3" s="47"/>
      <c r="H7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3" s="74"/>
      <c r="J73" s="75" t="str">
        <f>IF(TR_5ExemptionClaim[[#This Row],[If the collector is OTR, was the service provided under OTR?]]="Yes","Warning: Material collected under OTR service is not eligible for exemption.","")</f>
        <v/>
      </c>
      <c r="K73" s="47"/>
      <c r="L73" s="76"/>
      <c r="M73" s="47"/>
      <c r="N73" s="76"/>
      <c r="O73" s="104" t="str">
        <f>IF(TR_5ExemptionClaim[[#This Row],[If a CRPF handled the material, did the material undergo separation from other materials at the CRPF?]]="Yes","Warning: Material separated at a CRPF is not eligible for exemption.","")</f>
        <v/>
      </c>
      <c r="P73" s="47"/>
      <c r="Q73" s="47"/>
      <c r="R73" s="77" t="str">
        <f>IF(TR_5ExemptionClaim[[#This Row],[If the collector is OTR, was the service provided under OTR?]]="Yes","Not Eligible","")</f>
        <v/>
      </c>
      <c r="S73" s="77" t="str">
        <f>IF(TR_5ExemptionClaim[[#This Row],[If a CRPF handled the material, did the material undergo separation from other materials at the CRPF?]]="Yes","Not Eligible","")</f>
        <v/>
      </c>
      <c r="T73" s="79" t="str">
        <f>IF(TR_5ExemptionClaim[[#This Row],[Material Reporting Category (Exemption Claim)]]="","",(IFERROR(0*MATCH(TR_5ExemptionClaim[[#This Row],[Material Reporting Category (Exemption Claim)]],TR_2SuppliedPounds[Material Reporting Category],0),1)))</f>
        <v/>
      </c>
      <c r="U73" s="79">
        <f>IF(TR_5ExemptionClaim[[#This Row],[End Market Name]]="",0,IFERROR(MATCH(TR_5ExemptionClaim[[#This Row],[End Market Name]],TR_4EndMarkets[Lookup: material+market],0)*0,1))</f>
        <v>0</v>
      </c>
      <c r="V73" s="79">
        <f>IF(TR_5ExemptionClaim[[#This Row],[Subcheck: unique]]="",0,IF(COUNTIFS(TR_5ExemptionClaim[Subcheck: unique left],TR_5ExemptionClaim[[#This Row],[Subcheck: unique left]],TR_5ExemptionClaim[Subcheck: unique right],TR_5ExemptionClaim[[#This Row],[Subcheck: unique right]])&gt;1,1,0))</f>
        <v>0</v>
      </c>
      <c r="W7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3" s="79">
        <f>IF(TR_5ExemptionClaim[[#This Row],[Material Reporting Category (Exemption Claim)]]=0,0,IF(SUM(TR_5ExemptionClaim[[#This Row],[Subcheck: minimum entry]:[Subcheck: missing CRPF info]])=0,0,1))</f>
        <v>0</v>
      </c>
      <c r="Y73" s="79">
        <f>IF(TR_5ExemptionClaim[[#This Row],[Material Reporting Category (Exemption Claim)]]&lt;&gt;"",0,TR_5ExemptionClaim[[#This Row],[Subcheck: any inputs in row]])</f>
        <v>0</v>
      </c>
      <c r="Z73" s="79">
        <f>IF(TR_5ExemptionClaim[[#This Row],[How many of the pounds recycled through this pathway were supplied by this producer?]]&gt;TR_5ExemptionClaim[[#This Row],[Pounds Recycled through this Pathway]],1,0)</f>
        <v>0</v>
      </c>
      <c r="AA7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3" s="79">
        <f>IF(TR_5ExemptionClaim[[#This Row],[Collection Company Type (autofill)]]&lt;&gt;Lookups!$K$13,0,IF(TR_5ExemptionClaim[[#This Row],[If the collector is OTR, was the service provided under OTR?]]&lt;&gt;"",0,1))</f>
        <v>0</v>
      </c>
      <c r="AF73" s="79">
        <f>IF(TR_5ExemptionClaim[[#This Row],[Did a CRPF ever handle the material before it reached the end market?]]&lt;&gt;"Yes",0,IF(COUNTA(TR_5ExemptionClaim[[#This Row],[CRPF name]:[CRPF Separation Ineligibility Warning]])=3,0,1))</f>
        <v>0</v>
      </c>
      <c r="AG7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3" s="77" t="str">
        <f>LEFT(TR_5ExemptionClaim[[#This Row],[Subcheck: unique]],250)</f>
        <v/>
      </c>
      <c r="AI73" s="77" t="str">
        <f>RIGHT(TR_5ExemptionClaim[[#This Row],[Subcheck: unique]],250)</f>
        <v/>
      </c>
      <c r="AJ73" s="77">
        <f>IF(OR(TR_5ExemptionClaim[[#This Row],[Check: collection ineligibility]]="Not Eligible",TR_5ExemptionClaim[[#This Row],[Check: CRPF non-separation ineligibility]]="Not Eligible",SUM(TR_5ExemptionClaim[[#This Row],[Check: end market does not exist]:[Check pounds (Third Party Substantiated)]])&gt;0),0,1)</f>
        <v>1</v>
      </c>
      <c r="AK73" s="78" t="str">
        <f>IF(TR_5ExemptionClaim[[#This Row],[Did this producer arrange for the recycling collection?]]="No",TR_5ExemptionClaim[[#This Row],[ID_EC]],"")</f>
        <v/>
      </c>
      <c r="AL73" s="80" t="str">
        <f t="shared" si="2"/>
        <v/>
      </c>
      <c r="AM73" s="80" t="str">
        <f>IFERROR(INDEX(TR_2SuppliedPounds[DEQ 2B Notes],MATCH(TR_5ExemptionClaim[[#This Row],[Material Reporting Category (Exemption Claim)]],TR_2SuppliedPounds[Material Reporting Category],0)),"")</f>
        <v/>
      </c>
      <c r="AN73" s="80" t="str">
        <f>IFERROR(INDEX(TR_3Collectors[DEQ 3B Notes],MATCH(TR_5ExemptionClaim[[#This Row],[Collection or Transportation Service Provider Name]],TR_3Collectors[Collection or Transportation Service Provider Name],0)),"")</f>
        <v/>
      </c>
      <c r="AO73" s="80" t="str">
        <f>IFERROR(INDEX(TR_4EndMarkets[DEQ 4B Notes],MATCH(TR_5ExemptionClaim[[#This Row],[End Market Name]],TR_4EndMarkets[Lookup: material+market],0)),"")</f>
        <v/>
      </c>
      <c r="AP73" s="81" t="str">
        <f>IFERROR(INDEX(TR_6RecyclingArranger[DEQ 6B Notes],MATCH(TR_5ExemptionClaim[[#This Row],[ID_EC]],TR_6RecyclingArranger[ID_EC],0)),"")</f>
        <v/>
      </c>
      <c r="AQ73" s="81">
        <f>SUMIFS(TR_6RecyclingArranger[DEQ 6B Eligible Pounds],TR_6RecyclingArranger[ID_EC],TR_5ExemptionClaim[[#This Row],[ID_EC]])</f>
        <v>0</v>
      </c>
      <c r="AR73" s="40"/>
      <c r="AS73" s="58"/>
    </row>
    <row r="74" spans="1:45" ht="30" customHeight="1" x14ac:dyDescent="0.2">
      <c r="A74" s="82" t="s">
        <v>988</v>
      </c>
      <c r="B74" s="46"/>
      <c r="C74" s="45"/>
      <c r="D74" s="45"/>
      <c r="E74" s="74"/>
      <c r="F7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4" s="47"/>
      <c r="H7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4" s="74"/>
      <c r="J74" s="75" t="str">
        <f>IF(TR_5ExemptionClaim[[#This Row],[If the collector is OTR, was the service provided under OTR?]]="Yes","Warning: Material collected under OTR service is not eligible for exemption.","")</f>
        <v/>
      </c>
      <c r="K74" s="47"/>
      <c r="L74" s="76"/>
      <c r="M74" s="47"/>
      <c r="N74" s="76"/>
      <c r="O74" s="104" t="str">
        <f>IF(TR_5ExemptionClaim[[#This Row],[If a CRPF handled the material, did the material undergo separation from other materials at the CRPF?]]="Yes","Warning: Material separated at a CRPF is not eligible for exemption.","")</f>
        <v/>
      </c>
      <c r="P74" s="47"/>
      <c r="Q74" s="47"/>
      <c r="R74" s="77" t="str">
        <f>IF(TR_5ExemptionClaim[[#This Row],[If the collector is OTR, was the service provided under OTR?]]="Yes","Not Eligible","")</f>
        <v/>
      </c>
      <c r="S74" s="77" t="str">
        <f>IF(TR_5ExemptionClaim[[#This Row],[If a CRPF handled the material, did the material undergo separation from other materials at the CRPF?]]="Yes","Not Eligible","")</f>
        <v/>
      </c>
      <c r="T74" s="79" t="str">
        <f>IF(TR_5ExemptionClaim[[#This Row],[Material Reporting Category (Exemption Claim)]]="","",(IFERROR(0*MATCH(TR_5ExemptionClaim[[#This Row],[Material Reporting Category (Exemption Claim)]],TR_2SuppliedPounds[Material Reporting Category],0),1)))</f>
        <v/>
      </c>
      <c r="U74" s="79">
        <f>IF(TR_5ExemptionClaim[[#This Row],[End Market Name]]="",0,IFERROR(MATCH(TR_5ExemptionClaim[[#This Row],[End Market Name]],TR_4EndMarkets[Lookup: material+market],0)*0,1))</f>
        <v>0</v>
      </c>
      <c r="V74" s="79">
        <f>IF(TR_5ExemptionClaim[[#This Row],[Subcheck: unique]]="",0,IF(COUNTIFS(TR_5ExemptionClaim[Subcheck: unique left],TR_5ExemptionClaim[[#This Row],[Subcheck: unique left]],TR_5ExemptionClaim[Subcheck: unique right],TR_5ExemptionClaim[[#This Row],[Subcheck: unique right]])&gt;1,1,0))</f>
        <v>0</v>
      </c>
      <c r="W7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4" s="79">
        <f>IF(TR_5ExemptionClaim[[#This Row],[Material Reporting Category (Exemption Claim)]]=0,0,IF(SUM(TR_5ExemptionClaim[[#This Row],[Subcheck: minimum entry]:[Subcheck: missing CRPF info]])=0,0,1))</f>
        <v>0</v>
      </c>
      <c r="Y74" s="79">
        <f>IF(TR_5ExemptionClaim[[#This Row],[Material Reporting Category (Exemption Claim)]]&lt;&gt;"",0,TR_5ExemptionClaim[[#This Row],[Subcheck: any inputs in row]])</f>
        <v>0</v>
      </c>
      <c r="Z74" s="79">
        <f>IF(TR_5ExemptionClaim[[#This Row],[How many of the pounds recycled through this pathway were supplied by this producer?]]&gt;TR_5ExemptionClaim[[#This Row],[Pounds Recycled through this Pathway]],1,0)</f>
        <v>0</v>
      </c>
      <c r="AA7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4" s="79">
        <f>IF(TR_5ExemptionClaim[[#This Row],[Collection Company Type (autofill)]]&lt;&gt;Lookups!$K$13,0,IF(TR_5ExemptionClaim[[#This Row],[If the collector is OTR, was the service provided under OTR?]]&lt;&gt;"",0,1))</f>
        <v>0</v>
      </c>
      <c r="AF74" s="79">
        <f>IF(TR_5ExemptionClaim[[#This Row],[Did a CRPF ever handle the material before it reached the end market?]]&lt;&gt;"Yes",0,IF(COUNTA(TR_5ExemptionClaim[[#This Row],[CRPF name]:[CRPF Separation Ineligibility Warning]])=3,0,1))</f>
        <v>0</v>
      </c>
      <c r="AG7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4" s="77" t="str">
        <f>LEFT(TR_5ExemptionClaim[[#This Row],[Subcheck: unique]],250)</f>
        <v/>
      </c>
      <c r="AI74" s="77" t="str">
        <f>RIGHT(TR_5ExemptionClaim[[#This Row],[Subcheck: unique]],250)</f>
        <v/>
      </c>
      <c r="AJ74" s="77">
        <f>IF(OR(TR_5ExemptionClaim[[#This Row],[Check: collection ineligibility]]="Not Eligible",TR_5ExemptionClaim[[#This Row],[Check: CRPF non-separation ineligibility]]="Not Eligible",SUM(TR_5ExemptionClaim[[#This Row],[Check: end market does not exist]:[Check pounds (Third Party Substantiated)]])&gt;0),0,1)</f>
        <v>1</v>
      </c>
      <c r="AK74" s="78" t="str">
        <f>IF(TR_5ExemptionClaim[[#This Row],[Did this producer arrange for the recycling collection?]]="No",TR_5ExemptionClaim[[#This Row],[ID_EC]],"")</f>
        <v/>
      </c>
      <c r="AL74" s="80" t="str">
        <f t="shared" si="2"/>
        <v/>
      </c>
      <c r="AM74" s="80" t="str">
        <f>IFERROR(INDEX(TR_2SuppliedPounds[DEQ 2B Notes],MATCH(TR_5ExemptionClaim[[#This Row],[Material Reporting Category (Exemption Claim)]],TR_2SuppliedPounds[Material Reporting Category],0)),"")</f>
        <v/>
      </c>
      <c r="AN74" s="80" t="str">
        <f>IFERROR(INDEX(TR_3Collectors[DEQ 3B Notes],MATCH(TR_5ExemptionClaim[[#This Row],[Collection or Transportation Service Provider Name]],TR_3Collectors[Collection or Transportation Service Provider Name],0)),"")</f>
        <v/>
      </c>
      <c r="AO74" s="80" t="str">
        <f>IFERROR(INDEX(TR_4EndMarkets[DEQ 4B Notes],MATCH(TR_5ExemptionClaim[[#This Row],[End Market Name]],TR_4EndMarkets[Lookup: material+market],0)),"")</f>
        <v/>
      </c>
      <c r="AP74" s="81" t="str">
        <f>IFERROR(INDEX(TR_6RecyclingArranger[DEQ 6B Notes],MATCH(TR_5ExemptionClaim[[#This Row],[ID_EC]],TR_6RecyclingArranger[ID_EC],0)),"")</f>
        <v/>
      </c>
      <c r="AQ74" s="81">
        <f>SUMIFS(TR_6RecyclingArranger[DEQ 6B Eligible Pounds],TR_6RecyclingArranger[ID_EC],TR_5ExemptionClaim[[#This Row],[ID_EC]])</f>
        <v>0</v>
      </c>
      <c r="AR74" s="40"/>
      <c r="AS74" s="58"/>
    </row>
    <row r="75" spans="1:45" ht="30" customHeight="1" x14ac:dyDescent="0.2">
      <c r="A75" s="82" t="s">
        <v>989</v>
      </c>
      <c r="B75" s="46"/>
      <c r="C75" s="45"/>
      <c r="D75" s="45"/>
      <c r="E75" s="74"/>
      <c r="F7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5" s="47"/>
      <c r="H7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5" s="74"/>
      <c r="J75" s="75" t="str">
        <f>IF(TR_5ExemptionClaim[[#This Row],[If the collector is OTR, was the service provided under OTR?]]="Yes","Warning: Material collected under OTR service is not eligible for exemption.","")</f>
        <v/>
      </c>
      <c r="K75" s="47"/>
      <c r="L75" s="76"/>
      <c r="M75" s="47"/>
      <c r="N75" s="76"/>
      <c r="O75" s="104" t="str">
        <f>IF(TR_5ExemptionClaim[[#This Row],[If a CRPF handled the material, did the material undergo separation from other materials at the CRPF?]]="Yes","Warning: Material separated at a CRPF is not eligible for exemption.","")</f>
        <v/>
      </c>
      <c r="P75" s="47"/>
      <c r="Q75" s="47"/>
      <c r="R75" s="77" t="str">
        <f>IF(TR_5ExemptionClaim[[#This Row],[If the collector is OTR, was the service provided under OTR?]]="Yes","Not Eligible","")</f>
        <v/>
      </c>
      <c r="S75" s="77" t="str">
        <f>IF(TR_5ExemptionClaim[[#This Row],[If a CRPF handled the material, did the material undergo separation from other materials at the CRPF?]]="Yes","Not Eligible","")</f>
        <v/>
      </c>
      <c r="T75" s="79" t="str">
        <f>IF(TR_5ExemptionClaim[[#This Row],[Material Reporting Category (Exemption Claim)]]="","",(IFERROR(0*MATCH(TR_5ExemptionClaim[[#This Row],[Material Reporting Category (Exemption Claim)]],TR_2SuppliedPounds[Material Reporting Category],0),1)))</f>
        <v/>
      </c>
      <c r="U75" s="79">
        <f>IF(TR_5ExemptionClaim[[#This Row],[End Market Name]]="",0,IFERROR(MATCH(TR_5ExemptionClaim[[#This Row],[End Market Name]],TR_4EndMarkets[Lookup: material+market],0)*0,1))</f>
        <v>0</v>
      </c>
      <c r="V75" s="79">
        <f>IF(TR_5ExemptionClaim[[#This Row],[Subcheck: unique]]="",0,IF(COUNTIFS(TR_5ExemptionClaim[Subcheck: unique left],TR_5ExemptionClaim[[#This Row],[Subcheck: unique left]],TR_5ExemptionClaim[Subcheck: unique right],TR_5ExemptionClaim[[#This Row],[Subcheck: unique right]])&gt;1,1,0))</f>
        <v>0</v>
      </c>
      <c r="W7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5" s="79">
        <f>IF(TR_5ExemptionClaim[[#This Row],[Material Reporting Category (Exemption Claim)]]=0,0,IF(SUM(TR_5ExemptionClaim[[#This Row],[Subcheck: minimum entry]:[Subcheck: missing CRPF info]])=0,0,1))</f>
        <v>0</v>
      </c>
      <c r="Y75" s="79">
        <f>IF(TR_5ExemptionClaim[[#This Row],[Material Reporting Category (Exemption Claim)]]&lt;&gt;"",0,TR_5ExemptionClaim[[#This Row],[Subcheck: any inputs in row]])</f>
        <v>0</v>
      </c>
      <c r="Z75" s="79">
        <f>IF(TR_5ExemptionClaim[[#This Row],[How many of the pounds recycled through this pathway were supplied by this producer?]]&gt;TR_5ExemptionClaim[[#This Row],[Pounds Recycled through this Pathway]],1,0)</f>
        <v>0</v>
      </c>
      <c r="AA7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5" s="79">
        <f>IF(TR_5ExemptionClaim[[#This Row],[Collection Company Type (autofill)]]&lt;&gt;Lookups!$K$13,0,IF(TR_5ExemptionClaim[[#This Row],[If the collector is OTR, was the service provided under OTR?]]&lt;&gt;"",0,1))</f>
        <v>0</v>
      </c>
      <c r="AF75" s="79">
        <f>IF(TR_5ExemptionClaim[[#This Row],[Did a CRPF ever handle the material before it reached the end market?]]&lt;&gt;"Yes",0,IF(COUNTA(TR_5ExemptionClaim[[#This Row],[CRPF name]:[CRPF Separation Ineligibility Warning]])=3,0,1))</f>
        <v>0</v>
      </c>
      <c r="AG7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5" s="77" t="str">
        <f>LEFT(TR_5ExemptionClaim[[#This Row],[Subcheck: unique]],250)</f>
        <v/>
      </c>
      <c r="AI75" s="77" t="str">
        <f>RIGHT(TR_5ExemptionClaim[[#This Row],[Subcheck: unique]],250)</f>
        <v/>
      </c>
      <c r="AJ75" s="77">
        <f>IF(OR(TR_5ExemptionClaim[[#This Row],[Check: collection ineligibility]]="Not Eligible",TR_5ExemptionClaim[[#This Row],[Check: CRPF non-separation ineligibility]]="Not Eligible",SUM(TR_5ExemptionClaim[[#This Row],[Check: end market does not exist]:[Check pounds (Third Party Substantiated)]])&gt;0),0,1)</f>
        <v>1</v>
      </c>
      <c r="AK75" s="78" t="str">
        <f>IF(TR_5ExemptionClaim[[#This Row],[Did this producer arrange for the recycling collection?]]="No",TR_5ExemptionClaim[[#This Row],[ID_EC]],"")</f>
        <v/>
      </c>
      <c r="AL75" s="80" t="str">
        <f t="shared" si="2"/>
        <v/>
      </c>
      <c r="AM75" s="80" t="str">
        <f>IFERROR(INDEX(TR_2SuppliedPounds[DEQ 2B Notes],MATCH(TR_5ExemptionClaim[[#This Row],[Material Reporting Category (Exemption Claim)]],TR_2SuppliedPounds[Material Reporting Category],0)),"")</f>
        <v/>
      </c>
      <c r="AN75" s="80" t="str">
        <f>IFERROR(INDEX(TR_3Collectors[DEQ 3B Notes],MATCH(TR_5ExemptionClaim[[#This Row],[Collection or Transportation Service Provider Name]],TR_3Collectors[Collection or Transportation Service Provider Name],0)),"")</f>
        <v/>
      </c>
      <c r="AO75" s="80" t="str">
        <f>IFERROR(INDEX(TR_4EndMarkets[DEQ 4B Notes],MATCH(TR_5ExemptionClaim[[#This Row],[End Market Name]],TR_4EndMarkets[Lookup: material+market],0)),"")</f>
        <v/>
      </c>
      <c r="AP75" s="81" t="str">
        <f>IFERROR(INDEX(TR_6RecyclingArranger[DEQ 6B Notes],MATCH(TR_5ExemptionClaim[[#This Row],[ID_EC]],TR_6RecyclingArranger[ID_EC],0)),"")</f>
        <v/>
      </c>
      <c r="AQ75" s="81">
        <f>SUMIFS(TR_6RecyclingArranger[DEQ 6B Eligible Pounds],TR_6RecyclingArranger[ID_EC],TR_5ExemptionClaim[[#This Row],[ID_EC]])</f>
        <v>0</v>
      </c>
      <c r="AR75" s="40"/>
      <c r="AS75" s="58"/>
    </row>
    <row r="76" spans="1:45" ht="30" customHeight="1" x14ac:dyDescent="0.2">
      <c r="A76" s="82" t="s">
        <v>990</v>
      </c>
      <c r="B76" s="46"/>
      <c r="C76" s="45"/>
      <c r="D76" s="45"/>
      <c r="E76" s="74"/>
      <c r="F7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6" s="47"/>
      <c r="H7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6" s="74"/>
      <c r="J76" s="75" t="str">
        <f>IF(TR_5ExemptionClaim[[#This Row],[If the collector is OTR, was the service provided under OTR?]]="Yes","Warning: Material collected under OTR service is not eligible for exemption.","")</f>
        <v/>
      </c>
      <c r="K76" s="47"/>
      <c r="L76" s="76"/>
      <c r="M76" s="47"/>
      <c r="N76" s="76"/>
      <c r="O76" s="104" t="str">
        <f>IF(TR_5ExemptionClaim[[#This Row],[If a CRPF handled the material, did the material undergo separation from other materials at the CRPF?]]="Yes","Warning: Material separated at a CRPF is not eligible for exemption.","")</f>
        <v/>
      </c>
      <c r="P76" s="47"/>
      <c r="Q76" s="47"/>
      <c r="R76" s="77" t="str">
        <f>IF(TR_5ExemptionClaim[[#This Row],[If the collector is OTR, was the service provided under OTR?]]="Yes","Not Eligible","")</f>
        <v/>
      </c>
      <c r="S76" s="77" t="str">
        <f>IF(TR_5ExemptionClaim[[#This Row],[If a CRPF handled the material, did the material undergo separation from other materials at the CRPF?]]="Yes","Not Eligible","")</f>
        <v/>
      </c>
      <c r="T76" s="79" t="str">
        <f>IF(TR_5ExemptionClaim[[#This Row],[Material Reporting Category (Exemption Claim)]]="","",(IFERROR(0*MATCH(TR_5ExemptionClaim[[#This Row],[Material Reporting Category (Exemption Claim)]],TR_2SuppliedPounds[Material Reporting Category],0),1)))</f>
        <v/>
      </c>
      <c r="U76" s="79">
        <f>IF(TR_5ExemptionClaim[[#This Row],[End Market Name]]="",0,IFERROR(MATCH(TR_5ExemptionClaim[[#This Row],[End Market Name]],TR_4EndMarkets[Lookup: material+market],0)*0,1))</f>
        <v>0</v>
      </c>
      <c r="V76" s="79">
        <f>IF(TR_5ExemptionClaim[[#This Row],[Subcheck: unique]]="",0,IF(COUNTIFS(TR_5ExemptionClaim[Subcheck: unique left],TR_5ExemptionClaim[[#This Row],[Subcheck: unique left]],TR_5ExemptionClaim[Subcheck: unique right],TR_5ExemptionClaim[[#This Row],[Subcheck: unique right]])&gt;1,1,0))</f>
        <v>0</v>
      </c>
      <c r="W7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6" s="79">
        <f>IF(TR_5ExemptionClaim[[#This Row],[Material Reporting Category (Exemption Claim)]]=0,0,IF(SUM(TR_5ExemptionClaim[[#This Row],[Subcheck: minimum entry]:[Subcheck: missing CRPF info]])=0,0,1))</f>
        <v>0</v>
      </c>
      <c r="Y76" s="79">
        <f>IF(TR_5ExemptionClaim[[#This Row],[Material Reporting Category (Exemption Claim)]]&lt;&gt;"",0,TR_5ExemptionClaim[[#This Row],[Subcheck: any inputs in row]])</f>
        <v>0</v>
      </c>
      <c r="Z76" s="79">
        <f>IF(TR_5ExemptionClaim[[#This Row],[How many of the pounds recycled through this pathway were supplied by this producer?]]&gt;TR_5ExemptionClaim[[#This Row],[Pounds Recycled through this Pathway]],1,0)</f>
        <v>0</v>
      </c>
      <c r="AA7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6" s="79">
        <f>IF(TR_5ExemptionClaim[[#This Row],[Collection Company Type (autofill)]]&lt;&gt;Lookups!$K$13,0,IF(TR_5ExemptionClaim[[#This Row],[If the collector is OTR, was the service provided under OTR?]]&lt;&gt;"",0,1))</f>
        <v>0</v>
      </c>
      <c r="AF76" s="79">
        <f>IF(TR_5ExemptionClaim[[#This Row],[Did a CRPF ever handle the material before it reached the end market?]]&lt;&gt;"Yes",0,IF(COUNTA(TR_5ExemptionClaim[[#This Row],[CRPF name]:[CRPF Separation Ineligibility Warning]])=3,0,1))</f>
        <v>0</v>
      </c>
      <c r="AG7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6" s="77" t="str">
        <f>LEFT(TR_5ExemptionClaim[[#This Row],[Subcheck: unique]],250)</f>
        <v/>
      </c>
      <c r="AI76" s="77" t="str">
        <f>RIGHT(TR_5ExemptionClaim[[#This Row],[Subcheck: unique]],250)</f>
        <v/>
      </c>
      <c r="AJ76" s="77">
        <f>IF(OR(TR_5ExemptionClaim[[#This Row],[Check: collection ineligibility]]="Not Eligible",TR_5ExemptionClaim[[#This Row],[Check: CRPF non-separation ineligibility]]="Not Eligible",SUM(TR_5ExemptionClaim[[#This Row],[Check: end market does not exist]:[Check pounds (Third Party Substantiated)]])&gt;0),0,1)</f>
        <v>1</v>
      </c>
      <c r="AK76" s="78" t="str">
        <f>IF(TR_5ExemptionClaim[[#This Row],[Did this producer arrange for the recycling collection?]]="No",TR_5ExemptionClaim[[#This Row],[ID_EC]],"")</f>
        <v/>
      </c>
      <c r="AL76" s="80" t="str">
        <f t="shared" si="2"/>
        <v/>
      </c>
      <c r="AM76" s="80" t="str">
        <f>IFERROR(INDEX(TR_2SuppliedPounds[DEQ 2B Notes],MATCH(TR_5ExemptionClaim[[#This Row],[Material Reporting Category (Exemption Claim)]],TR_2SuppliedPounds[Material Reporting Category],0)),"")</f>
        <v/>
      </c>
      <c r="AN76" s="80" t="str">
        <f>IFERROR(INDEX(TR_3Collectors[DEQ 3B Notes],MATCH(TR_5ExemptionClaim[[#This Row],[Collection or Transportation Service Provider Name]],TR_3Collectors[Collection or Transportation Service Provider Name],0)),"")</f>
        <v/>
      </c>
      <c r="AO76" s="80" t="str">
        <f>IFERROR(INDEX(TR_4EndMarkets[DEQ 4B Notes],MATCH(TR_5ExemptionClaim[[#This Row],[End Market Name]],TR_4EndMarkets[Lookup: material+market],0)),"")</f>
        <v/>
      </c>
      <c r="AP76" s="81" t="str">
        <f>IFERROR(INDEX(TR_6RecyclingArranger[DEQ 6B Notes],MATCH(TR_5ExemptionClaim[[#This Row],[ID_EC]],TR_6RecyclingArranger[ID_EC],0)),"")</f>
        <v/>
      </c>
      <c r="AQ76" s="81">
        <f>SUMIFS(TR_6RecyclingArranger[DEQ 6B Eligible Pounds],TR_6RecyclingArranger[ID_EC],TR_5ExemptionClaim[[#This Row],[ID_EC]])</f>
        <v>0</v>
      </c>
      <c r="AR76" s="40"/>
      <c r="AS76" s="58"/>
    </row>
    <row r="77" spans="1:45" ht="30" customHeight="1" x14ac:dyDescent="0.2">
      <c r="A77" s="82" t="s">
        <v>991</v>
      </c>
      <c r="B77" s="46"/>
      <c r="C77" s="45"/>
      <c r="D77" s="45"/>
      <c r="E77" s="74"/>
      <c r="F7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7" s="47"/>
      <c r="H7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7" s="74"/>
      <c r="J77" s="75" t="str">
        <f>IF(TR_5ExemptionClaim[[#This Row],[If the collector is OTR, was the service provided under OTR?]]="Yes","Warning: Material collected under OTR service is not eligible for exemption.","")</f>
        <v/>
      </c>
      <c r="K77" s="47"/>
      <c r="L77" s="76"/>
      <c r="M77" s="47"/>
      <c r="N77" s="76"/>
      <c r="O77" s="104" t="str">
        <f>IF(TR_5ExemptionClaim[[#This Row],[If a CRPF handled the material, did the material undergo separation from other materials at the CRPF?]]="Yes","Warning: Material separated at a CRPF is not eligible for exemption.","")</f>
        <v/>
      </c>
      <c r="P77" s="47"/>
      <c r="Q77" s="47"/>
      <c r="R77" s="77" t="str">
        <f>IF(TR_5ExemptionClaim[[#This Row],[If the collector is OTR, was the service provided under OTR?]]="Yes","Not Eligible","")</f>
        <v/>
      </c>
      <c r="S77" s="77" t="str">
        <f>IF(TR_5ExemptionClaim[[#This Row],[If a CRPF handled the material, did the material undergo separation from other materials at the CRPF?]]="Yes","Not Eligible","")</f>
        <v/>
      </c>
      <c r="T77" s="79" t="str">
        <f>IF(TR_5ExemptionClaim[[#This Row],[Material Reporting Category (Exemption Claim)]]="","",(IFERROR(0*MATCH(TR_5ExemptionClaim[[#This Row],[Material Reporting Category (Exemption Claim)]],TR_2SuppliedPounds[Material Reporting Category],0),1)))</f>
        <v/>
      </c>
      <c r="U77" s="79">
        <f>IF(TR_5ExemptionClaim[[#This Row],[End Market Name]]="",0,IFERROR(MATCH(TR_5ExemptionClaim[[#This Row],[End Market Name]],TR_4EndMarkets[Lookup: material+market],0)*0,1))</f>
        <v>0</v>
      </c>
      <c r="V77" s="79">
        <f>IF(TR_5ExemptionClaim[[#This Row],[Subcheck: unique]]="",0,IF(COUNTIFS(TR_5ExemptionClaim[Subcheck: unique left],TR_5ExemptionClaim[[#This Row],[Subcheck: unique left]],TR_5ExemptionClaim[Subcheck: unique right],TR_5ExemptionClaim[[#This Row],[Subcheck: unique right]])&gt;1,1,0))</f>
        <v>0</v>
      </c>
      <c r="W7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7" s="79">
        <f>IF(TR_5ExemptionClaim[[#This Row],[Material Reporting Category (Exemption Claim)]]=0,0,IF(SUM(TR_5ExemptionClaim[[#This Row],[Subcheck: minimum entry]:[Subcheck: missing CRPF info]])=0,0,1))</f>
        <v>0</v>
      </c>
      <c r="Y77" s="79">
        <f>IF(TR_5ExemptionClaim[[#This Row],[Material Reporting Category (Exemption Claim)]]&lt;&gt;"",0,TR_5ExemptionClaim[[#This Row],[Subcheck: any inputs in row]])</f>
        <v>0</v>
      </c>
      <c r="Z77" s="79">
        <f>IF(TR_5ExemptionClaim[[#This Row],[How many of the pounds recycled through this pathway were supplied by this producer?]]&gt;TR_5ExemptionClaim[[#This Row],[Pounds Recycled through this Pathway]],1,0)</f>
        <v>0</v>
      </c>
      <c r="AA7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7" s="79">
        <f>IF(TR_5ExemptionClaim[[#This Row],[Collection Company Type (autofill)]]&lt;&gt;Lookups!$K$13,0,IF(TR_5ExemptionClaim[[#This Row],[If the collector is OTR, was the service provided under OTR?]]&lt;&gt;"",0,1))</f>
        <v>0</v>
      </c>
      <c r="AF77" s="79">
        <f>IF(TR_5ExemptionClaim[[#This Row],[Did a CRPF ever handle the material before it reached the end market?]]&lt;&gt;"Yes",0,IF(COUNTA(TR_5ExemptionClaim[[#This Row],[CRPF name]:[CRPF Separation Ineligibility Warning]])=3,0,1))</f>
        <v>0</v>
      </c>
      <c r="AG7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7" s="77" t="str">
        <f>LEFT(TR_5ExemptionClaim[[#This Row],[Subcheck: unique]],250)</f>
        <v/>
      </c>
      <c r="AI77" s="77" t="str">
        <f>RIGHT(TR_5ExemptionClaim[[#This Row],[Subcheck: unique]],250)</f>
        <v/>
      </c>
      <c r="AJ77" s="77">
        <f>IF(OR(TR_5ExemptionClaim[[#This Row],[Check: collection ineligibility]]="Not Eligible",TR_5ExemptionClaim[[#This Row],[Check: CRPF non-separation ineligibility]]="Not Eligible",SUM(TR_5ExemptionClaim[[#This Row],[Check: end market does not exist]:[Check pounds (Third Party Substantiated)]])&gt;0),0,1)</f>
        <v>1</v>
      </c>
      <c r="AK77" s="78" t="str">
        <f>IF(TR_5ExemptionClaim[[#This Row],[Did this producer arrange for the recycling collection?]]="No",TR_5ExemptionClaim[[#This Row],[ID_EC]],"")</f>
        <v/>
      </c>
      <c r="AL77" s="80" t="str">
        <f t="shared" si="2"/>
        <v/>
      </c>
      <c r="AM77" s="80" t="str">
        <f>IFERROR(INDEX(TR_2SuppliedPounds[DEQ 2B Notes],MATCH(TR_5ExemptionClaim[[#This Row],[Material Reporting Category (Exemption Claim)]],TR_2SuppliedPounds[Material Reporting Category],0)),"")</f>
        <v/>
      </c>
      <c r="AN77" s="80" t="str">
        <f>IFERROR(INDEX(TR_3Collectors[DEQ 3B Notes],MATCH(TR_5ExemptionClaim[[#This Row],[Collection or Transportation Service Provider Name]],TR_3Collectors[Collection or Transportation Service Provider Name],0)),"")</f>
        <v/>
      </c>
      <c r="AO77" s="80" t="str">
        <f>IFERROR(INDEX(TR_4EndMarkets[DEQ 4B Notes],MATCH(TR_5ExemptionClaim[[#This Row],[End Market Name]],TR_4EndMarkets[Lookup: material+market],0)),"")</f>
        <v/>
      </c>
      <c r="AP77" s="81" t="str">
        <f>IFERROR(INDEX(TR_6RecyclingArranger[DEQ 6B Notes],MATCH(TR_5ExemptionClaim[[#This Row],[ID_EC]],TR_6RecyclingArranger[ID_EC],0)),"")</f>
        <v/>
      </c>
      <c r="AQ77" s="81">
        <f>SUMIFS(TR_6RecyclingArranger[DEQ 6B Eligible Pounds],TR_6RecyclingArranger[ID_EC],TR_5ExemptionClaim[[#This Row],[ID_EC]])</f>
        <v>0</v>
      </c>
      <c r="AR77" s="40"/>
      <c r="AS77" s="58"/>
    </row>
    <row r="78" spans="1:45" ht="30" customHeight="1" x14ac:dyDescent="0.2">
      <c r="A78" s="82" t="s">
        <v>992</v>
      </c>
      <c r="B78" s="46"/>
      <c r="C78" s="45"/>
      <c r="D78" s="45"/>
      <c r="E78" s="74"/>
      <c r="F7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8" s="47"/>
      <c r="H7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8" s="74"/>
      <c r="J78" s="75" t="str">
        <f>IF(TR_5ExemptionClaim[[#This Row],[If the collector is OTR, was the service provided under OTR?]]="Yes","Warning: Material collected under OTR service is not eligible for exemption.","")</f>
        <v/>
      </c>
      <c r="K78" s="47"/>
      <c r="L78" s="76"/>
      <c r="M78" s="47"/>
      <c r="N78" s="76"/>
      <c r="O78" s="104" t="str">
        <f>IF(TR_5ExemptionClaim[[#This Row],[If a CRPF handled the material, did the material undergo separation from other materials at the CRPF?]]="Yes","Warning: Material separated at a CRPF is not eligible for exemption.","")</f>
        <v/>
      </c>
      <c r="P78" s="47"/>
      <c r="Q78" s="47"/>
      <c r="R78" s="77" t="str">
        <f>IF(TR_5ExemptionClaim[[#This Row],[If the collector is OTR, was the service provided under OTR?]]="Yes","Not Eligible","")</f>
        <v/>
      </c>
      <c r="S78" s="77" t="str">
        <f>IF(TR_5ExemptionClaim[[#This Row],[If a CRPF handled the material, did the material undergo separation from other materials at the CRPF?]]="Yes","Not Eligible","")</f>
        <v/>
      </c>
      <c r="T78" s="79" t="str">
        <f>IF(TR_5ExemptionClaim[[#This Row],[Material Reporting Category (Exemption Claim)]]="","",(IFERROR(0*MATCH(TR_5ExemptionClaim[[#This Row],[Material Reporting Category (Exemption Claim)]],TR_2SuppliedPounds[Material Reporting Category],0),1)))</f>
        <v/>
      </c>
      <c r="U78" s="79">
        <f>IF(TR_5ExemptionClaim[[#This Row],[End Market Name]]="",0,IFERROR(MATCH(TR_5ExemptionClaim[[#This Row],[End Market Name]],TR_4EndMarkets[Lookup: material+market],0)*0,1))</f>
        <v>0</v>
      </c>
      <c r="V78" s="79">
        <f>IF(TR_5ExemptionClaim[[#This Row],[Subcheck: unique]]="",0,IF(COUNTIFS(TR_5ExemptionClaim[Subcheck: unique left],TR_5ExemptionClaim[[#This Row],[Subcheck: unique left]],TR_5ExemptionClaim[Subcheck: unique right],TR_5ExemptionClaim[[#This Row],[Subcheck: unique right]])&gt;1,1,0))</f>
        <v>0</v>
      </c>
      <c r="W7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8" s="79">
        <f>IF(TR_5ExemptionClaim[[#This Row],[Material Reporting Category (Exemption Claim)]]=0,0,IF(SUM(TR_5ExemptionClaim[[#This Row],[Subcheck: minimum entry]:[Subcheck: missing CRPF info]])=0,0,1))</f>
        <v>0</v>
      </c>
      <c r="Y78" s="79">
        <f>IF(TR_5ExemptionClaim[[#This Row],[Material Reporting Category (Exemption Claim)]]&lt;&gt;"",0,TR_5ExemptionClaim[[#This Row],[Subcheck: any inputs in row]])</f>
        <v>0</v>
      </c>
      <c r="Z78" s="79">
        <f>IF(TR_5ExemptionClaim[[#This Row],[How many of the pounds recycled through this pathway were supplied by this producer?]]&gt;TR_5ExemptionClaim[[#This Row],[Pounds Recycled through this Pathway]],1,0)</f>
        <v>0</v>
      </c>
      <c r="AA7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8" s="79">
        <f>IF(TR_5ExemptionClaim[[#This Row],[Collection Company Type (autofill)]]&lt;&gt;Lookups!$K$13,0,IF(TR_5ExemptionClaim[[#This Row],[If the collector is OTR, was the service provided under OTR?]]&lt;&gt;"",0,1))</f>
        <v>0</v>
      </c>
      <c r="AF78" s="79">
        <f>IF(TR_5ExemptionClaim[[#This Row],[Did a CRPF ever handle the material before it reached the end market?]]&lt;&gt;"Yes",0,IF(COUNTA(TR_5ExemptionClaim[[#This Row],[CRPF name]:[CRPF Separation Ineligibility Warning]])=3,0,1))</f>
        <v>0</v>
      </c>
      <c r="AG7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8" s="77" t="str">
        <f>LEFT(TR_5ExemptionClaim[[#This Row],[Subcheck: unique]],250)</f>
        <v/>
      </c>
      <c r="AI78" s="77" t="str">
        <f>RIGHT(TR_5ExemptionClaim[[#This Row],[Subcheck: unique]],250)</f>
        <v/>
      </c>
      <c r="AJ78" s="77">
        <f>IF(OR(TR_5ExemptionClaim[[#This Row],[Check: collection ineligibility]]="Not Eligible",TR_5ExemptionClaim[[#This Row],[Check: CRPF non-separation ineligibility]]="Not Eligible",SUM(TR_5ExemptionClaim[[#This Row],[Check: end market does not exist]:[Check pounds (Third Party Substantiated)]])&gt;0),0,1)</f>
        <v>1</v>
      </c>
      <c r="AK78" s="78" t="str">
        <f>IF(TR_5ExemptionClaim[[#This Row],[Did this producer arrange for the recycling collection?]]="No",TR_5ExemptionClaim[[#This Row],[ID_EC]],"")</f>
        <v/>
      </c>
      <c r="AL78" s="80" t="str">
        <f t="shared" si="2"/>
        <v/>
      </c>
      <c r="AM78" s="80" t="str">
        <f>IFERROR(INDEX(TR_2SuppliedPounds[DEQ 2B Notes],MATCH(TR_5ExemptionClaim[[#This Row],[Material Reporting Category (Exemption Claim)]],TR_2SuppliedPounds[Material Reporting Category],0)),"")</f>
        <v/>
      </c>
      <c r="AN78" s="80" t="str">
        <f>IFERROR(INDEX(TR_3Collectors[DEQ 3B Notes],MATCH(TR_5ExemptionClaim[[#This Row],[Collection or Transportation Service Provider Name]],TR_3Collectors[Collection or Transportation Service Provider Name],0)),"")</f>
        <v/>
      </c>
      <c r="AO78" s="80" t="str">
        <f>IFERROR(INDEX(TR_4EndMarkets[DEQ 4B Notes],MATCH(TR_5ExemptionClaim[[#This Row],[End Market Name]],TR_4EndMarkets[Lookup: material+market],0)),"")</f>
        <v/>
      </c>
      <c r="AP78" s="81" t="str">
        <f>IFERROR(INDEX(TR_6RecyclingArranger[DEQ 6B Notes],MATCH(TR_5ExemptionClaim[[#This Row],[ID_EC]],TR_6RecyclingArranger[ID_EC],0)),"")</f>
        <v/>
      </c>
      <c r="AQ78" s="81">
        <f>SUMIFS(TR_6RecyclingArranger[DEQ 6B Eligible Pounds],TR_6RecyclingArranger[ID_EC],TR_5ExemptionClaim[[#This Row],[ID_EC]])</f>
        <v>0</v>
      </c>
      <c r="AR78" s="40"/>
      <c r="AS78" s="58"/>
    </row>
    <row r="79" spans="1:45" ht="30" customHeight="1" x14ac:dyDescent="0.2">
      <c r="A79" s="82" t="s">
        <v>993</v>
      </c>
      <c r="B79" s="46"/>
      <c r="C79" s="45"/>
      <c r="D79" s="45"/>
      <c r="E79" s="74"/>
      <c r="F7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79" s="47"/>
      <c r="H7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79" s="74"/>
      <c r="J79" s="75" t="str">
        <f>IF(TR_5ExemptionClaim[[#This Row],[If the collector is OTR, was the service provided under OTR?]]="Yes","Warning: Material collected under OTR service is not eligible for exemption.","")</f>
        <v/>
      </c>
      <c r="K79" s="47"/>
      <c r="L79" s="76"/>
      <c r="M79" s="47"/>
      <c r="N79" s="76"/>
      <c r="O79" s="104" t="str">
        <f>IF(TR_5ExemptionClaim[[#This Row],[If a CRPF handled the material, did the material undergo separation from other materials at the CRPF?]]="Yes","Warning: Material separated at a CRPF is not eligible for exemption.","")</f>
        <v/>
      </c>
      <c r="P79" s="47"/>
      <c r="Q79" s="47"/>
      <c r="R79" s="77" t="str">
        <f>IF(TR_5ExemptionClaim[[#This Row],[If the collector is OTR, was the service provided under OTR?]]="Yes","Not Eligible","")</f>
        <v/>
      </c>
      <c r="S79" s="77" t="str">
        <f>IF(TR_5ExemptionClaim[[#This Row],[If a CRPF handled the material, did the material undergo separation from other materials at the CRPF?]]="Yes","Not Eligible","")</f>
        <v/>
      </c>
      <c r="T79" s="79" t="str">
        <f>IF(TR_5ExemptionClaim[[#This Row],[Material Reporting Category (Exemption Claim)]]="","",(IFERROR(0*MATCH(TR_5ExemptionClaim[[#This Row],[Material Reporting Category (Exemption Claim)]],TR_2SuppliedPounds[Material Reporting Category],0),1)))</f>
        <v/>
      </c>
      <c r="U79" s="79">
        <f>IF(TR_5ExemptionClaim[[#This Row],[End Market Name]]="",0,IFERROR(MATCH(TR_5ExemptionClaim[[#This Row],[End Market Name]],TR_4EndMarkets[Lookup: material+market],0)*0,1))</f>
        <v>0</v>
      </c>
      <c r="V79" s="79">
        <f>IF(TR_5ExemptionClaim[[#This Row],[Subcheck: unique]]="",0,IF(COUNTIFS(TR_5ExemptionClaim[Subcheck: unique left],TR_5ExemptionClaim[[#This Row],[Subcheck: unique left]],TR_5ExemptionClaim[Subcheck: unique right],TR_5ExemptionClaim[[#This Row],[Subcheck: unique right]])&gt;1,1,0))</f>
        <v>0</v>
      </c>
      <c r="W7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79" s="79">
        <f>IF(TR_5ExemptionClaim[[#This Row],[Material Reporting Category (Exemption Claim)]]=0,0,IF(SUM(TR_5ExemptionClaim[[#This Row],[Subcheck: minimum entry]:[Subcheck: missing CRPF info]])=0,0,1))</f>
        <v>0</v>
      </c>
      <c r="Y79" s="79">
        <f>IF(TR_5ExemptionClaim[[#This Row],[Material Reporting Category (Exemption Claim)]]&lt;&gt;"",0,TR_5ExemptionClaim[[#This Row],[Subcheck: any inputs in row]])</f>
        <v>0</v>
      </c>
      <c r="Z79" s="79">
        <f>IF(TR_5ExemptionClaim[[#This Row],[How many of the pounds recycled through this pathway were supplied by this producer?]]&gt;TR_5ExemptionClaim[[#This Row],[Pounds Recycled through this Pathway]],1,0)</f>
        <v>0</v>
      </c>
      <c r="AA7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7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7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7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79" s="79">
        <f>IF(TR_5ExemptionClaim[[#This Row],[Collection Company Type (autofill)]]&lt;&gt;Lookups!$K$13,0,IF(TR_5ExemptionClaim[[#This Row],[If the collector is OTR, was the service provided under OTR?]]&lt;&gt;"",0,1))</f>
        <v>0</v>
      </c>
      <c r="AF79" s="79">
        <f>IF(TR_5ExemptionClaim[[#This Row],[Did a CRPF ever handle the material before it reached the end market?]]&lt;&gt;"Yes",0,IF(COUNTA(TR_5ExemptionClaim[[#This Row],[CRPF name]:[CRPF Separation Ineligibility Warning]])=3,0,1))</f>
        <v>0</v>
      </c>
      <c r="AG7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79" s="77" t="str">
        <f>LEFT(TR_5ExemptionClaim[[#This Row],[Subcheck: unique]],250)</f>
        <v/>
      </c>
      <c r="AI79" s="77" t="str">
        <f>RIGHT(TR_5ExemptionClaim[[#This Row],[Subcheck: unique]],250)</f>
        <v/>
      </c>
      <c r="AJ79" s="77">
        <f>IF(OR(TR_5ExemptionClaim[[#This Row],[Check: collection ineligibility]]="Not Eligible",TR_5ExemptionClaim[[#This Row],[Check: CRPF non-separation ineligibility]]="Not Eligible",SUM(TR_5ExemptionClaim[[#This Row],[Check: end market does not exist]:[Check pounds (Third Party Substantiated)]])&gt;0),0,1)</f>
        <v>1</v>
      </c>
      <c r="AK79" s="78" t="str">
        <f>IF(TR_5ExemptionClaim[[#This Row],[Did this producer arrange for the recycling collection?]]="No",TR_5ExemptionClaim[[#This Row],[ID_EC]],"")</f>
        <v/>
      </c>
      <c r="AL79" s="80" t="str">
        <f t="shared" si="2"/>
        <v/>
      </c>
      <c r="AM79" s="80" t="str">
        <f>IFERROR(INDEX(TR_2SuppliedPounds[DEQ 2B Notes],MATCH(TR_5ExemptionClaim[[#This Row],[Material Reporting Category (Exemption Claim)]],TR_2SuppliedPounds[Material Reporting Category],0)),"")</f>
        <v/>
      </c>
      <c r="AN79" s="80" t="str">
        <f>IFERROR(INDEX(TR_3Collectors[DEQ 3B Notes],MATCH(TR_5ExemptionClaim[[#This Row],[Collection or Transportation Service Provider Name]],TR_3Collectors[Collection or Transportation Service Provider Name],0)),"")</f>
        <v/>
      </c>
      <c r="AO79" s="80" t="str">
        <f>IFERROR(INDEX(TR_4EndMarkets[DEQ 4B Notes],MATCH(TR_5ExemptionClaim[[#This Row],[End Market Name]],TR_4EndMarkets[Lookup: material+market],0)),"")</f>
        <v/>
      </c>
      <c r="AP79" s="81" t="str">
        <f>IFERROR(INDEX(TR_6RecyclingArranger[DEQ 6B Notes],MATCH(TR_5ExemptionClaim[[#This Row],[ID_EC]],TR_6RecyclingArranger[ID_EC],0)),"")</f>
        <v/>
      </c>
      <c r="AQ79" s="81">
        <f>SUMIFS(TR_6RecyclingArranger[DEQ 6B Eligible Pounds],TR_6RecyclingArranger[ID_EC],TR_5ExemptionClaim[[#This Row],[ID_EC]])</f>
        <v>0</v>
      </c>
      <c r="AR79" s="40"/>
      <c r="AS79" s="58"/>
    </row>
    <row r="80" spans="1:45" ht="30" customHeight="1" x14ac:dyDescent="0.2">
      <c r="A80" s="82" t="s">
        <v>994</v>
      </c>
      <c r="B80" s="46"/>
      <c r="C80" s="45"/>
      <c r="D80" s="45"/>
      <c r="E80" s="74"/>
      <c r="F8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0" s="47"/>
      <c r="H8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0" s="74"/>
      <c r="J80" s="75" t="str">
        <f>IF(TR_5ExemptionClaim[[#This Row],[If the collector is OTR, was the service provided under OTR?]]="Yes","Warning: Material collected under OTR service is not eligible for exemption.","")</f>
        <v/>
      </c>
      <c r="K80" s="47"/>
      <c r="L80" s="76"/>
      <c r="M80" s="47"/>
      <c r="N80" s="76"/>
      <c r="O80" s="104" t="str">
        <f>IF(TR_5ExemptionClaim[[#This Row],[If a CRPF handled the material, did the material undergo separation from other materials at the CRPF?]]="Yes","Warning: Material separated at a CRPF is not eligible for exemption.","")</f>
        <v/>
      </c>
      <c r="P80" s="47"/>
      <c r="Q80" s="47"/>
      <c r="R80" s="77" t="str">
        <f>IF(TR_5ExemptionClaim[[#This Row],[If the collector is OTR, was the service provided under OTR?]]="Yes","Not Eligible","")</f>
        <v/>
      </c>
      <c r="S80" s="77" t="str">
        <f>IF(TR_5ExemptionClaim[[#This Row],[If a CRPF handled the material, did the material undergo separation from other materials at the CRPF?]]="Yes","Not Eligible","")</f>
        <v/>
      </c>
      <c r="T80" s="79" t="str">
        <f>IF(TR_5ExemptionClaim[[#This Row],[Material Reporting Category (Exemption Claim)]]="","",(IFERROR(0*MATCH(TR_5ExemptionClaim[[#This Row],[Material Reporting Category (Exemption Claim)]],TR_2SuppliedPounds[Material Reporting Category],0),1)))</f>
        <v/>
      </c>
      <c r="U80" s="79">
        <f>IF(TR_5ExemptionClaim[[#This Row],[End Market Name]]="",0,IFERROR(MATCH(TR_5ExemptionClaim[[#This Row],[End Market Name]],TR_4EndMarkets[Lookup: material+market],0)*0,1))</f>
        <v>0</v>
      </c>
      <c r="V80" s="79">
        <f>IF(TR_5ExemptionClaim[[#This Row],[Subcheck: unique]]="",0,IF(COUNTIFS(TR_5ExemptionClaim[Subcheck: unique left],TR_5ExemptionClaim[[#This Row],[Subcheck: unique left]],TR_5ExemptionClaim[Subcheck: unique right],TR_5ExemptionClaim[[#This Row],[Subcheck: unique right]])&gt;1,1,0))</f>
        <v>0</v>
      </c>
      <c r="W8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0" s="79">
        <f>IF(TR_5ExemptionClaim[[#This Row],[Material Reporting Category (Exemption Claim)]]=0,0,IF(SUM(TR_5ExemptionClaim[[#This Row],[Subcheck: minimum entry]:[Subcheck: missing CRPF info]])=0,0,1))</f>
        <v>0</v>
      </c>
      <c r="Y80" s="79">
        <f>IF(TR_5ExemptionClaim[[#This Row],[Material Reporting Category (Exemption Claim)]]&lt;&gt;"",0,TR_5ExemptionClaim[[#This Row],[Subcheck: any inputs in row]])</f>
        <v>0</v>
      </c>
      <c r="Z80" s="79">
        <f>IF(TR_5ExemptionClaim[[#This Row],[How many of the pounds recycled through this pathway were supplied by this producer?]]&gt;TR_5ExemptionClaim[[#This Row],[Pounds Recycled through this Pathway]],1,0)</f>
        <v>0</v>
      </c>
      <c r="AA8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0" s="79">
        <f>IF(TR_5ExemptionClaim[[#This Row],[Collection Company Type (autofill)]]&lt;&gt;Lookups!$K$13,0,IF(TR_5ExemptionClaim[[#This Row],[If the collector is OTR, was the service provided under OTR?]]&lt;&gt;"",0,1))</f>
        <v>0</v>
      </c>
      <c r="AF80" s="79">
        <f>IF(TR_5ExemptionClaim[[#This Row],[Did a CRPF ever handle the material before it reached the end market?]]&lt;&gt;"Yes",0,IF(COUNTA(TR_5ExemptionClaim[[#This Row],[CRPF name]:[CRPF Separation Ineligibility Warning]])=3,0,1))</f>
        <v>0</v>
      </c>
      <c r="AG8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0" s="77" t="str">
        <f>LEFT(TR_5ExemptionClaim[[#This Row],[Subcheck: unique]],250)</f>
        <v/>
      </c>
      <c r="AI80" s="77" t="str">
        <f>RIGHT(TR_5ExemptionClaim[[#This Row],[Subcheck: unique]],250)</f>
        <v/>
      </c>
      <c r="AJ80" s="77">
        <f>IF(OR(TR_5ExemptionClaim[[#This Row],[Check: collection ineligibility]]="Not Eligible",TR_5ExemptionClaim[[#This Row],[Check: CRPF non-separation ineligibility]]="Not Eligible",SUM(TR_5ExemptionClaim[[#This Row],[Check: end market does not exist]:[Check pounds (Third Party Substantiated)]])&gt;0),0,1)</f>
        <v>1</v>
      </c>
      <c r="AK80" s="78" t="str">
        <f>IF(TR_5ExemptionClaim[[#This Row],[Did this producer arrange for the recycling collection?]]="No",TR_5ExemptionClaim[[#This Row],[ID_EC]],"")</f>
        <v/>
      </c>
      <c r="AL80" s="80" t="str">
        <f t="shared" si="2"/>
        <v/>
      </c>
      <c r="AM80" s="80" t="str">
        <f>IFERROR(INDEX(TR_2SuppliedPounds[DEQ 2B Notes],MATCH(TR_5ExemptionClaim[[#This Row],[Material Reporting Category (Exemption Claim)]],TR_2SuppliedPounds[Material Reporting Category],0)),"")</f>
        <v/>
      </c>
      <c r="AN80" s="80" t="str">
        <f>IFERROR(INDEX(TR_3Collectors[DEQ 3B Notes],MATCH(TR_5ExemptionClaim[[#This Row],[Collection or Transportation Service Provider Name]],TR_3Collectors[Collection or Transportation Service Provider Name],0)),"")</f>
        <v/>
      </c>
      <c r="AO80" s="80" t="str">
        <f>IFERROR(INDEX(TR_4EndMarkets[DEQ 4B Notes],MATCH(TR_5ExemptionClaim[[#This Row],[End Market Name]],TR_4EndMarkets[Lookup: material+market],0)),"")</f>
        <v/>
      </c>
      <c r="AP80" s="81" t="str">
        <f>IFERROR(INDEX(TR_6RecyclingArranger[DEQ 6B Notes],MATCH(TR_5ExemptionClaim[[#This Row],[ID_EC]],TR_6RecyclingArranger[ID_EC],0)),"")</f>
        <v/>
      </c>
      <c r="AQ80" s="81">
        <f>SUMIFS(TR_6RecyclingArranger[DEQ 6B Eligible Pounds],TR_6RecyclingArranger[ID_EC],TR_5ExemptionClaim[[#This Row],[ID_EC]])</f>
        <v>0</v>
      </c>
      <c r="AR80" s="40"/>
      <c r="AS80" s="58"/>
    </row>
    <row r="81" spans="1:45" ht="30" customHeight="1" x14ac:dyDescent="0.2">
      <c r="A81" s="82" t="s">
        <v>995</v>
      </c>
      <c r="B81" s="46"/>
      <c r="C81" s="45"/>
      <c r="D81" s="45"/>
      <c r="E81" s="74"/>
      <c r="F8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1" s="47"/>
      <c r="H8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1" s="74"/>
      <c r="J81" s="75" t="str">
        <f>IF(TR_5ExemptionClaim[[#This Row],[If the collector is OTR, was the service provided under OTR?]]="Yes","Warning: Material collected under OTR service is not eligible for exemption.","")</f>
        <v/>
      </c>
      <c r="K81" s="47"/>
      <c r="L81" s="76"/>
      <c r="M81" s="47"/>
      <c r="N81" s="76"/>
      <c r="O81" s="104" t="str">
        <f>IF(TR_5ExemptionClaim[[#This Row],[If a CRPF handled the material, did the material undergo separation from other materials at the CRPF?]]="Yes","Warning: Material separated at a CRPF is not eligible for exemption.","")</f>
        <v/>
      </c>
      <c r="P81" s="47"/>
      <c r="Q81" s="47"/>
      <c r="R81" s="77" t="str">
        <f>IF(TR_5ExemptionClaim[[#This Row],[If the collector is OTR, was the service provided under OTR?]]="Yes","Not Eligible","")</f>
        <v/>
      </c>
      <c r="S81" s="77" t="str">
        <f>IF(TR_5ExemptionClaim[[#This Row],[If a CRPF handled the material, did the material undergo separation from other materials at the CRPF?]]="Yes","Not Eligible","")</f>
        <v/>
      </c>
      <c r="T81" s="79" t="str">
        <f>IF(TR_5ExemptionClaim[[#This Row],[Material Reporting Category (Exemption Claim)]]="","",(IFERROR(0*MATCH(TR_5ExemptionClaim[[#This Row],[Material Reporting Category (Exemption Claim)]],TR_2SuppliedPounds[Material Reporting Category],0),1)))</f>
        <v/>
      </c>
      <c r="U81" s="79">
        <f>IF(TR_5ExemptionClaim[[#This Row],[End Market Name]]="",0,IFERROR(MATCH(TR_5ExemptionClaim[[#This Row],[End Market Name]],TR_4EndMarkets[Lookup: material+market],0)*0,1))</f>
        <v>0</v>
      </c>
      <c r="V81" s="79">
        <f>IF(TR_5ExemptionClaim[[#This Row],[Subcheck: unique]]="",0,IF(COUNTIFS(TR_5ExemptionClaim[Subcheck: unique left],TR_5ExemptionClaim[[#This Row],[Subcheck: unique left]],TR_5ExemptionClaim[Subcheck: unique right],TR_5ExemptionClaim[[#This Row],[Subcheck: unique right]])&gt;1,1,0))</f>
        <v>0</v>
      </c>
      <c r="W8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1" s="79">
        <f>IF(TR_5ExemptionClaim[[#This Row],[Material Reporting Category (Exemption Claim)]]=0,0,IF(SUM(TR_5ExemptionClaim[[#This Row],[Subcheck: minimum entry]:[Subcheck: missing CRPF info]])=0,0,1))</f>
        <v>0</v>
      </c>
      <c r="Y81" s="79">
        <f>IF(TR_5ExemptionClaim[[#This Row],[Material Reporting Category (Exemption Claim)]]&lt;&gt;"",0,TR_5ExemptionClaim[[#This Row],[Subcheck: any inputs in row]])</f>
        <v>0</v>
      </c>
      <c r="Z81" s="79">
        <f>IF(TR_5ExemptionClaim[[#This Row],[How many of the pounds recycled through this pathway were supplied by this producer?]]&gt;TR_5ExemptionClaim[[#This Row],[Pounds Recycled through this Pathway]],1,0)</f>
        <v>0</v>
      </c>
      <c r="AA8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1" s="79">
        <f>IF(TR_5ExemptionClaim[[#This Row],[Collection Company Type (autofill)]]&lt;&gt;Lookups!$K$13,0,IF(TR_5ExemptionClaim[[#This Row],[If the collector is OTR, was the service provided under OTR?]]&lt;&gt;"",0,1))</f>
        <v>0</v>
      </c>
      <c r="AF81" s="79">
        <f>IF(TR_5ExemptionClaim[[#This Row],[Did a CRPF ever handle the material before it reached the end market?]]&lt;&gt;"Yes",0,IF(COUNTA(TR_5ExemptionClaim[[#This Row],[CRPF name]:[CRPF Separation Ineligibility Warning]])=3,0,1))</f>
        <v>0</v>
      </c>
      <c r="AG8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1" s="77" t="str">
        <f>LEFT(TR_5ExemptionClaim[[#This Row],[Subcheck: unique]],250)</f>
        <v/>
      </c>
      <c r="AI81" s="77" t="str">
        <f>RIGHT(TR_5ExemptionClaim[[#This Row],[Subcheck: unique]],250)</f>
        <v/>
      </c>
      <c r="AJ81" s="77">
        <f>IF(OR(TR_5ExemptionClaim[[#This Row],[Check: collection ineligibility]]="Not Eligible",TR_5ExemptionClaim[[#This Row],[Check: CRPF non-separation ineligibility]]="Not Eligible",SUM(TR_5ExemptionClaim[[#This Row],[Check: end market does not exist]:[Check pounds (Third Party Substantiated)]])&gt;0),0,1)</f>
        <v>1</v>
      </c>
      <c r="AK81" s="78" t="str">
        <f>IF(TR_5ExemptionClaim[[#This Row],[Did this producer arrange for the recycling collection?]]="No",TR_5ExemptionClaim[[#This Row],[ID_EC]],"")</f>
        <v/>
      </c>
      <c r="AL81" s="80" t="str">
        <f t="shared" si="2"/>
        <v/>
      </c>
      <c r="AM81" s="80" t="str">
        <f>IFERROR(INDEX(TR_2SuppliedPounds[DEQ 2B Notes],MATCH(TR_5ExemptionClaim[[#This Row],[Material Reporting Category (Exemption Claim)]],TR_2SuppliedPounds[Material Reporting Category],0)),"")</f>
        <v/>
      </c>
      <c r="AN81" s="80" t="str">
        <f>IFERROR(INDEX(TR_3Collectors[DEQ 3B Notes],MATCH(TR_5ExemptionClaim[[#This Row],[Collection or Transportation Service Provider Name]],TR_3Collectors[Collection or Transportation Service Provider Name],0)),"")</f>
        <v/>
      </c>
      <c r="AO81" s="80" t="str">
        <f>IFERROR(INDEX(TR_4EndMarkets[DEQ 4B Notes],MATCH(TR_5ExemptionClaim[[#This Row],[End Market Name]],TR_4EndMarkets[Lookup: material+market],0)),"")</f>
        <v/>
      </c>
      <c r="AP81" s="81" t="str">
        <f>IFERROR(INDEX(TR_6RecyclingArranger[DEQ 6B Notes],MATCH(TR_5ExemptionClaim[[#This Row],[ID_EC]],TR_6RecyclingArranger[ID_EC],0)),"")</f>
        <v/>
      </c>
      <c r="AQ81" s="81">
        <f>SUMIFS(TR_6RecyclingArranger[DEQ 6B Eligible Pounds],TR_6RecyclingArranger[ID_EC],TR_5ExemptionClaim[[#This Row],[ID_EC]])</f>
        <v>0</v>
      </c>
      <c r="AR81" s="40"/>
      <c r="AS81" s="58"/>
    </row>
    <row r="82" spans="1:45" ht="30" customHeight="1" x14ac:dyDescent="0.2">
      <c r="A82" s="82" t="s">
        <v>996</v>
      </c>
      <c r="B82" s="46"/>
      <c r="C82" s="45"/>
      <c r="D82" s="45"/>
      <c r="E82" s="74"/>
      <c r="F8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2" s="47"/>
      <c r="H8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2" s="74"/>
      <c r="J82" s="75" t="str">
        <f>IF(TR_5ExemptionClaim[[#This Row],[If the collector is OTR, was the service provided under OTR?]]="Yes","Warning: Material collected under OTR service is not eligible for exemption.","")</f>
        <v/>
      </c>
      <c r="K82" s="47"/>
      <c r="L82" s="76"/>
      <c r="M82" s="47"/>
      <c r="N82" s="76"/>
      <c r="O82" s="104" t="str">
        <f>IF(TR_5ExemptionClaim[[#This Row],[If a CRPF handled the material, did the material undergo separation from other materials at the CRPF?]]="Yes","Warning: Material separated at a CRPF is not eligible for exemption.","")</f>
        <v/>
      </c>
      <c r="P82" s="47"/>
      <c r="Q82" s="47"/>
      <c r="R82" s="77" t="str">
        <f>IF(TR_5ExemptionClaim[[#This Row],[If the collector is OTR, was the service provided under OTR?]]="Yes","Not Eligible","")</f>
        <v/>
      </c>
      <c r="S82" s="77" t="str">
        <f>IF(TR_5ExemptionClaim[[#This Row],[If a CRPF handled the material, did the material undergo separation from other materials at the CRPF?]]="Yes","Not Eligible","")</f>
        <v/>
      </c>
      <c r="T82" s="79" t="str">
        <f>IF(TR_5ExemptionClaim[[#This Row],[Material Reporting Category (Exemption Claim)]]="","",(IFERROR(0*MATCH(TR_5ExemptionClaim[[#This Row],[Material Reporting Category (Exemption Claim)]],TR_2SuppliedPounds[Material Reporting Category],0),1)))</f>
        <v/>
      </c>
      <c r="U82" s="79">
        <f>IF(TR_5ExemptionClaim[[#This Row],[End Market Name]]="",0,IFERROR(MATCH(TR_5ExemptionClaim[[#This Row],[End Market Name]],TR_4EndMarkets[Lookup: material+market],0)*0,1))</f>
        <v>0</v>
      </c>
      <c r="V82" s="79">
        <f>IF(TR_5ExemptionClaim[[#This Row],[Subcheck: unique]]="",0,IF(COUNTIFS(TR_5ExemptionClaim[Subcheck: unique left],TR_5ExemptionClaim[[#This Row],[Subcheck: unique left]],TR_5ExemptionClaim[Subcheck: unique right],TR_5ExemptionClaim[[#This Row],[Subcheck: unique right]])&gt;1,1,0))</f>
        <v>0</v>
      </c>
      <c r="W8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2" s="79">
        <f>IF(TR_5ExemptionClaim[[#This Row],[Material Reporting Category (Exemption Claim)]]=0,0,IF(SUM(TR_5ExemptionClaim[[#This Row],[Subcheck: minimum entry]:[Subcheck: missing CRPF info]])=0,0,1))</f>
        <v>0</v>
      </c>
      <c r="Y82" s="79">
        <f>IF(TR_5ExemptionClaim[[#This Row],[Material Reporting Category (Exemption Claim)]]&lt;&gt;"",0,TR_5ExemptionClaim[[#This Row],[Subcheck: any inputs in row]])</f>
        <v>0</v>
      </c>
      <c r="Z82" s="79">
        <f>IF(TR_5ExemptionClaim[[#This Row],[How many of the pounds recycled through this pathway were supplied by this producer?]]&gt;TR_5ExemptionClaim[[#This Row],[Pounds Recycled through this Pathway]],1,0)</f>
        <v>0</v>
      </c>
      <c r="AA8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2" s="79">
        <f>IF(TR_5ExemptionClaim[[#This Row],[Collection Company Type (autofill)]]&lt;&gt;Lookups!$K$13,0,IF(TR_5ExemptionClaim[[#This Row],[If the collector is OTR, was the service provided under OTR?]]&lt;&gt;"",0,1))</f>
        <v>0</v>
      </c>
      <c r="AF82" s="79">
        <f>IF(TR_5ExemptionClaim[[#This Row],[Did a CRPF ever handle the material before it reached the end market?]]&lt;&gt;"Yes",0,IF(COUNTA(TR_5ExemptionClaim[[#This Row],[CRPF name]:[CRPF Separation Ineligibility Warning]])=3,0,1))</f>
        <v>0</v>
      </c>
      <c r="AG8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2" s="77" t="str">
        <f>LEFT(TR_5ExemptionClaim[[#This Row],[Subcheck: unique]],250)</f>
        <v/>
      </c>
      <c r="AI82" s="77" t="str">
        <f>RIGHT(TR_5ExemptionClaim[[#This Row],[Subcheck: unique]],250)</f>
        <v/>
      </c>
      <c r="AJ82" s="77">
        <f>IF(OR(TR_5ExemptionClaim[[#This Row],[Check: collection ineligibility]]="Not Eligible",TR_5ExemptionClaim[[#This Row],[Check: CRPF non-separation ineligibility]]="Not Eligible",SUM(TR_5ExemptionClaim[[#This Row],[Check: end market does not exist]:[Check pounds (Third Party Substantiated)]])&gt;0),0,1)</f>
        <v>1</v>
      </c>
      <c r="AK82" s="78" t="str">
        <f>IF(TR_5ExemptionClaim[[#This Row],[Did this producer arrange for the recycling collection?]]="No",TR_5ExemptionClaim[[#This Row],[ID_EC]],"")</f>
        <v/>
      </c>
      <c r="AL82" s="80" t="str">
        <f t="shared" si="2"/>
        <v/>
      </c>
      <c r="AM82" s="80" t="str">
        <f>IFERROR(INDEX(TR_2SuppliedPounds[DEQ 2B Notes],MATCH(TR_5ExemptionClaim[[#This Row],[Material Reporting Category (Exemption Claim)]],TR_2SuppliedPounds[Material Reporting Category],0)),"")</f>
        <v/>
      </c>
      <c r="AN82" s="80" t="str">
        <f>IFERROR(INDEX(TR_3Collectors[DEQ 3B Notes],MATCH(TR_5ExemptionClaim[[#This Row],[Collection or Transportation Service Provider Name]],TR_3Collectors[Collection or Transportation Service Provider Name],0)),"")</f>
        <v/>
      </c>
      <c r="AO82" s="80" t="str">
        <f>IFERROR(INDEX(TR_4EndMarkets[DEQ 4B Notes],MATCH(TR_5ExemptionClaim[[#This Row],[End Market Name]],TR_4EndMarkets[Lookup: material+market],0)),"")</f>
        <v/>
      </c>
      <c r="AP82" s="81" t="str">
        <f>IFERROR(INDEX(TR_6RecyclingArranger[DEQ 6B Notes],MATCH(TR_5ExemptionClaim[[#This Row],[ID_EC]],TR_6RecyclingArranger[ID_EC],0)),"")</f>
        <v/>
      </c>
      <c r="AQ82" s="81">
        <f>SUMIFS(TR_6RecyclingArranger[DEQ 6B Eligible Pounds],TR_6RecyclingArranger[ID_EC],TR_5ExemptionClaim[[#This Row],[ID_EC]])</f>
        <v>0</v>
      </c>
      <c r="AR82" s="40"/>
      <c r="AS82" s="58"/>
    </row>
    <row r="83" spans="1:45" ht="30" customHeight="1" x14ac:dyDescent="0.2">
      <c r="A83" s="82" t="s">
        <v>997</v>
      </c>
      <c r="B83" s="46"/>
      <c r="C83" s="45"/>
      <c r="D83" s="45"/>
      <c r="E83" s="74"/>
      <c r="F8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3" s="47"/>
      <c r="H8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3" s="74"/>
      <c r="J83" s="75" t="str">
        <f>IF(TR_5ExemptionClaim[[#This Row],[If the collector is OTR, was the service provided under OTR?]]="Yes","Warning: Material collected under OTR service is not eligible for exemption.","")</f>
        <v/>
      </c>
      <c r="K83" s="47"/>
      <c r="L83" s="76"/>
      <c r="M83" s="47"/>
      <c r="N83" s="76"/>
      <c r="O83" s="104" t="str">
        <f>IF(TR_5ExemptionClaim[[#This Row],[If a CRPF handled the material, did the material undergo separation from other materials at the CRPF?]]="Yes","Warning: Material separated at a CRPF is not eligible for exemption.","")</f>
        <v/>
      </c>
      <c r="P83" s="47"/>
      <c r="Q83" s="47"/>
      <c r="R83" s="77" t="str">
        <f>IF(TR_5ExemptionClaim[[#This Row],[If the collector is OTR, was the service provided under OTR?]]="Yes","Not Eligible","")</f>
        <v/>
      </c>
      <c r="S83" s="77" t="str">
        <f>IF(TR_5ExemptionClaim[[#This Row],[If a CRPF handled the material, did the material undergo separation from other materials at the CRPF?]]="Yes","Not Eligible","")</f>
        <v/>
      </c>
      <c r="T83" s="79" t="str">
        <f>IF(TR_5ExemptionClaim[[#This Row],[Material Reporting Category (Exemption Claim)]]="","",(IFERROR(0*MATCH(TR_5ExemptionClaim[[#This Row],[Material Reporting Category (Exemption Claim)]],TR_2SuppliedPounds[Material Reporting Category],0),1)))</f>
        <v/>
      </c>
      <c r="U83" s="79">
        <f>IF(TR_5ExemptionClaim[[#This Row],[End Market Name]]="",0,IFERROR(MATCH(TR_5ExemptionClaim[[#This Row],[End Market Name]],TR_4EndMarkets[Lookup: material+market],0)*0,1))</f>
        <v>0</v>
      </c>
      <c r="V83" s="79">
        <f>IF(TR_5ExemptionClaim[[#This Row],[Subcheck: unique]]="",0,IF(COUNTIFS(TR_5ExemptionClaim[Subcheck: unique left],TR_5ExemptionClaim[[#This Row],[Subcheck: unique left]],TR_5ExemptionClaim[Subcheck: unique right],TR_5ExemptionClaim[[#This Row],[Subcheck: unique right]])&gt;1,1,0))</f>
        <v>0</v>
      </c>
      <c r="W8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3" s="79">
        <f>IF(TR_5ExemptionClaim[[#This Row],[Material Reporting Category (Exemption Claim)]]=0,0,IF(SUM(TR_5ExemptionClaim[[#This Row],[Subcheck: minimum entry]:[Subcheck: missing CRPF info]])=0,0,1))</f>
        <v>0</v>
      </c>
      <c r="Y83" s="79">
        <f>IF(TR_5ExemptionClaim[[#This Row],[Material Reporting Category (Exemption Claim)]]&lt;&gt;"",0,TR_5ExemptionClaim[[#This Row],[Subcheck: any inputs in row]])</f>
        <v>0</v>
      </c>
      <c r="Z83" s="79">
        <f>IF(TR_5ExemptionClaim[[#This Row],[How many of the pounds recycled through this pathway were supplied by this producer?]]&gt;TR_5ExemptionClaim[[#This Row],[Pounds Recycled through this Pathway]],1,0)</f>
        <v>0</v>
      </c>
      <c r="AA8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3" s="79">
        <f>IF(TR_5ExemptionClaim[[#This Row],[Collection Company Type (autofill)]]&lt;&gt;Lookups!$K$13,0,IF(TR_5ExemptionClaim[[#This Row],[If the collector is OTR, was the service provided under OTR?]]&lt;&gt;"",0,1))</f>
        <v>0</v>
      </c>
      <c r="AF83" s="79">
        <f>IF(TR_5ExemptionClaim[[#This Row],[Did a CRPF ever handle the material before it reached the end market?]]&lt;&gt;"Yes",0,IF(COUNTA(TR_5ExemptionClaim[[#This Row],[CRPF name]:[CRPF Separation Ineligibility Warning]])=3,0,1))</f>
        <v>0</v>
      </c>
      <c r="AG8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3" s="77" t="str">
        <f>LEFT(TR_5ExemptionClaim[[#This Row],[Subcheck: unique]],250)</f>
        <v/>
      </c>
      <c r="AI83" s="77" t="str">
        <f>RIGHT(TR_5ExemptionClaim[[#This Row],[Subcheck: unique]],250)</f>
        <v/>
      </c>
      <c r="AJ83" s="77">
        <f>IF(OR(TR_5ExemptionClaim[[#This Row],[Check: collection ineligibility]]="Not Eligible",TR_5ExemptionClaim[[#This Row],[Check: CRPF non-separation ineligibility]]="Not Eligible",SUM(TR_5ExemptionClaim[[#This Row],[Check: end market does not exist]:[Check pounds (Third Party Substantiated)]])&gt;0),0,1)</f>
        <v>1</v>
      </c>
      <c r="AK83" s="78" t="str">
        <f>IF(TR_5ExemptionClaim[[#This Row],[Did this producer arrange for the recycling collection?]]="No",TR_5ExemptionClaim[[#This Row],[ID_EC]],"")</f>
        <v/>
      </c>
      <c r="AL83" s="80" t="str">
        <f t="shared" si="2"/>
        <v/>
      </c>
      <c r="AM83" s="80" t="str">
        <f>IFERROR(INDEX(TR_2SuppliedPounds[DEQ 2B Notes],MATCH(TR_5ExemptionClaim[[#This Row],[Material Reporting Category (Exemption Claim)]],TR_2SuppliedPounds[Material Reporting Category],0)),"")</f>
        <v/>
      </c>
      <c r="AN83" s="80" t="str">
        <f>IFERROR(INDEX(TR_3Collectors[DEQ 3B Notes],MATCH(TR_5ExemptionClaim[[#This Row],[Collection or Transportation Service Provider Name]],TR_3Collectors[Collection or Transportation Service Provider Name],0)),"")</f>
        <v/>
      </c>
      <c r="AO83" s="80" t="str">
        <f>IFERROR(INDEX(TR_4EndMarkets[DEQ 4B Notes],MATCH(TR_5ExemptionClaim[[#This Row],[End Market Name]],TR_4EndMarkets[Lookup: material+market],0)),"")</f>
        <v/>
      </c>
      <c r="AP83" s="81" t="str">
        <f>IFERROR(INDEX(TR_6RecyclingArranger[DEQ 6B Notes],MATCH(TR_5ExemptionClaim[[#This Row],[ID_EC]],TR_6RecyclingArranger[ID_EC],0)),"")</f>
        <v/>
      </c>
      <c r="AQ83" s="81">
        <f>SUMIFS(TR_6RecyclingArranger[DEQ 6B Eligible Pounds],TR_6RecyclingArranger[ID_EC],TR_5ExemptionClaim[[#This Row],[ID_EC]])</f>
        <v>0</v>
      </c>
      <c r="AR83" s="40"/>
      <c r="AS83" s="58"/>
    </row>
    <row r="84" spans="1:45" ht="30" customHeight="1" x14ac:dyDescent="0.2">
      <c r="A84" s="82" t="s">
        <v>998</v>
      </c>
      <c r="B84" s="46"/>
      <c r="C84" s="45"/>
      <c r="D84" s="45"/>
      <c r="E84" s="74"/>
      <c r="F8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4" s="47"/>
      <c r="H8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4" s="74"/>
      <c r="J84" s="75" t="str">
        <f>IF(TR_5ExemptionClaim[[#This Row],[If the collector is OTR, was the service provided under OTR?]]="Yes","Warning: Material collected under OTR service is not eligible for exemption.","")</f>
        <v/>
      </c>
      <c r="K84" s="47"/>
      <c r="L84" s="76"/>
      <c r="M84" s="47"/>
      <c r="N84" s="76"/>
      <c r="O84" s="104" t="str">
        <f>IF(TR_5ExemptionClaim[[#This Row],[If a CRPF handled the material, did the material undergo separation from other materials at the CRPF?]]="Yes","Warning: Material separated at a CRPF is not eligible for exemption.","")</f>
        <v/>
      </c>
      <c r="P84" s="47"/>
      <c r="Q84" s="47"/>
      <c r="R84" s="77" t="str">
        <f>IF(TR_5ExemptionClaim[[#This Row],[If the collector is OTR, was the service provided under OTR?]]="Yes","Not Eligible","")</f>
        <v/>
      </c>
      <c r="S84" s="77" t="str">
        <f>IF(TR_5ExemptionClaim[[#This Row],[If a CRPF handled the material, did the material undergo separation from other materials at the CRPF?]]="Yes","Not Eligible","")</f>
        <v/>
      </c>
      <c r="T84" s="79" t="str">
        <f>IF(TR_5ExemptionClaim[[#This Row],[Material Reporting Category (Exemption Claim)]]="","",(IFERROR(0*MATCH(TR_5ExemptionClaim[[#This Row],[Material Reporting Category (Exemption Claim)]],TR_2SuppliedPounds[Material Reporting Category],0),1)))</f>
        <v/>
      </c>
      <c r="U84" s="79">
        <f>IF(TR_5ExemptionClaim[[#This Row],[End Market Name]]="",0,IFERROR(MATCH(TR_5ExemptionClaim[[#This Row],[End Market Name]],TR_4EndMarkets[Lookup: material+market],0)*0,1))</f>
        <v>0</v>
      </c>
      <c r="V84" s="79">
        <f>IF(TR_5ExemptionClaim[[#This Row],[Subcheck: unique]]="",0,IF(COUNTIFS(TR_5ExemptionClaim[Subcheck: unique left],TR_5ExemptionClaim[[#This Row],[Subcheck: unique left]],TR_5ExemptionClaim[Subcheck: unique right],TR_5ExemptionClaim[[#This Row],[Subcheck: unique right]])&gt;1,1,0))</f>
        <v>0</v>
      </c>
      <c r="W8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4" s="79">
        <f>IF(TR_5ExemptionClaim[[#This Row],[Material Reporting Category (Exemption Claim)]]=0,0,IF(SUM(TR_5ExemptionClaim[[#This Row],[Subcheck: minimum entry]:[Subcheck: missing CRPF info]])=0,0,1))</f>
        <v>0</v>
      </c>
      <c r="Y84" s="79">
        <f>IF(TR_5ExemptionClaim[[#This Row],[Material Reporting Category (Exemption Claim)]]&lt;&gt;"",0,TR_5ExemptionClaim[[#This Row],[Subcheck: any inputs in row]])</f>
        <v>0</v>
      </c>
      <c r="Z84" s="79">
        <f>IF(TR_5ExemptionClaim[[#This Row],[How many of the pounds recycled through this pathway were supplied by this producer?]]&gt;TR_5ExemptionClaim[[#This Row],[Pounds Recycled through this Pathway]],1,0)</f>
        <v>0</v>
      </c>
      <c r="AA8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4" s="79">
        <f>IF(TR_5ExemptionClaim[[#This Row],[Collection Company Type (autofill)]]&lt;&gt;Lookups!$K$13,0,IF(TR_5ExemptionClaim[[#This Row],[If the collector is OTR, was the service provided under OTR?]]&lt;&gt;"",0,1))</f>
        <v>0</v>
      </c>
      <c r="AF84" s="79">
        <f>IF(TR_5ExemptionClaim[[#This Row],[Did a CRPF ever handle the material before it reached the end market?]]&lt;&gt;"Yes",0,IF(COUNTA(TR_5ExemptionClaim[[#This Row],[CRPF name]:[CRPF Separation Ineligibility Warning]])=3,0,1))</f>
        <v>0</v>
      </c>
      <c r="AG8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4" s="77" t="str">
        <f>LEFT(TR_5ExemptionClaim[[#This Row],[Subcheck: unique]],250)</f>
        <v/>
      </c>
      <c r="AI84" s="77" t="str">
        <f>RIGHT(TR_5ExemptionClaim[[#This Row],[Subcheck: unique]],250)</f>
        <v/>
      </c>
      <c r="AJ84" s="77">
        <f>IF(OR(TR_5ExemptionClaim[[#This Row],[Check: collection ineligibility]]="Not Eligible",TR_5ExemptionClaim[[#This Row],[Check: CRPF non-separation ineligibility]]="Not Eligible",SUM(TR_5ExemptionClaim[[#This Row],[Check: end market does not exist]:[Check pounds (Third Party Substantiated)]])&gt;0),0,1)</f>
        <v>1</v>
      </c>
      <c r="AK84" s="78" t="str">
        <f>IF(TR_5ExemptionClaim[[#This Row],[Did this producer arrange for the recycling collection?]]="No",TR_5ExemptionClaim[[#This Row],[ID_EC]],"")</f>
        <v/>
      </c>
      <c r="AL84" s="80" t="str">
        <f t="shared" si="2"/>
        <v/>
      </c>
      <c r="AM84" s="80" t="str">
        <f>IFERROR(INDEX(TR_2SuppliedPounds[DEQ 2B Notes],MATCH(TR_5ExemptionClaim[[#This Row],[Material Reporting Category (Exemption Claim)]],TR_2SuppliedPounds[Material Reporting Category],0)),"")</f>
        <v/>
      </c>
      <c r="AN84" s="80" t="str">
        <f>IFERROR(INDEX(TR_3Collectors[DEQ 3B Notes],MATCH(TR_5ExemptionClaim[[#This Row],[Collection or Transportation Service Provider Name]],TR_3Collectors[Collection or Transportation Service Provider Name],0)),"")</f>
        <v/>
      </c>
      <c r="AO84" s="80" t="str">
        <f>IFERROR(INDEX(TR_4EndMarkets[DEQ 4B Notes],MATCH(TR_5ExemptionClaim[[#This Row],[End Market Name]],TR_4EndMarkets[Lookup: material+market],0)),"")</f>
        <v/>
      </c>
      <c r="AP84" s="81" t="str">
        <f>IFERROR(INDEX(TR_6RecyclingArranger[DEQ 6B Notes],MATCH(TR_5ExemptionClaim[[#This Row],[ID_EC]],TR_6RecyclingArranger[ID_EC],0)),"")</f>
        <v/>
      </c>
      <c r="AQ84" s="81">
        <f>SUMIFS(TR_6RecyclingArranger[DEQ 6B Eligible Pounds],TR_6RecyclingArranger[ID_EC],TR_5ExemptionClaim[[#This Row],[ID_EC]])</f>
        <v>0</v>
      </c>
      <c r="AR84" s="40"/>
      <c r="AS84" s="58"/>
    </row>
    <row r="85" spans="1:45" ht="30" customHeight="1" x14ac:dyDescent="0.2">
      <c r="A85" s="82" t="s">
        <v>999</v>
      </c>
      <c r="B85" s="46"/>
      <c r="C85" s="45"/>
      <c r="D85" s="45"/>
      <c r="E85" s="74"/>
      <c r="F8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5" s="47"/>
      <c r="H8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5" s="74"/>
      <c r="J85" s="75" t="str">
        <f>IF(TR_5ExemptionClaim[[#This Row],[If the collector is OTR, was the service provided under OTR?]]="Yes","Warning: Material collected under OTR service is not eligible for exemption.","")</f>
        <v/>
      </c>
      <c r="K85" s="47"/>
      <c r="L85" s="76"/>
      <c r="M85" s="47"/>
      <c r="N85" s="76"/>
      <c r="O85" s="104" t="str">
        <f>IF(TR_5ExemptionClaim[[#This Row],[If a CRPF handled the material, did the material undergo separation from other materials at the CRPF?]]="Yes","Warning: Material separated at a CRPF is not eligible for exemption.","")</f>
        <v/>
      </c>
      <c r="P85" s="47"/>
      <c r="Q85" s="47"/>
      <c r="R85" s="77" t="str">
        <f>IF(TR_5ExemptionClaim[[#This Row],[If the collector is OTR, was the service provided under OTR?]]="Yes","Not Eligible","")</f>
        <v/>
      </c>
      <c r="S85" s="77" t="str">
        <f>IF(TR_5ExemptionClaim[[#This Row],[If a CRPF handled the material, did the material undergo separation from other materials at the CRPF?]]="Yes","Not Eligible","")</f>
        <v/>
      </c>
      <c r="T85" s="79" t="str">
        <f>IF(TR_5ExemptionClaim[[#This Row],[Material Reporting Category (Exemption Claim)]]="","",(IFERROR(0*MATCH(TR_5ExemptionClaim[[#This Row],[Material Reporting Category (Exemption Claim)]],TR_2SuppliedPounds[Material Reporting Category],0),1)))</f>
        <v/>
      </c>
      <c r="U85" s="79">
        <f>IF(TR_5ExemptionClaim[[#This Row],[End Market Name]]="",0,IFERROR(MATCH(TR_5ExemptionClaim[[#This Row],[End Market Name]],TR_4EndMarkets[Lookup: material+market],0)*0,1))</f>
        <v>0</v>
      </c>
      <c r="V85" s="79">
        <f>IF(TR_5ExemptionClaim[[#This Row],[Subcheck: unique]]="",0,IF(COUNTIFS(TR_5ExemptionClaim[Subcheck: unique left],TR_5ExemptionClaim[[#This Row],[Subcheck: unique left]],TR_5ExemptionClaim[Subcheck: unique right],TR_5ExemptionClaim[[#This Row],[Subcheck: unique right]])&gt;1,1,0))</f>
        <v>0</v>
      </c>
      <c r="W8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5" s="79">
        <f>IF(TR_5ExemptionClaim[[#This Row],[Material Reporting Category (Exemption Claim)]]=0,0,IF(SUM(TR_5ExemptionClaim[[#This Row],[Subcheck: minimum entry]:[Subcheck: missing CRPF info]])=0,0,1))</f>
        <v>0</v>
      </c>
      <c r="Y85" s="79">
        <f>IF(TR_5ExemptionClaim[[#This Row],[Material Reporting Category (Exemption Claim)]]&lt;&gt;"",0,TR_5ExemptionClaim[[#This Row],[Subcheck: any inputs in row]])</f>
        <v>0</v>
      </c>
      <c r="Z85" s="79">
        <f>IF(TR_5ExemptionClaim[[#This Row],[How many of the pounds recycled through this pathway were supplied by this producer?]]&gt;TR_5ExemptionClaim[[#This Row],[Pounds Recycled through this Pathway]],1,0)</f>
        <v>0</v>
      </c>
      <c r="AA8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5" s="79">
        <f>IF(TR_5ExemptionClaim[[#This Row],[Collection Company Type (autofill)]]&lt;&gt;Lookups!$K$13,0,IF(TR_5ExemptionClaim[[#This Row],[If the collector is OTR, was the service provided under OTR?]]&lt;&gt;"",0,1))</f>
        <v>0</v>
      </c>
      <c r="AF85" s="79">
        <f>IF(TR_5ExemptionClaim[[#This Row],[Did a CRPF ever handle the material before it reached the end market?]]&lt;&gt;"Yes",0,IF(COUNTA(TR_5ExemptionClaim[[#This Row],[CRPF name]:[CRPF Separation Ineligibility Warning]])=3,0,1))</f>
        <v>0</v>
      </c>
      <c r="AG8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5" s="77" t="str">
        <f>LEFT(TR_5ExemptionClaim[[#This Row],[Subcheck: unique]],250)</f>
        <v/>
      </c>
      <c r="AI85" s="77" t="str">
        <f>RIGHT(TR_5ExemptionClaim[[#This Row],[Subcheck: unique]],250)</f>
        <v/>
      </c>
      <c r="AJ85" s="77">
        <f>IF(OR(TR_5ExemptionClaim[[#This Row],[Check: collection ineligibility]]="Not Eligible",TR_5ExemptionClaim[[#This Row],[Check: CRPF non-separation ineligibility]]="Not Eligible",SUM(TR_5ExemptionClaim[[#This Row],[Check: end market does not exist]:[Check pounds (Third Party Substantiated)]])&gt;0),0,1)</f>
        <v>1</v>
      </c>
      <c r="AK85" s="78" t="str">
        <f>IF(TR_5ExemptionClaim[[#This Row],[Did this producer arrange for the recycling collection?]]="No",TR_5ExemptionClaim[[#This Row],[ID_EC]],"")</f>
        <v/>
      </c>
      <c r="AL85" s="80" t="str">
        <f t="shared" si="2"/>
        <v/>
      </c>
      <c r="AM85" s="80" t="str">
        <f>IFERROR(INDEX(TR_2SuppliedPounds[DEQ 2B Notes],MATCH(TR_5ExemptionClaim[[#This Row],[Material Reporting Category (Exemption Claim)]],TR_2SuppliedPounds[Material Reporting Category],0)),"")</f>
        <v/>
      </c>
      <c r="AN85" s="80" t="str">
        <f>IFERROR(INDEX(TR_3Collectors[DEQ 3B Notes],MATCH(TR_5ExemptionClaim[[#This Row],[Collection or Transportation Service Provider Name]],TR_3Collectors[Collection or Transportation Service Provider Name],0)),"")</f>
        <v/>
      </c>
      <c r="AO85" s="80" t="str">
        <f>IFERROR(INDEX(TR_4EndMarkets[DEQ 4B Notes],MATCH(TR_5ExemptionClaim[[#This Row],[End Market Name]],TR_4EndMarkets[Lookup: material+market],0)),"")</f>
        <v/>
      </c>
      <c r="AP85" s="81" t="str">
        <f>IFERROR(INDEX(TR_6RecyclingArranger[DEQ 6B Notes],MATCH(TR_5ExemptionClaim[[#This Row],[ID_EC]],TR_6RecyclingArranger[ID_EC],0)),"")</f>
        <v/>
      </c>
      <c r="AQ85" s="81">
        <f>SUMIFS(TR_6RecyclingArranger[DEQ 6B Eligible Pounds],TR_6RecyclingArranger[ID_EC],TR_5ExemptionClaim[[#This Row],[ID_EC]])</f>
        <v>0</v>
      </c>
      <c r="AR85" s="40"/>
      <c r="AS85" s="58"/>
    </row>
    <row r="86" spans="1:45" ht="30" customHeight="1" x14ac:dyDescent="0.2">
      <c r="A86" s="82" t="s">
        <v>1000</v>
      </c>
      <c r="B86" s="46"/>
      <c r="C86" s="45"/>
      <c r="D86" s="45"/>
      <c r="E86" s="74"/>
      <c r="F8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6" s="47"/>
      <c r="H8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6" s="74"/>
      <c r="J86" s="75" t="str">
        <f>IF(TR_5ExemptionClaim[[#This Row],[If the collector is OTR, was the service provided under OTR?]]="Yes","Warning: Material collected under OTR service is not eligible for exemption.","")</f>
        <v/>
      </c>
      <c r="K86" s="47"/>
      <c r="L86" s="76"/>
      <c r="M86" s="47"/>
      <c r="N86" s="76"/>
      <c r="O86" s="104" t="str">
        <f>IF(TR_5ExemptionClaim[[#This Row],[If a CRPF handled the material, did the material undergo separation from other materials at the CRPF?]]="Yes","Warning: Material separated at a CRPF is not eligible for exemption.","")</f>
        <v/>
      </c>
      <c r="P86" s="47"/>
      <c r="Q86" s="47"/>
      <c r="R86" s="77" t="str">
        <f>IF(TR_5ExemptionClaim[[#This Row],[If the collector is OTR, was the service provided under OTR?]]="Yes","Not Eligible","")</f>
        <v/>
      </c>
      <c r="S86" s="77" t="str">
        <f>IF(TR_5ExemptionClaim[[#This Row],[If a CRPF handled the material, did the material undergo separation from other materials at the CRPF?]]="Yes","Not Eligible","")</f>
        <v/>
      </c>
      <c r="T86" s="79" t="str">
        <f>IF(TR_5ExemptionClaim[[#This Row],[Material Reporting Category (Exemption Claim)]]="","",(IFERROR(0*MATCH(TR_5ExemptionClaim[[#This Row],[Material Reporting Category (Exemption Claim)]],TR_2SuppliedPounds[Material Reporting Category],0),1)))</f>
        <v/>
      </c>
      <c r="U86" s="79">
        <f>IF(TR_5ExemptionClaim[[#This Row],[End Market Name]]="",0,IFERROR(MATCH(TR_5ExemptionClaim[[#This Row],[End Market Name]],TR_4EndMarkets[Lookup: material+market],0)*0,1))</f>
        <v>0</v>
      </c>
      <c r="V86" s="79">
        <f>IF(TR_5ExemptionClaim[[#This Row],[Subcheck: unique]]="",0,IF(COUNTIFS(TR_5ExemptionClaim[Subcheck: unique left],TR_5ExemptionClaim[[#This Row],[Subcheck: unique left]],TR_5ExemptionClaim[Subcheck: unique right],TR_5ExemptionClaim[[#This Row],[Subcheck: unique right]])&gt;1,1,0))</f>
        <v>0</v>
      </c>
      <c r="W8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6" s="79">
        <f>IF(TR_5ExemptionClaim[[#This Row],[Material Reporting Category (Exemption Claim)]]=0,0,IF(SUM(TR_5ExemptionClaim[[#This Row],[Subcheck: minimum entry]:[Subcheck: missing CRPF info]])=0,0,1))</f>
        <v>0</v>
      </c>
      <c r="Y86" s="79">
        <f>IF(TR_5ExemptionClaim[[#This Row],[Material Reporting Category (Exemption Claim)]]&lt;&gt;"",0,TR_5ExemptionClaim[[#This Row],[Subcheck: any inputs in row]])</f>
        <v>0</v>
      </c>
      <c r="Z86" s="79">
        <f>IF(TR_5ExemptionClaim[[#This Row],[How many of the pounds recycled through this pathway were supplied by this producer?]]&gt;TR_5ExemptionClaim[[#This Row],[Pounds Recycled through this Pathway]],1,0)</f>
        <v>0</v>
      </c>
      <c r="AA8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6" s="79">
        <f>IF(TR_5ExemptionClaim[[#This Row],[Collection Company Type (autofill)]]&lt;&gt;Lookups!$K$13,0,IF(TR_5ExemptionClaim[[#This Row],[If the collector is OTR, was the service provided under OTR?]]&lt;&gt;"",0,1))</f>
        <v>0</v>
      </c>
      <c r="AF86" s="79">
        <f>IF(TR_5ExemptionClaim[[#This Row],[Did a CRPF ever handle the material before it reached the end market?]]&lt;&gt;"Yes",0,IF(COUNTA(TR_5ExemptionClaim[[#This Row],[CRPF name]:[CRPF Separation Ineligibility Warning]])=3,0,1))</f>
        <v>0</v>
      </c>
      <c r="AG8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6" s="77" t="str">
        <f>LEFT(TR_5ExemptionClaim[[#This Row],[Subcheck: unique]],250)</f>
        <v/>
      </c>
      <c r="AI86" s="77" t="str">
        <f>RIGHT(TR_5ExemptionClaim[[#This Row],[Subcheck: unique]],250)</f>
        <v/>
      </c>
      <c r="AJ86" s="77">
        <f>IF(OR(TR_5ExemptionClaim[[#This Row],[Check: collection ineligibility]]="Not Eligible",TR_5ExemptionClaim[[#This Row],[Check: CRPF non-separation ineligibility]]="Not Eligible",SUM(TR_5ExemptionClaim[[#This Row],[Check: end market does not exist]:[Check pounds (Third Party Substantiated)]])&gt;0),0,1)</f>
        <v>1</v>
      </c>
      <c r="AK86" s="78" t="str">
        <f>IF(TR_5ExemptionClaim[[#This Row],[Did this producer arrange for the recycling collection?]]="No",TR_5ExemptionClaim[[#This Row],[ID_EC]],"")</f>
        <v/>
      </c>
      <c r="AL86" s="80" t="str">
        <f t="shared" si="2"/>
        <v/>
      </c>
      <c r="AM86" s="80" t="str">
        <f>IFERROR(INDEX(TR_2SuppliedPounds[DEQ 2B Notes],MATCH(TR_5ExemptionClaim[[#This Row],[Material Reporting Category (Exemption Claim)]],TR_2SuppliedPounds[Material Reporting Category],0)),"")</f>
        <v/>
      </c>
      <c r="AN86" s="80" t="str">
        <f>IFERROR(INDEX(TR_3Collectors[DEQ 3B Notes],MATCH(TR_5ExemptionClaim[[#This Row],[Collection or Transportation Service Provider Name]],TR_3Collectors[Collection or Transportation Service Provider Name],0)),"")</f>
        <v/>
      </c>
      <c r="AO86" s="80" t="str">
        <f>IFERROR(INDEX(TR_4EndMarkets[DEQ 4B Notes],MATCH(TR_5ExemptionClaim[[#This Row],[End Market Name]],TR_4EndMarkets[Lookup: material+market],0)),"")</f>
        <v/>
      </c>
      <c r="AP86" s="81" t="str">
        <f>IFERROR(INDEX(TR_6RecyclingArranger[DEQ 6B Notes],MATCH(TR_5ExemptionClaim[[#This Row],[ID_EC]],TR_6RecyclingArranger[ID_EC],0)),"")</f>
        <v/>
      </c>
      <c r="AQ86" s="81">
        <f>SUMIFS(TR_6RecyclingArranger[DEQ 6B Eligible Pounds],TR_6RecyclingArranger[ID_EC],TR_5ExemptionClaim[[#This Row],[ID_EC]])</f>
        <v>0</v>
      </c>
      <c r="AR86" s="40"/>
      <c r="AS86" s="58"/>
    </row>
    <row r="87" spans="1:45" ht="30" customHeight="1" x14ac:dyDescent="0.2">
      <c r="A87" s="82" t="s">
        <v>1001</v>
      </c>
      <c r="B87" s="46"/>
      <c r="C87" s="45"/>
      <c r="D87" s="45"/>
      <c r="E87" s="74"/>
      <c r="F8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7" s="47"/>
      <c r="H8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7" s="74"/>
      <c r="J87" s="75" t="str">
        <f>IF(TR_5ExemptionClaim[[#This Row],[If the collector is OTR, was the service provided under OTR?]]="Yes","Warning: Material collected under OTR service is not eligible for exemption.","")</f>
        <v/>
      </c>
      <c r="K87" s="47"/>
      <c r="L87" s="76"/>
      <c r="M87" s="47"/>
      <c r="N87" s="76"/>
      <c r="O87" s="104" t="str">
        <f>IF(TR_5ExemptionClaim[[#This Row],[If a CRPF handled the material, did the material undergo separation from other materials at the CRPF?]]="Yes","Warning: Material separated at a CRPF is not eligible for exemption.","")</f>
        <v/>
      </c>
      <c r="P87" s="47"/>
      <c r="Q87" s="47"/>
      <c r="R87" s="77" t="str">
        <f>IF(TR_5ExemptionClaim[[#This Row],[If the collector is OTR, was the service provided under OTR?]]="Yes","Not Eligible","")</f>
        <v/>
      </c>
      <c r="S87" s="77" t="str">
        <f>IF(TR_5ExemptionClaim[[#This Row],[If a CRPF handled the material, did the material undergo separation from other materials at the CRPF?]]="Yes","Not Eligible","")</f>
        <v/>
      </c>
      <c r="T87" s="79" t="str">
        <f>IF(TR_5ExemptionClaim[[#This Row],[Material Reporting Category (Exemption Claim)]]="","",(IFERROR(0*MATCH(TR_5ExemptionClaim[[#This Row],[Material Reporting Category (Exemption Claim)]],TR_2SuppliedPounds[Material Reporting Category],0),1)))</f>
        <v/>
      </c>
      <c r="U87" s="79">
        <f>IF(TR_5ExemptionClaim[[#This Row],[End Market Name]]="",0,IFERROR(MATCH(TR_5ExemptionClaim[[#This Row],[End Market Name]],TR_4EndMarkets[Lookup: material+market],0)*0,1))</f>
        <v>0</v>
      </c>
      <c r="V87" s="79">
        <f>IF(TR_5ExemptionClaim[[#This Row],[Subcheck: unique]]="",0,IF(COUNTIFS(TR_5ExemptionClaim[Subcheck: unique left],TR_5ExemptionClaim[[#This Row],[Subcheck: unique left]],TR_5ExemptionClaim[Subcheck: unique right],TR_5ExemptionClaim[[#This Row],[Subcheck: unique right]])&gt;1,1,0))</f>
        <v>0</v>
      </c>
      <c r="W8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7" s="79">
        <f>IF(TR_5ExemptionClaim[[#This Row],[Material Reporting Category (Exemption Claim)]]=0,0,IF(SUM(TR_5ExemptionClaim[[#This Row],[Subcheck: minimum entry]:[Subcheck: missing CRPF info]])=0,0,1))</f>
        <v>0</v>
      </c>
      <c r="Y87" s="79">
        <f>IF(TR_5ExemptionClaim[[#This Row],[Material Reporting Category (Exemption Claim)]]&lt;&gt;"",0,TR_5ExemptionClaim[[#This Row],[Subcheck: any inputs in row]])</f>
        <v>0</v>
      </c>
      <c r="Z87" s="79">
        <f>IF(TR_5ExemptionClaim[[#This Row],[How many of the pounds recycled through this pathway were supplied by this producer?]]&gt;TR_5ExemptionClaim[[#This Row],[Pounds Recycled through this Pathway]],1,0)</f>
        <v>0</v>
      </c>
      <c r="AA8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7" s="79">
        <f>IF(TR_5ExemptionClaim[[#This Row],[Collection Company Type (autofill)]]&lt;&gt;Lookups!$K$13,0,IF(TR_5ExemptionClaim[[#This Row],[If the collector is OTR, was the service provided under OTR?]]&lt;&gt;"",0,1))</f>
        <v>0</v>
      </c>
      <c r="AF87" s="79">
        <f>IF(TR_5ExemptionClaim[[#This Row],[Did a CRPF ever handle the material before it reached the end market?]]&lt;&gt;"Yes",0,IF(COUNTA(TR_5ExemptionClaim[[#This Row],[CRPF name]:[CRPF Separation Ineligibility Warning]])=3,0,1))</f>
        <v>0</v>
      </c>
      <c r="AG8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7" s="77" t="str">
        <f>LEFT(TR_5ExemptionClaim[[#This Row],[Subcheck: unique]],250)</f>
        <v/>
      </c>
      <c r="AI87" s="77" t="str">
        <f>RIGHT(TR_5ExemptionClaim[[#This Row],[Subcheck: unique]],250)</f>
        <v/>
      </c>
      <c r="AJ87" s="77">
        <f>IF(OR(TR_5ExemptionClaim[[#This Row],[Check: collection ineligibility]]="Not Eligible",TR_5ExemptionClaim[[#This Row],[Check: CRPF non-separation ineligibility]]="Not Eligible",SUM(TR_5ExemptionClaim[[#This Row],[Check: end market does not exist]:[Check pounds (Third Party Substantiated)]])&gt;0),0,1)</f>
        <v>1</v>
      </c>
      <c r="AK87" s="78" t="str">
        <f>IF(TR_5ExemptionClaim[[#This Row],[Did this producer arrange for the recycling collection?]]="No",TR_5ExemptionClaim[[#This Row],[ID_EC]],"")</f>
        <v/>
      </c>
      <c r="AL87" s="80" t="str">
        <f t="shared" si="2"/>
        <v/>
      </c>
      <c r="AM87" s="80" t="str">
        <f>IFERROR(INDEX(TR_2SuppliedPounds[DEQ 2B Notes],MATCH(TR_5ExemptionClaim[[#This Row],[Material Reporting Category (Exemption Claim)]],TR_2SuppliedPounds[Material Reporting Category],0)),"")</f>
        <v/>
      </c>
      <c r="AN87" s="80" t="str">
        <f>IFERROR(INDEX(TR_3Collectors[DEQ 3B Notes],MATCH(TR_5ExemptionClaim[[#This Row],[Collection or Transportation Service Provider Name]],TR_3Collectors[Collection or Transportation Service Provider Name],0)),"")</f>
        <v/>
      </c>
      <c r="AO87" s="80" t="str">
        <f>IFERROR(INDEX(TR_4EndMarkets[DEQ 4B Notes],MATCH(TR_5ExemptionClaim[[#This Row],[End Market Name]],TR_4EndMarkets[Lookup: material+market],0)),"")</f>
        <v/>
      </c>
      <c r="AP87" s="81" t="str">
        <f>IFERROR(INDEX(TR_6RecyclingArranger[DEQ 6B Notes],MATCH(TR_5ExemptionClaim[[#This Row],[ID_EC]],TR_6RecyclingArranger[ID_EC],0)),"")</f>
        <v/>
      </c>
      <c r="AQ87" s="81">
        <f>SUMIFS(TR_6RecyclingArranger[DEQ 6B Eligible Pounds],TR_6RecyclingArranger[ID_EC],TR_5ExemptionClaim[[#This Row],[ID_EC]])</f>
        <v>0</v>
      </c>
      <c r="AR87" s="40"/>
      <c r="AS87" s="58"/>
    </row>
    <row r="88" spans="1:45" ht="30" customHeight="1" x14ac:dyDescent="0.2">
      <c r="A88" s="82" t="s">
        <v>1002</v>
      </c>
      <c r="B88" s="46"/>
      <c r="C88" s="45"/>
      <c r="D88" s="45"/>
      <c r="E88" s="74"/>
      <c r="F8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8" s="47"/>
      <c r="H8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8" s="74"/>
      <c r="J88" s="75" t="str">
        <f>IF(TR_5ExemptionClaim[[#This Row],[If the collector is OTR, was the service provided under OTR?]]="Yes","Warning: Material collected under OTR service is not eligible for exemption.","")</f>
        <v/>
      </c>
      <c r="K88" s="47"/>
      <c r="L88" s="76"/>
      <c r="M88" s="47"/>
      <c r="N88" s="76"/>
      <c r="O88" s="104" t="str">
        <f>IF(TR_5ExemptionClaim[[#This Row],[If a CRPF handled the material, did the material undergo separation from other materials at the CRPF?]]="Yes","Warning: Material separated at a CRPF is not eligible for exemption.","")</f>
        <v/>
      </c>
      <c r="P88" s="47"/>
      <c r="Q88" s="47"/>
      <c r="R88" s="77" t="str">
        <f>IF(TR_5ExemptionClaim[[#This Row],[If the collector is OTR, was the service provided under OTR?]]="Yes","Not Eligible","")</f>
        <v/>
      </c>
      <c r="S88" s="77" t="str">
        <f>IF(TR_5ExemptionClaim[[#This Row],[If a CRPF handled the material, did the material undergo separation from other materials at the CRPF?]]="Yes","Not Eligible","")</f>
        <v/>
      </c>
      <c r="T88" s="79" t="str">
        <f>IF(TR_5ExemptionClaim[[#This Row],[Material Reporting Category (Exemption Claim)]]="","",(IFERROR(0*MATCH(TR_5ExemptionClaim[[#This Row],[Material Reporting Category (Exemption Claim)]],TR_2SuppliedPounds[Material Reporting Category],0),1)))</f>
        <v/>
      </c>
      <c r="U88" s="79">
        <f>IF(TR_5ExemptionClaim[[#This Row],[End Market Name]]="",0,IFERROR(MATCH(TR_5ExemptionClaim[[#This Row],[End Market Name]],TR_4EndMarkets[Lookup: material+market],0)*0,1))</f>
        <v>0</v>
      </c>
      <c r="V88" s="79">
        <f>IF(TR_5ExemptionClaim[[#This Row],[Subcheck: unique]]="",0,IF(COUNTIFS(TR_5ExemptionClaim[Subcheck: unique left],TR_5ExemptionClaim[[#This Row],[Subcheck: unique left]],TR_5ExemptionClaim[Subcheck: unique right],TR_5ExemptionClaim[[#This Row],[Subcheck: unique right]])&gt;1,1,0))</f>
        <v>0</v>
      </c>
      <c r="W8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8" s="79">
        <f>IF(TR_5ExemptionClaim[[#This Row],[Material Reporting Category (Exemption Claim)]]=0,0,IF(SUM(TR_5ExemptionClaim[[#This Row],[Subcheck: minimum entry]:[Subcheck: missing CRPF info]])=0,0,1))</f>
        <v>0</v>
      </c>
      <c r="Y88" s="79">
        <f>IF(TR_5ExemptionClaim[[#This Row],[Material Reporting Category (Exemption Claim)]]&lt;&gt;"",0,TR_5ExemptionClaim[[#This Row],[Subcheck: any inputs in row]])</f>
        <v>0</v>
      </c>
      <c r="Z88" s="79">
        <f>IF(TR_5ExemptionClaim[[#This Row],[How many of the pounds recycled through this pathway were supplied by this producer?]]&gt;TR_5ExemptionClaim[[#This Row],[Pounds Recycled through this Pathway]],1,0)</f>
        <v>0</v>
      </c>
      <c r="AA8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8" s="79">
        <f>IF(TR_5ExemptionClaim[[#This Row],[Collection Company Type (autofill)]]&lt;&gt;Lookups!$K$13,0,IF(TR_5ExemptionClaim[[#This Row],[If the collector is OTR, was the service provided under OTR?]]&lt;&gt;"",0,1))</f>
        <v>0</v>
      </c>
      <c r="AF88" s="79">
        <f>IF(TR_5ExemptionClaim[[#This Row],[Did a CRPF ever handle the material before it reached the end market?]]&lt;&gt;"Yes",0,IF(COUNTA(TR_5ExemptionClaim[[#This Row],[CRPF name]:[CRPF Separation Ineligibility Warning]])=3,0,1))</f>
        <v>0</v>
      </c>
      <c r="AG8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8" s="77" t="str">
        <f>LEFT(TR_5ExemptionClaim[[#This Row],[Subcheck: unique]],250)</f>
        <v/>
      </c>
      <c r="AI88" s="77" t="str">
        <f>RIGHT(TR_5ExemptionClaim[[#This Row],[Subcheck: unique]],250)</f>
        <v/>
      </c>
      <c r="AJ88" s="77">
        <f>IF(OR(TR_5ExemptionClaim[[#This Row],[Check: collection ineligibility]]="Not Eligible",TR_5ExemptionClaim[[#This Row],[Check: CRPF non-separation ineligibility]]="Not Eligible",SUM(TR_5ExemptionClaim[[#This Row],[Check: end market does not exist]:[Check pounds (Third Party Substantiated)]])&gt;0),0,1)</f>
        <v>1</v>
      </c>
      <c r="AK88" s="78" t="str">
        <f>IF(TR_5ExemptionClaim[[#This Row],[Did this producer arrange for the recycling collection?]]="No",TR_5ExemptionClaim[[#This Row],[ID_EC]],"")</f>
        <v/>
      </c>
      <c r="AL88" s="80" t="str">
        <f t="shared" si="2"/>
        <v/>
      </c>
      <c r="AM88" s="80" t="str">
        <f>IFERROR(INDEX(TR_2SuppliedPounds[DEQ 2B Notes],MATCH(TR_5ExemptionClaim[[#This Row],[Material Reporting Category (Exemption Claim)]],TR_2SuppliedPounds[Material Reporting Category],0)),"")</f>
        <v/>
      </c>
      <c r="AN88" s="80" t="str">
        <f>IFERROR(INDEX(TR_3Collectors[DEQ 3B Notes],MATCH(TR_5ExemptionClaim[[#This Row],[Collection or Transportation Service Provider Name]],TR_3Collectors[Collection or Transportation Service Provider Name],0)),"")</f>
        <v/>
      </c>
      <c r="AO88" s="80" t="str">
        <f>IFERROR(INDEX(TR_4EndMarkets[DEQ 4B Notes],MATCH(TR_5ExemptionClaim[[#This Row],[End Market Name]],TR_4EndMarkets[Lookup: material+market],0)),"")</f>
        <v/>
      </c>
      <c r="AP88" s="81" t="str">
        <f>IFERROR(INDEX(TR_6RecyclingArranger[DEQ 6B Notes],MATCH(TR_5ExemptionClaim[[#This Row],[ID_EC]],TR_6RecyclingArranger[ID_EC],0)),"")</f>
        <v/>
      </c>
      <c r="AQ88" s="81">
        <f>SUMIFS(TR_6RecyclingArranger[DEQ 6B Eligible Pounds],TR_6RecyclingArranger[ID_EC],TR_5ExemptionClaim[[#This Row],[ID_EC]])</f>
        <v>0</v>
      </c>
      <c r="AR88" s="40"/>
      <c r="AS88" s="58"/>
    </row>
    <row r="89" spans="1:45" ht="30" customHeight="1" x14ac:dyDescent="0.2">
      <c r="A89" s="82" t="s">
        <v>1003</v>
      </c>
      <c r="B89" s="46"/>
      <c r="C89" s="45"/>
      <c r="D89" s="45"/>
      <c r="E89" s="74"/>
      <c r="F8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89" s="47"/>
      <c r="H8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89" s="74"/>
      <c r="J89" s="75" t="str">
        <f>IF(TR_5ExemptionClaim[[#This Row],[If the collector is OTR, was the service provided under OTR?]]="Yes","Warning: Material collected under OTR service is not eligible for exemption.","")</f>
        <v/>
      </c>
      <c r="K89" s="47"/>
      <c r="L89" s="76"/>
      <c r="M89" s="47"/>
      <c r="N89" s="76"/>
      <c r="O89" s="104" t="str">
        <f>IF(TR_5ExemptionClaim[[#This Row],[If a CRPF handled the material, did the material undergo separation from other materials at the CRPF?]]="Yes","Warning: Material separated at a CRPF is not eligible for exemption.","")</f>
        <v/>
      </c>
      <c r="P89" s="47"/>
      <c r="Q89" s="47"/>
      <c r="R89" s="77" t="str">
        <f>IF(TR_5ExemptionClaim[[#This Row],[If the collector is OTR, was the service provided under OTR?]]="Yes","Not Eligible","")</f>
        <v/>
      </c>
      <c r="S89" s="77" t="str">
        <f>IF(TR_5ExemptionClaim[[#This Row],[If a CRPF handled the material, did the material undergo separation from other materials at the CRPF?]]="Yes","Not Eligible","")</f>
        <v/>
      </c>
      <c r="T89" s="79" t="str">
        <f>IF(TR_5ExemptionClaim[[#This Row],[Material Reporting Category (Exemption Claim)]]="","",(IFERROR(0*MATCH(TR_5ExemptionClaim[[#This Row],[Material Reporting Category (Exemption Claim)]],TR_2SuppliedPounds[Material Reporting Category],0),1)))</f>
        <v/>
      </c>
      <c r="U89" s="79">
        <f>IF(TR_5ExemptionClaim[[#This Row],[End Market Name]]="",0,IFERROR(MATCH(TR_5ExemptionClaim[[#This Row],[End Market Name]],TR_4EndMarkets[Lookup: material+market],0)*0,1))</f>
        <v>0</v>
      </c>
      <c r="V89" s="79">
        <f>IF(TR_5ExemptionClaim[[#This Row],[Subcheck: unique]]="",0,IF(COUNTIFS(TR_5ExemptionClaim[Subcheck: unique left],TR_5ExemptionClaim[[#This Row],[Subcheck: unique left]],TR_5ExemptionClaim[Subcheck: unique right],TR_5ExemptionClaim[[#This Row],[Subcheck: unique right]])&gt;1,1,0))</f>
        <v>0</v>
      </c>
      <c r="W8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89" s="79">
        <f>IF(TR_5ExemptionClaim[[#This Row],[Material Reporting Category (Exemption Claim)]]=0,0,IF(SUM(TR_5ExemptionClaim[[#This Row],[Subcheck: minimum entry]:[Subcheck: missing CRPF info]])=0,0,1))</f>
        <v>0</v>
      </c>
      <c r="Y89" s="79">
        <f>IF(TR_5ExemptionClaim[[#This Row],[Material Reporting Category (Exemption Claim)]]&lt;&gt;"",0,TR_5ExemptionClaim[[#This Row],[Subcheck: any inputs in row]])</f>
        <v>0</v>
      </c>
      <c r="Z89" s="79">
        <f>IF(TR_5ExemptionClaim[[#This Row],[How many of the pounds recycled through this pathway were supplied by this producer?]]&gt;TR_5ExemptionClaim[[#This Row],[Pounds Recycled through this Pathway]],1,0)</f>
        <v>0</v>
      </c>
      <c r="AA8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8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8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8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89" s="79">
        <f>IF(TR_5ExemptionClaim[[#This Row],[Collection Company Type (autofill)]]&lt;&gt;Lookups!$K$13,0,IF(TR_5ExemptionClaim[[#This Row],[If the collector is OTR, was the service provided under OTR?]]&lt;&gt;"",0,1))</f>
        <v>0</v>
      </c>
      <c r="AF89" s="79">
        <f>IF(TR_5ExemptionClaim[[#This Row],[Did a CRPF ever handle the material before it reached the end market?]]&lt;&gt;"Yes",0,IF(COUNTA(TR_5ExemptionClaim[[#This Row],[CRPF name]:[CRPF Separation Ineligibility Warning]])=3,0,1))</f>
        <v>0</v>
      </c>
      <c r="AG8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89" s="77" t="str">
        <f>LEFT(TR_5ExemptionClaim[[#This Row],[Subcheck: unique]],250)</f>
        <v/>
      </c>
      <c r="AI89" s="77" t="str">
        <f>RIGHT(TR_5ExemptionClaim[[#This Row],[Subcheck: unique]],250)</f>
        <v/>
      </c>
      <c r="AJ89" s="77">
        <f>IF(OR(TR_5ExemptionClaim[[#This Row],[Check: collection ineligibility]]="Not Eligible",TR_5ExemptionClaim[[#This Row],[Check: CRPF non-separation ineligibility]]="Not Eligible",SUM(TR_5ExemptionClaim[[#This Row],[Check: end market does not exist]:[Check pounds (Third Party Substantiated)]])&gt;0),0,1)</f>
        <v>1</v>
      </c>
      <c r="AK89" s="78" t="str">
        <f>IF(TR_5ExemptionClaim[[#This Row],[Did this producer arrange for the recycling collection?]]="No",TR_5ExemptionClaim[[#This Row],[ID_EC]],"")</f>
        <v/>
      </c>
      <c r="AL89" s="80" t="str">
        <f t="shared" si="2"/>
        <v/>
      </c>
      <c r="AM89" s="80" t="str">
        <f>IFERROR(INDEX(TR_2SuppliedPounds[DEQ 2B Notes],MATCH(TR_5ExemptionClaim[[#This Row],[Material Reporting Category (Exemption Claim)]],TR_2SuppliedPounds[Material Reporting Category],0)),"")</f>
        <v/>
      </c>
      <c r="AN89" s="80" t="str">
        <f>IFERROR(INDEX(TR_3Collectors[DEQ 3B Notes],MATCH(TR_5ExemptionClaim[[#This Row],[Collection or Transportation Service Provider Name]],TR_3Collectors[Collection or Transportation Service Provider Name],0)),"")</f>
        <v/>
      </c>
      <c r="AO89" s="80" t="str">
        <f>IFERROR(INDEX(TR_4EndMarkets[DEQ 4B Notes],MATCH(TR_5ExemptionClaim[[#This Row],[End Market Name]],TR_4EndMarkets[Lookup: material+market],0)),"")</f>
        <v/>
      </c>
      <c r="AP89" s="81" t="str">
        <f>IFERROR(INDEX(TR_6RecyclingArranger[DEQ 6B Notes],MATCH(TR_5ExemptionClaim[[#This Row],[ID_EC]],TR_6RecyclingArranger[ID_EC],0)),"")</f>
        <v/>
      </c>
      <c r="AQ89" s="81">
        <f>SUMIFS(TR_6RecyclingArranger[DEQ 6B Eligible Pounds],TR_6RecyclingArranger[ID_EC],TR_5ExemptionClaim[[#This Row],[ID_EC]])</f>
        <v>0</v>
      </c>
      <c r="AR89" s="40"/>
      <c r="AS89" s="58"/>
    </row>
    <row r="90" spans="1:45" ht="30" customHeight="1" x14ac:dyDescent="0.2">
      <c r="A90" s="82" t="s">
        <v>1004</v>
      </c>
      <c r="B90" s="46"/>
      <c r="C90" s="45"/>
      <c r="D90" s="45"/>
      <c r="E90" s="74"/>
      <c r="F9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0" s="47"/>
      <c r="H9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0" s="74"/>
      <c r="J90" s="75" t="str">
        <f>IF(TR_5ExemptionClaim[[#This Row],[If the collector is OTR, was the service provided under OTR?]]="Yes","Warning: Material collected under OTR service is not eligible for exemption.","")</f>
        <v/>
      </c>
      <c r="K90" s="47"/>
      <c r="L90" s="76"/>
      <c r="M90" s="47"/>
      <c r="N90" s="76"/>
      <c r="O90" s="104" t="str">
        <f>IF(TR_5ExemptionClaim[[#This Row],[If a CRPF handled the material, did the material undergo separation from other materials at the CRPF?]]="Yes","Warning: Material separated at a CRPF is not eligible for exemption.","")</f>
        <v/>
      </c>
      <c r="P90" s="47"/>
      <c r="Q90" s="47"/>
      <c r="R90" s="77" t="str">
        <f>IF(TR_5ExemptionClaim[[#This Row],[If the collector is OTR, was the service provided under OTR?]]="Yes","Not Eligible","")</f>
        <v/>
      </c>
      <c r="S90" s="77" t="str">
        <f>IF(TR_5ExemptionClaim[[#This Row],[If a CRPF handled the material, did the material undergo separation from other materials at the CRPF?]]="Yes","Not Eligible","")</f>
        <v/>
      </c>
      <c r="T90" s="79" t="str">
        <f>IF(TR_5ExemptionClaim[[#This Row],[Material Reporting Category (Exemption Claim)]]="","",(IFERROR(0*MATCH(TR_5ExemptionClaim[[#This Row],[Material Reporting Category (Exemption Claim)]],TR_2SuppliedPounds[Material Reporting Category],0),1)))</f>
        <v/>
      </c>
      <c r="U90" s="79">
        <f>IF(TR_5ExemptionClaim[[#This Row],[End Market Name]]="",0,IFERROR(MATCH(TR_5ExemptionClaim[[#This Row],[End Market Name]],TR_4EndMarkets[Lookup: material+market],0)*0,1))</f>
        <v>0</v>
      </c>
      <c r="V90" s="79">
        <f>IF(TR_5ExemptionClaim[[#This Row],[Subcheck: unique]]="",0,IF(COUNTIFS(TR_5ExemptionClaim[Subcheck: unique left],TR_5ExemptionClaim[[#This Row],[Subcheck: unique left]],TR_5ExemptionClaim[Subcheck: unique right],TR_5ExemptionClaim[[#This Row],[Subcheck: unique right]])&gt;1,1,0))</f>
        <v>0</v>
      </c>
      <c r="W9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0" s="79">
        <f>IF(TR_5ExemptionClaim[[#This Row],[Material Reporting Category (Exemption Claim)]]=0,0,IF(SUM(TR_5ExemptionClaim[[#This Row],[Subcheck: minimum entry]:[Subcheck: missing CRPF info]])=0,0,1))</f>
        <v>0</v>
      </c>
      <c r="Y90" s="79">
        <f>IF(TR_5ExemptionClaim[[#This Row],[Material Reporting Category (Exemption Claim)]]&lt;&gt;"",0,TR_5ExemptionClaim[[#This Row],[Subcheck: any inputs in row]])</f>
        <v>0</v>
      </c>
      <c r="Z90" s="79">
        <f>IF(TR_5ExemptionClaim[[#This Row],[How many of the pounds recycled through this pathway were supplied by this producer?]]&gt;TR_5ExemptionClaim[[#This Row],[Pounds Recycled through this Pathway]],1,0)</f>
        <v>0</v>
      </c>
      <c r="AA9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0" s="79">
        <f>IF(TR_5ExemptionClaim[[#This Row],[Collection Company Type (autofill)]]&lt;&gt;Lookups!$K$13,0,IF(TR_5ExemptionClaim[[#This Row],[If the collector is OTR, was the service provided under OTR?]]&lt;&gt;"",0,1))</f>
        <v>0</v>
      </c>
      <c r="AF90" s="79">
        <f>IF(TR_5ExemptionClaim[[#This Row],[Did a CRPF ever handle the material before it reached the end market?]]&lt;&gt;"Yes",0,IF(COUNTA(TR_5ExemptionClaim[[#This Row],[CRPF name]:[CRPF Separation Ineligibility Warning]])=3,0,1))</f>
        <v>0</v>
      </c>
      <c r="AG9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0" s="77" t="str">
        <f>LEFT(TR_5ExemptionClaim[[#This Row],[Subcheck: unique]],250)</f>
        <v/>
      </c>
      <c r="AI90" s="77" t="str">
        <f>RIGHT(TR_5ExemptionClaim[[#This Row],[Subcheck: unique]],250)</f>
        <v/>
      </c>
      <c r="AJ90" s="77">
        <f>IF(OR(TR_5ExemptionClaim[[#This Row],[Check: collection ineligibility]]="Not Eligible",TR_5ExemptionClaim[[#This Row],[Check: CRPF non-separation ineligibility]]="Not Eligible",SUM(TR_5ExemptionClaim[[#This Row],[Check: end market does not exist]:[Check pounds (Third Party Substantiated)]])&gt;0),0,1)</f>
        <v>1</v>
      </c>
      <c r="AK90" s="78" t="str">
        <f>IF(TR_5ExemptionClaim[[#This Row],[Did this producer arrange for the recycling collection?]]="No",TR_5ExemptionClaim[[#This Row],[ID_EC]],"")</f>
        <v/>
      </c>
      <c r="AL90" s="80" t="str">
        <f t="shared" si="2"/>
        <v/>
      </c>
      <c r="AM90" s="80" t="str">
        <f>IFERROR(INDEX(TR_2SuppliedPounds[DEQ 2B Notes],MATCH(TR_5ExemptionClaim[[#This Row],[Material Reporting Category (Exemption Claim)]],TR_2SuppliedPounds[Material Reporting Category],0)),"")</f>
        <v/>
      </c>
      <c r="AN90" s="80" t="str">
        <f>IFERROR(INDEX(TR_3Collectors[DEQ 3B Notes],MATCH(TR_5ExemptionClaim[[#This Row],[Collection or Transportation Service Provider Name]],TR_3Collectors[Collection or Transportation Service Provider Name],0)),"")</f>
        <v/>
      </c>
      <c r="AO90" s="80" t="str">
        <f>IFERROR(INDEX(TR_4EndMarkets[DEQ 4B Notes],MATCH(TR_5ExemptionClaim[[#This Row],[End Market Name]],TR_4EndMarkets[Lookup: material+market],0)),"")</f>
        <v/>
      </c>
      <c r="AP90" s="81" t="str">
        <f>IFERROR(INDEX(TR_6RecyclingArranger[DEQ 6B Notes],MATCH(TR_5ExemptionClaim[[#This Row],[ID_EC]],TR_6RecyclingArranger[ID_EC],0)),"")</f>
        <v/>
      </c>
      <c r="AQ90" s="81">
        <f>SUMIFS(TR_6RecyclingArranger[DEQ 6B Eligible Pounds],TR_6RecyclingArranger[ID_EC],TR_5ExemptionClaim[[#This Row],[ID_EC]])</f>
        <v>0</v>
      </c>
      <c r="AR90" s="40"/>
      <c r="AS90" s="58"/>
    </row>
    <row r="91" spans="1:45" ht="30" customHeight="1" x14ac:dyDescent="0.2">
      <c r="A91" s="82" t="s">
        <v>1005</v>
      </c>
      <c r="B91" s="46"/>
      <c r="C91" s="45"/>
      <c r="D91" s="45"/>
      <c r="E91" s="74"/>
      <c r="F9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1" s="47"/>
      <c r="H9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1" s="74"/>
      <c r="J91" s="75" t="str">
        <f>IF(TR_5ExemptionClaim[[#This Row],[If the collector is OTR, was the service provided under OTR?]]="Yes","Warning: Material collected under OTR service is not eligible for exemption.","")</f>
        <v/>
      </c>
      <c r="K91" s="47"/>
      <c r="L91" s="76"/>
      <c r="M91" s="47"/>
      <c r="N91" s="76"/>
      <c r="O91" s="104" t="str">
        <f>IF(TR_5ExemptionClaim[[#This Row],[If a CRPF handled the material, did the material undergo separation from other materials at the CRPF?]]="Yes","Warning: Material separated at a CRPF is not eligible for exemption.","")</f>
        <v/>
      </c>
      <c r="P91" s="47"/>
      <c r="Q91" s="47"/>
      <c r="R91" s="77" t="str">
        <f>IF(TR_5ExemptionClaim[[#This Row],[If the collector is OTR, was the service provided under OTR?]]="Yes","Not Eligible","")</f>
        <v/>
      </c>
      <c r="S91" s="77" t="str">
        <f>IF(TR_5ExemptionClaim[[#This Row],[If a CRPF handled the material, did the material undergo separation from other materials at the CRPF?]]="Yes","Not Eligible","")</f>
        <v/>
      </c>
      <c r="T91" s="79" t="str">
        <f>IF(TR_5ExemptionClaim[[#This Row],[Material Reporting Category (Exemption Claim)]]="","",(IFERROR(0*MATCH(TR_5ExemptionClaim[[#This Row],[Material Reporting Category (Exemption Claim)]],TR_2SuppliedPounds[Material Reporting Category],0),1)))</f>
        <v/>
      </c>
      <c r="U91" s="79">
        <f>IF(TR_5ExemptionClaim[[#This Row],[End Market Name]]="",0,IFERROR(MATCH(TR_5ExemptionClaim[[#This Row],[End Market Name]],TR_4EndMarkets[Lookup: material+market],0)*0,1))</f>
        <v>0</v>
      </c>
      <c r="V91" s="79">
        <f>IF(TR_5ExemptionClaim[[#This Row],[Subcheck: unique]]="",0,IF(COUNTIFS(TR_5ExemptionClaim[Subcheck: unique left],TR_5ExemptionClaim[[#This Row],[Subcheck: unique left]],TR_5ExemptionClaim[Subcheck: unique right],TR_5ExemptionClaim[[#This Row],[Subcheck: unique right]])&gt;1,1,0))</f>
        <v>0</v>
      </c>
      <c r="W9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1" s="79">
        <f>IF(TR_5ExemptionClaim[[#This Row],[Material Reporting Category (Exemption Claim)]]=0,0,IF(SUM(TR_5ExemptionClaim[[#This Row],[Subcheck: minimum entry]:[Subcheck: missing CRPF info]])=0,0,1))</f>
        <v>0</v>
      </c>
      <c r="Y91" s="79">
        <f>IF(TR_5ExemptionClaim[[#This Row],[Material Reporting Category (Exemption Claim)]]&lt;&gt;"",0,TR_5ExemptionClaim[[#This Row],[Subcheck: any inputs in row]])</f>
        <v>0</v>
      </c>
      <c r="Z91" s="79">
        <f>IF(TR_5ExemptionClaim[[#This Row],[How many of the pounds recycled through this pathway were supplied by this producer?]]&gt;TR_5ExemptionClaim[[#This Row],[Pounds Recycled through this Pathway]],1,0)</f>
        <v>0</v>
      </c>
      <c r="AA9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1" s="79">
        <f>IF(TR_5ExemptionClaim[[#This Row],[Collection Company Type (autofill)]]&lt;&gt;Lookups!$K$13,0,IF(TR_5ExemptionClaim[[#This Row],[If the collector is OTR, was the service provided under OTR?]]&lt;&gt;"",0,1))</f>
        <v>0</v>
      </c>
      <c r="AF91" s="79">
        <f>IF(TR_5ExemptionClaim[[#This Row],[Did a CRPF ever handle the material before it reached the end market?]]&lt;&gt;"Yes",0,IF(COUNTA(TR_5ExemptionClaim[[#This Row],[CRPF name]:[CRPF Separation Ineligibility Warning]])=3,0,1))</f>
        <v>0</v>
      </c>
      <c r="AG9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1" s="77" t="str">
        <f>LEFT(TR_5ExemptionClaim[[#This Row],[Subcheck: unique]],250)</f>
        <v/>
      </c>
      <c r="AI91" s="77" t="str">
        <f>RIGHT(TR_5ExemptionClaim[[#This Row],[Subcheck: unique]],250)</f>
        <v/>
      </c>
      <c r="AJ91" s="77">
        <f>IF(OR(TR_5ExemptionClaim[[#This Row],[Check: collection ineligibility]]="Not Eligible",TR_5ExemptionClaim[[#This Row],[Check: CRPF non-separation ineligibility]]="Not Eligible",SUM(TR_5ExemptionClaim[[#This Row],[Check: end market does not exist]:[Check pounds (Third Party Substantiated)]])&gt;0),0,1)</f>
        <v>1</v>
      </c>
      <c r="AK91" s="78" t="str">
        <f>IF(TR_5ExemptionClaim[[#This Row],[Did this producer arrange for the recycling collection?]]="No",TR_5ExemptionClaim[[#This Row],[ID_EC]],"")</f>
        <v/>
      </c>
      <c r="AL91" s="80" t="str">
        <f t="shared" si="2"/>
        <v/>
      </c>
      <c r="AM91" s="80" t="str">
        <f>IFERROR(INDEX(TR_2SuppliedPounds[DEQ 2B Notes],MATCH(TR_5ExemptionClaim[[#This Row],[Material Reporting Category (Exemption Claim)]],TR_2SuppliedPounds[Material Reporting Category],0)),"")</f>
        <v/>
      </c>
      <c r="AN91" s="80" t="str">
        <f>IFERROR(INDEX(TR_3Collectors[DEQ 3B Notes],MATCH(TR_5ExemptionClaim[[#This Row],[Collection or Transportation Service Provider Name]],TR_3Collectors[Collection or Transportation Service Provider Name],0)),"")</f>
        <v/>
      </c>
      <c r="AO91" s="80" t="str">
        <f>IFERROR(INDEX(TR_4EndMarkets[DEQ 4B Notes],MATCH(TR_5ExemptionClaim[[#This Row],[End Market Name]],TR_4EndMarkets[Lookup: material+market],0)),"")</f>
        <v/>
      </c>
      <c r="AP91" s="81" t="str">
        <f>IFERROR(INDEX(TR_6RecyclingArranger[DEQ 6B Notes],MATCH(TR_5ExemptionClaim[[#This Row],[ID_EC]],TR_6RecyclingArranger[ID_EC],0)),"")</f>
        <v/>
      </c>
      <c r="AQ91" s="81">
        <f>SUMIFS(TR_6RecyclingArranger[DEQ 6B Eligible Pounds],TR_6RecyclingArranger[ID_EC],TR_5ExemptionClaim[[#This Row],[ID_EC]])</f>
        <v>0</v>
      </c>
      <c r="AR91" s="40"/>
      <c r="AS91" s="58"/>
    </row>
    <row r="92" spans="1:45" ht="30" customHeight="1" x14ac:dyDescent="0.2">
      <c r="A92" s="82" t="s">
        <v>1006</v>
      </c>
      <c r="B92" s="46"/>
      <c r="C92" s="45"/>
      <c r="D92" s="45"/>
      <c r="E92" s="74"/>
      <c r="F9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2" s="47"/>
      <c r="H9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2" s="74"/>
      <c r="J92" s="75" t="str">
        <f>IF(TR_5ExemptionClaim[[#This Row],[If the collector is OTR, was the service provided under OTR?]]="Yes","Warning: Material collected under OTR service is not eligible for exemption.","")</f>
        <v/>
      </c>
      <c r="K92" s="47"/>
      <c r="L92" s="76"/>
      <c r="M92" s="47"/>
      <c r="N92" s="76"/>
      <c r="O92" s="104" t="str">
        <f>IF(TR_5ExemptionClaim[[#This Row],[If a CRPF handled the material, did the material undergo separation from other materials at the CRPF?]]="Yes","Warning: Material separated at a CRPF is not eligible for exemption.","")</f>
        <v/>
      </c>
      <c r="P92" s="47"/>
      <c r="Q92" s="47"/>
      <c r="R92" s="77" t="str">
        <f>IF(TR_5ExemptionClaim[[#This Row],[If the collector is OTR, was the service provided under OTR?]]="Yes","Not Eligible","")</f>
        <v/>
      </c>
      <c r="S92" s="77" t="str">
        <f>IF(TR_5ExemptionClaim[[#This Row],[If a CRPF handled the material, did the material undergo separation from other materials at the CRPF?]]="Yes","Not Eligible","")</f>
        <v/>
      </c>
      <c r="T92" s="79" t="str">
        <f>IF(TR_5ExemptionClaim[[#This Row],[Material Reporting Category (Exemption Claim)]]="","",(IFERROR(0*MATCH(TR_5ExemptionClaim[[#This Row],[Material Reporting Category (Exemption Claim)]],TR_2SuppliedPounds[Material Reporting Category],0),1)))</f>
        <v/>
      </c>
      <c r="U92" s="79">
        <f>IF(TR_5ExemptionClaim[[#This Row],[End Market Name]]="",0,IFERROR(MATCH(TR_5ExemptionClaim[[#This Row],[End Market Name]],TR_4EndMarkets[Lookup: material+market],0)*0,1))</f>
        <v>0</v>
      </c>
      <c r="V92" s="79">
        <f>IF(TR_5ExemptionClaim[[#This Row],[Subcheck: unique]]="",0,IF(COUNTIFS(TR_5ExemptionClaim[Subcheck: unique left],TR_5ExemptionClaim[[#This Row],[Subcheck: unique left]],TR_5ExemptionClaim[Subcheck: unique right],TR_5ExemptionClaim[[#This Row],[Subcheck: unique right]])&gt;1,1,0))</f>
        <v>0</v>
      </c>
      <c r="W9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2" s="79">
        <f>IF(TR_5ExemptionClaim[[#This Row],[Material Reporting Category (Exemption Claim)]]=0,0,IF(SUM(TR_5ExemptionClaim[[#This Row],[Subcheck: minimum entry]:[Subcheck: missing CRPF info]])=0,0,1))</f>
        <v>0</v>
      </c>
      <c r="Y92" s="79">
        <f>IF(TR_5ExemptionClaim[[#This Row],[Material Reporting Category (Exemption Claim)]]&lt;&gt;"",0,TR_5ExemptionClaim[[#This Row],[Subcheck: any inputs in row]])</f>
        <v>0</v>
      </c>
      <c r="Z92" s="79">
        <f>IF(TR_5ExemptionClaim[[#This Row],[How many of the pounds recycled through this pathway were supplied by this producer?]]&gt;TR_5ExemptionClaim[[#This Row],[Pounds Recycled through this Pathway]],1,0)</f>
        <v>0</v>
      </c>
      <c r="AA9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2" s="79">
        <f>IF(TR_5ExemptionClaim[[#This Row],[Collection Company Type (autofill)]]&lt;&gt;Lookups!$K$13,0,IF(TR_5ExemptionClaim[[#This Row],[If the collector is OTR, was the service provided under OTR?]]&lt;&gt;"",0,1))</f>
        <v>0</v>
      </c>
      <c r="AF92" s="79">
        <f>IF(TR_5ExemptionClaim[[#This Row],[Did a CRPF ever handle the material before it reached the end market?]]&lt;&gt;"Yes",0,IF(COUNTA(TR_5ExemptionClaim[[#This Row],[CRPF name]:[CRPF Separation Ineligibility Warning]])=3,0,1))</f>
        <v>0</v>
      </c>
      <c r="AG9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2" s="77" t="str">
        <f>LEFT(TR_5ExemptionClaim[[#This Row],[Subcheck: unique]],250)</f>
        <v/>
      </c>
      <c r="AI92" s="77" t="str">
        <f>RIGHT(TR_5ExemptionClaim[[#This Row],[Subcheck: unique]],250)</f>
        <v/>
      </c>
      <c r="AJ92" s="77">
        <f>IF(OR(TR_5ExemptionClaim[[#This Row],[Check: collection ineligibility]]="Not Eligible",TR_5ExemptionClaim[[#This Row],[Check: CRPF non-separation ineligibility]]="Not Eligible",SUM(TR_5ExemptionClaim[[#This Row],[Check: end market does not exist]:[Check pounds (Third Party Substantiated)]])&gt;0),0,1)</f>
        <v>1</v>
      </c>
      <c r="AK92" s="78" t="str">
        <f>IF(TR_5ExemptionClaim[[#This Row],[Did this producer arrange for the recycling collection?]]="No",TR_5ExemptionClaim[[#This Row],[ID_EC]],"")</f>
        <v/>
      </c>
      <c r="AL92" s="80" t="str">
        <f t="shared" si="2"/>
        <v/>
      </c>
      <c r="AM92" s="80" t="str">
        <f>IFERROR(INDEX(TR_2SuppliedPounds[DEQ 2B Notes],MATCH(TR_5ExemptionClaim[[#This Row],[Material Reporting Category (Exemption Claim)]],TR_2SuppliedPounds[Material Reporting Category],0)),"")</f>
        <v/>
      </c>
      <c r="AN92" s="80" t="str">
        <f>IFERROR(INDEX(TR_3Collectors[DEQ 3B Notes],MATCH(TR_5ExemptionClaim[[#This Row],[Collection or Transportation Service Provider Name]],TR_3Collectors[Collection or Transportation Service Provider Name],0)),"")</f>
        <v/>
      </c>
      <c r="AO92" s="80" t="str">
        <f>IFERROR(INDEX(TR_4EndMarkets[DEQ 4B Notes],MATCH(TR_5ExemptionClaim[[#This Row],[End Market Name]],TR_4EndMarkets[Lookup: material+market],0)),"")</f>
        <v/>
      </c>
      <c r="AP92" s="81" t="str">
        <f>IFERROR(INDEX(TR_6RecyclingArranger[DEQ 6B Notes],MATCH(TR_5ExemptionClaim[[#This Row],[ID_EC]],TR_6RecyclingArranger[ID_EC],0)),"")</f>
        <v/>
      </c>
      <c r="AQ92" s="81">
        <f>SUMIFS(TR_6RecyclingArranger[DEQ 6B Eligible Pounds],TR_6RecyclingArranger[ID_EC],TR_5ExemptionClaim[[#This Row],[ID_EC]])</f>
        <v>0</v>
      </c>
      <c r="AR92" s="40"/>
      <c r="AS92" s="58"/>
    </row>
    <row r="93" spans="1:45" ht="30" customHeight="1" x14ac:dyDescent="0.2">
      <c r="A93" s="82" t="s">
        <v>1007</v>
      </c>
      <c r="B93" s="46"/>
      <c r="C93" s="45"/>
      <c r="D93" s="45"/>
      <c r="E93" s="74"/>
      <c r="F9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3" s="47"/>
      <c r="H9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3" s="74"/>
      <c r="J93" s="75" t="str">
        <f>IF(TR_5ExemptionClaim[[#This Row],[If the collector is OTR, was the service provided under OTR?]]="Yes","Warning: Material collected under OTR service is not eligible for exemption.","")</f>
        <v/>
      </c>
      <c r="K93" s="47"/>
      <c r="L93" s="76"/>
      <c r="M93" s="47"/>
      <c r="N93" s="76"/>
      <c r="O93" s="104" t="str">
        <f>IF(TR_5ExemptionClaim[[#This Row],[If a CRPF handled the material, did the material undergo separation from other materials at the CRPF?]]="Yes","Warning: Material separated at a CRPF is not eligible for exemption.","")</f>
        <v/>
      </c>
      <c r="P93" s="47"/>
      <c r="Q93" s="47"/>
      <c r="R93" s="77" t="str">
        <f>IF(TR_5ExemptionClaim[[#This Row],[If the collector is OTR, was the service provided under OTR?]]="Yes","Not Eligible","")</f>
        <v/>
      </c>
      <c r="S93" s="77" t="str">
        <f>IF(TR_5ExemptionClaim[[#This Row],[If a CRPF handled the material, did the material undergo separation from other materials at the CRPF?]]="Yes","Not Eligible","")</f>
        <v/>
      </c>
      <c r="T93" s="79" t="str">
        <f>IF(TR_5ExemptionClaim[[#This Row],[Material Reporting Category (Exemption Claim)]]="","",(IFERROR(0*MATCH(TR_5ExemptionClaim[[#This Row],[Material Reporting Category (Exemption Claim)]],TR_2SuppliedPounds[Material Reporting Category],0),1)))</f>
        <v/>
      </c>
      <c r="U93" s="79">
        <f>IF(TR_5ExemptionClaim[[#This Row],[End Market Name]]="",0,IFERROR(MATCH(TR_5ExemptionClaim[[#This Row],[End Market Name]],TR_4EndMarkets[Lookup: material+market],0)*0,1))</f>
        <v>0</v>
      </c>
      <c r="V93" s="79">
        <f>IF(TR_5ExemptionClaim[[#This Row],[Subcheck: unique]]="",0,IF(COUNTIFS(TR_5ExemptionClaim[Subcheck: unique left],TR_5ExemptionClaim[[#This Row],[Subcheck: unique left]],TR_5ExemptionClaim[Subcheck: unique right],TR_5ExemptionClaim[[#This Row],[Subcheck: unique right]])&gt;1,1,0))</f>
        <v>0</v>
      </c>
      <c r="W9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3" s="79">
        <f>IF(TR_5ExemptionClaim[[#This Row],[Material Reporting Category (Exemption Claim)]]=0,0,IF(SUM(TR_5ExemptionClaim[[#This Row],[Subcheck: minimum entry]:[Subcheck: missing CRPF info]])=0,0,1))</f>
        <v>0</v>
      </c>
      <c r="Y93" s="79">
        <f>IF(TR_5ExemptionClaim[[#This Row],[Material Reporting Category (Exemption Claim)]]&lt;&gt;"",0,TR_5ExemptionClaim[[#This Row],[Subcheck: any inputs in row]])</f>
        <v>0</v>
      </c>
      <c r="Z93" s="79">
        <f>IF(TR_5ExemptionClaim[[#This Row],[How many of the pounds recycled through this pathway were supplied by this producer?]]&gt;TR_5ExemptionClaim[[#This Row],[Pounds Recycled through this Pathway]],1,0)</f>
        <v>0</v>
      </c>
      <c r="AA9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3" s="79">
        <f>IF(TR_5ExemptionClaim[[#This Row],[Collection Company Type (autofill)]]&lt;&gt;Lookups!$K$13,0,IF(TR_5ExemptionClaim[[#This Row],[If the collector is OTR, was the service provided under OTR?]]&lt;&gt;"",0,1))</f>
        <v>0</v>
      </c>
      <c r="AF93" s="79">
        <f>IF(TR_5ExemptionClaim[[#This Row],[Did a CRPF ever handle the material before it reached the end market?]]&lt;&gt;"Yes",0,IF(COUNTA(TR_5ExemptionClaim[[#This Row],[CRPF name]:[CRPF Separation Ineligibility Warning]])=3,0,1))</f>
        <v>0</v>
      </c>
      <c r="AG9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3" s="77" t="str">
        <f>LEFT(TR_5ExemptionClaim[[#This Row],[Subcheck: unique]],250)</f>
        <v/>
      </c>
      <c r="AI93" s="77" t="str">
        <f>RIGHT(TR_5ExemptionClaim[[#This Row],[Subcheck: unique]],250)</f>
        <v/>
      </c>
      <c r="AJ93" s="77">
        <f>IF(OR(TR_5ExemptionClaim[[#This Row],[Check: collection ineligibility]]="Not Eligible",TR_5ExemptionClaim[[#This Row],[Check: CRPF non-separation ineligibility]]="Not Eligible",SUM(TR_5ExemptionClaim[[#This Row],[Check: end market does not exist]:[Check pounds (Third Party Substantiated)]])&gt;0),0,1)</f>
        <v>1</v>
      </c>
      <c r="AK93" s="78" t="str">
        <f>IF(TR_5ExemptionClaim[[#This Row],[Did this producer arrange for the recycling collection?]]="No",TR_5ExemptionClaim[[#This Row],[ID_EC]],"")</f>
        <v/>
      </c>
      <c r="AL93" s="80" t="str">
        <f t="shared" si="2"/>
        <v/>
      </c>
      <c r="AM93" s="80" t="str">
        <f>IFERROR(INDEX(TR_2SuppliedPounds[DEQ 2B Notes],MATCH(TR_5ExemptionClaim[[#This Row],[Material Reporting Category (Exemption Claim)]],TR_2SuppliedPounds[Material Reporting Category],0)),"")</f>
        <v/>
      </c>
      <c r="AN93" s="80" t="str">
        <f>IFERROR(INDEX(TR_3Collectors[DEQ 3B Notes],MATCH(TR_5ExemptionClaim[[#This Row],[Collection or Transportation Service Provider Name]],TR_3Collectors[Collection or Transportation Service Provider Name],0)),"")</f>
        <v/>
      </c>
      <c r="AO93" s="80" t="str">
        <f>IFERROR(INDEX(TR_4EndMarkets[DEQ 4B Notes],MATCH(TR_5ExemptionClaim[[#This Row],[End Market Name]],TR_4EndMarkets[Lookup: material+market],0)),"")</f>
        <v/>
      </c>
      <c r="AP93" s="81" t="str">
        <f>IFERROR(INDEX(TR_6RecyclingArranger[DEQ 6B Notes],MATCH(TR_5ExemptionClaim[[#This Row],[ID_EC]],TR_6RecyclingArranger[ID_EC],0)),"")</f>
        <v/>
      </c>
      <c r="AQ93" s="81">
        <f>SUMIFS(TR_6RecyclingArranger[DEQ 6B Eligible Pounds],TR_6RecyclingArranger[ID_EC],TR_5ExemptionClaim[[#This Row],[ID_EC]])</f>
        <v>0</v>
      </c>
      <c r="AR93" s="40"/>
      <c r="AS93" s="58"/>
    </row>
    <row r="94" spans="1:45" ht="30" customHeight="1" x14ac:dyDescent="0.2">
      <c r="A94" s="82" t="s">
        <v>1008</v>
      </c>
      <c r="B94" s="46"/>
      <c r="C94" s="45"/>
      <c r="D94" s="45"/>
      <c r="E94" s="74"/>
      <c r="F9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4" s="47"/>
      <c r="H9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4" s="74"/>
      <c r="J94" s="75" t="str">
        <f>IF(TR_5ExemptionClaim[[#This Row],[If the collector is OTR, was the service provided under OTR?]]="Yes","Warning: Material collected under OTR service is not eligible for exemption.","")</f>
        <v/>
      </c>
      <c r="K94" s="47"/>
      <c r="L94" s="76"/>
      <c r="M94" s="47"/>
      <c r="N94" s="76"/>
      <c r="O94" s="104" t="str">
        <f>IF(TR_5ExemptionClaim[[#This Row],[If a CRPF handled the material, did the material undergo separation from other materials at the CRPF?]]="Yes","Warning: Material separated at a CRPF is not eligible for exemption.","")</f>
        <v/>
      </c>
      <c r="P94" s="47"/>
      <c r="Q94" s="47"/>
      <c r="R94" s="77" t="str">
        <f>IF(TR_5ExemptionClaim[[#This Row],[If the collector is OTR, was the service provided under OTR?]]="Yes","Not Eligible","")</f>
        <v/>
      </c>
      <c r="S94" s="77" t="str">
        <f>IF(TR_5ExemptionClaim[[#This Row],[If a CRPF handled the material, did the material undergo separation from other materials at the CRPF?]]="Yes","Not Eligible","")</f>
        <v/>
      </c>
      <c r="T94" s="79" t="str">
        <f>IF(TR_5ExemptionClaim[[#This Row],[Material Reporting Category (Exemption Claim)]]="","",(IFERROR(0*MATCH(TR_5ExemptionClaim[[#This Row],[Material Reporting Category (Exemption Claim)]],TR_2SuppliedPounds[Material Reporting Category],0),1)))</f>
        <v/>
      </c>
      <c r="U94" s="79">
        <f>IF(TR_5ExemptionClaim[[#This Row],[End Market Name]]="",0,IFERROR(MATCH(TR_5ExemptionClaim[[#This Row],[End Market Name]],TR_4EndMarkets[Lookup: material+market],0)*0,1))</f>
        <v>0</v>
      </c>
      <c r="V94" s="79">
        <f>IF(TR_5ExemptionClaim[[#This Row],[Subcheck: unique]]="",0,IF(COUNTIFS(TR_5ExemptionClaim[Subcheck: unique left],TR_5ExemptionClaim[[#This Row],[Subcheck: unique left]],TR_5ExemptionClaim[Subcheck: unique right],TR_5ExemptionClaim[[#This Row],[Subcheck: unique right]])&gt;1,1,0))</f>
        <v>0</v>
      </c>
      <c r="W9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4" s="79">
        <f>IF(TR_5ExemptionClaim[[#This Row],[Material Reporting Category (Exemption Claim)]]=0,0,IF(SUM(TR_5ExemptionClaim[[#This Row],[Subcheck: minimum entry]:[Subcheck: missing CRPF info]])=0,0,1))</f>
        <v>0</v>
      </c>
      <c r="Y94" s="79">
        <f>IF(TR_5ExemptionClaim[[#This Row],[Material Reporting Category (Exemption Claim)]]&lt;&gt;"",0,TR_5ExemptionClaim[[#This Row],[Subcheck: any inputs in row]])</f>
        <v>0</v>
      </c>
      <c r="Z94" s="79">
        <f>IF(TR_5ExemptionClaim[[#This Row],[How many of the pounds recycled through this pathway were supplied by this producer?]]&gt;TR_5ExemptionClaim[[#This Row],[Pounds Recycled through this Pathway]],1,0)</f>
        <v>0</v>
      </c>
      <c r="AA9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4" s="79">
        <f>IF(TR_5ExemptionClaim[[#This Row],[Collection Company Type (autofill)]]&lt;&gt;Lookups!$K$13,0,IF(TR_5ExemptionClaim[[#This Row],[If the collector is OTR, was the service provided under OTR?]]&lt;&gt;"",0,1))</f>
        <v>0</v>
      </c>
      <c r="AF94" s="79">
        <f>IF(TR_5ExemptionClaim[[#This Row],[Did a CRPF ever handle the material before it reached the end market?]]&lt;&gt;"Yes",0,IF(COUNTA(TR_5ExemptionClaim[[#This Row],[CRPF name]:[CRPF Separation Ineligibility Warning]])=3,0,1))</f>
        <v>0</v>
      </c>
      <c r="AG9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4" s="77" t="str">
        <f>LEFT(TR_5ExemptionClaim[[#This Row],[Subcheck: unique]],250)</f>
        <v/>
      </c>
      <c r="AI94" s="77" t="str">
        <f>RIGHT(TR_5ExemptionClaim[[#This Row],[Subcheck: unique]],250)</f>
        <v/>
      </c>
      <c r="AJ94" s="77">
        <f>IF(OR(TR_5ExemptionClaim[[#This Row],[Check: collection ineligibility]]="Not Eligible",TR_5ExemptionClaim[[#This Row],[Check: CRPF non-separation ineligibility]]="Not Eligible",SUM(TR_5ExemptionClaim[[#This Row],[Check: end market does not exist]:[Check pounds (Third Party Substantiated)]])&gt;0),0,1)</f>
        <v>1</v>
      </c>
      <c r="AK94" s="78" t="str">
        <f>IF(TR_5ExemptionClaim[[#This Row],[Did this producer arrange for the recycling collection?]]="No",TR_5ExemptionClaim[[#This Row],[ID_EC]],"")</f>
        <v/>
      </c>
      <c r="AL94" s="80" t="str">
        <f t="shared" si="2"/>
        <v/>
      </c>
      <c r="AM94" s="80" t="str">
        <f>IFERROR(INDEX(TR_2SuppliedPounds[DEQ 2B Notes],MATCH(TR_5ExemptionClaim[[#This Row],[Material Reporting Category (Exemption Claim)]],TR_2SuppliedPounds[Material Reporting Category],0)),"")</f>
        <v/>
      </c>
      <c r="AN94" s="80" t="str">
        <f>IFERROR(INDEX(TR_3Collectors[DEQ 3B Notes],MATCH(TR_5ExemptionClaim[[#This Row],[Collection or Transportation Service Provider Name]],TR_3Collectors[Collection or Transportation Service Provider Name],0)),"")</f>
        <v/>
      </c>
      <c r="AO94" s="80" t="str">
        <f>IFERROR(INDEX(TR_4EndMarkets[DEQ 4B Notes],MATCH(TR_5ExemptionClaim[[#This Row],[End Market Name]],TR_4EndMarkets[Lookup: material+market],0)),"")</f>
        <v/>
      </c>
      <c r="AP94" s="81" t="str">
        <f>IFERROR(INDEX(TR_6RecyclingArranger[DEQ 6B Notes],MATCH(TR_5ExemptionClaim[[#This Row],[ID_EC]],TR_6RecyclingArranger[ID_EC],0)),"")</f>
        <v/>
      </c>
      <c r="AQ94" s="81">
        <f>SUMIFS(TR_6RecyclingArranger[DEQ 6B Eligible Pounds],TR_6RecyclingArranger[ID_EC],TR_5ExemptionClaim[[#This Row],[ID_EC]])</f>
        <v>0</v>
      </c>
      <c r="AR94" s="40"/>
      <c r="AS94" s="58"/>
    </row>
    <row r="95" spans="1:45" ht="30" customHeight="1" x14ac:dyDescent="0.2">
      <c r="A95" s="82" t="s">
        <v>1009</v>
      </c>
      <c r="B95" s="46"/>
      <c r="C95" s="45"/>
      <c r="D95" s="45"/>
      <c r="E95" s="74"/>
      <c r="F9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5" s="47"/>
      <c r="H9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5" s="74"/>
      <c r="J95" s="75" t="str">
        <f>IF(TR_5ExemptionClaim[[#This Row],[If the collector is OTR, was the service provided under OTR?]]="Yes","Warning: Material collected under OTR service is not eligible for exemption.","")</f>
        <v/>
      </c>
      <c r="K95" s="47"/>
      <c r="L95" s="76"/>
      <c r="M95" s="47"/>
      <c r="N95" s="76"/>
      <c r="O95" s="104" t="str">
        <f>IF(TR_5ExemptionClaim[[#This Row],[If a CRPF handled the material, did the material undergo separation from other materials at the CRPF?]]="Yes","Warning: Material separated at a CRPF is not eligible for exemption.","")</f>
        <v/>
      </c>
      <c r="P95" s="47"/>
      <c r="Q95" s="47"/>
      <c r="R95" s="77" t="str">
        <f>IF(TR_5ExemptionClaim[[#This Row],[If the collector is OTR, was the service provided under OTR?]]="Yes","Not Eligible","")</f>
        <v/>
      </c>
      <c r="S95" s="77" t="str">
        <f>IF(TR_5ExemptionClaim[[#This Row],[If a CRPF handled the material, did the material undergo separation from other materials at the CRPF?]]="Yes","Not Eligible","")</f>
        <v/>
      </c>
      <c r="T95" s="79" t="str">
        <f>IF(TR_5ExemptionClaim[[#This Row],[Material Reporting Category (Exemption Claim)]]="","",(IFERROR(0*MATCH(TR_5ExemptionClaim[[#This Row],[Material Reporting Category (Exemption Claim)]],TR_2SuppliedPounds[Material Reporting Category],0),1)))</f>
        <v/>
      </c>
      <c r="U95" s="79">
        <f>IF(TR_5ExemptionClaim[[#This Row],[End Market Name]]="",0,IFERROR(MATCH(TR_5ExemptionClaim[[#This Row],[End Market Name]],TR_4EndMarkets[Lookup: material+market],0)*0,1))</f>
        <v>0</v>
      </c>
      <c r="V95" s="79">
        <f>IF(TR_5ExemptionClaim[[#This Row],[Subcheck: unique]]="",0,IF(COUNTIFS(TR_5ExemptionClaim[Subcheck: unique left],TR_5ExemptionClaim[[#This Row],[Subcheck: unique left]],TR_5ExemptionClaim[Subcheck: unique right],TR_5ExemptionClaim[[#This Row],[Subcheck: unique right]])&gt;1,1,0))</f>
        <v>0</v>
      </c>
      <c r="W9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5" s="79">
        <f>IF(TR_5ExemptionClaim[[#This Row],[Material Reporting Category (Exemption Claim)]]=0,0,IF(SUM(TR_5ExemptionClaim[[#This Row],[Subcheck: minimum entry]:[Subcheck: missing CRPF info]])=0,0,1))</f>
        <v>0</v>
      </c>
      <c r="Y95" s="79">
        <f>IF(TR_5ExemptionClaim[[#This Row],[Material Reporting Category (Exemption Claim)]]&lt;&gt;"",0,TR_5ExemptionClaim[[#This Row],[Subcheck: any inputs in row]])</f>
        <v>0</v>
      </c>
      <c r="Z95" s="79">
        <f>IF(TR_5ExemptionClaim[[#This Row],[How many of the pounds recycled through this pathway were supplied by this producer?]]&gt;TR_5ExemptionClaim[[#This Row],[Pounds Recycled through this Pathway]],1,0)</f>
        <v>0</v>
      </c>
      <c r="AA9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5" s="79">
        <f>IF(TR_5ExemptionClaim[[#This Row],[Collection Company Type (autofill)]]&lt;&gt;Lookups!$K$13,0,IF(TR_5ExemptionClaim[[#This Row],[If the collector is OTR, was the service provided under OTR?]]&lt;&gt;"",0,1))</f>
        <v>0</v>
      </c>
      <c r="AF95" s="79">
        <f>IF(TR_5ExemptionClaim[[#This Row],[Did a CRPF ever handle the material before it reached the end market?]]&lt;&gt;"Yes",0,IF(COUNTA(TR_5ExemptionClaim[[#This Row],[CRPF name]:[CRPF Separation Ineligibility Warning]])=3,0,1))</f>
        <v>0</v>
      </c>
      <c r="AG9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5" s="77" t="str">
        <f>LEFT(TR_5ExemptionClaim[[#This Row],[Subcheck: unique]],250)</f>
        <v/>
      </c>
      <c r="AI95" s="77" t="str">
        <f>RIGHT(TR_5ExemptionClaim[[#This Row],[Subcheck: unique]],250)</f>
        <v/>
      </c>
      <c r="AJ95" s="77">
        <f>IF(OR(TR_5ExemptionClaim[[#This Row],[Check: collection ineligibility]]="Not Eligible",TR_5ExemptionClaim[[#This Row],[Check: CRPF non-separation ineligibility]]="Not Eligible",SUM(TR_5ExemptionClaim[[#This Row],[Check: end market does not exist]:[Check pounds (Third Party Substantiated)]])&gt;0),0,1)</f>
        <v>1</v>
      </c>
      <c r="AK95" s="78" t="str">
        <f>IF(TR_5ExemptionClaim[[#This Row],[Did this producer arrange for the recycling collection?]]="No",TR_5ExemptionClaim[[#This Row],[ID_EC]],"")</f>
        <v/>
      </c>
      <c r="AL95" s="80" t="str">
        <f t="shared" si="2"/>
        <v/>
      </c>
      <c r="AM95" s="80" t="str">
        <f>IFERROR(INDEX(TR_2SuppliedPounds[DEQ 2B Notes],MATCH(TR_5ExemptionClaim[[#This Row],[Material Reporting Category (Exemption Claim)]],TR_2SuppliedPounds[Material Reporting Category],0)),"")</f>
        <v/>
      </c>
      <c r="AN95" s="80" t="str">
        <f>IFERROR(INDEX(TR_3Collectors[DEQ 3B Notes],MATCH(TR_5ExemptionClaim[[#This Row],[Collection or Transportation Service Provider Name]],TR_3Collectors[Collection or Transportation Service Provider Name],0)),"")</f>
        <v/>
      </c>
      <c r="AO95" s="80" t="str">
        <f>IFERROR(INDEX(TR_4EndMarkets[DEQ 4B Notes],MATCH(TR_5ExemptionClaim[[#This Row],[End Market Name]],TR_4EndMarkets[Lookup: material+market],0)),"")</f>
        <v/>
      </c>
      <c r="AP95" s="81" t="str">
        <f>IFERROR(INDEX(TR_6RecyclingArranger[DEQ 6B Notes],MATCH(TR_5ExemptionClaim[[#This Row],[ID_EC]],TR_6RecyclingArranger[ID_EC],0)),"")</f>
        <v/>
      </c>
      <c r="AQ95" s="81">
        <f>SUMIFS(TR_6RecyclingArranger[DEQ 6B Eligible Pounds],TR_6RecyclingArranger[ID_EC],TR_5ExemptionClaim[[#This Row],[ID_EC]])</f>
        <v>0</v>
      </c>
      <c r="AR95" s="40"/>
      <c r="AS95" s="58"/>
    </row>
    <row r="96" spans="1:45" ht="30" customHeight="1" x14ac:dyDescent="0.2">
      <c r="A96" s="82" t="s">
        <v>1010</v>
      </c>
      <c r="B96" s="46"/>
      <c r="C96" s="45"/>
      <c r="D96" s="45"/>
      <c r="E96" s="74"/>
      <c r="F96"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6" s="47"/>
      <c r="H96"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6" s="74"/>
      <c r="J96" s="75" t="str">
        <f>IF(TR_5ExemptionClaim[[#This Row],[If the collector is OTR, was the service provided under OTR?]]="Yes","Warning: Material collected under OTR service is not eligible for exemption.","")</f>
        <v/>
      </c>
      <c r="K96" s="47"/>
      <c r="L96" s="76"/>
      <c r="M96" s="47"/>
      <c r="N96" s="76"/>
      <c r="O96" s="104" t="str">
        <f>IF(TR_5ExemptionClaim[[#This Row],[If a CRPF handled the material, did the material undergo separation from other materials at the CRPF?]]="Yes","Warning: Material separated at a CRPF is not eligible for exemption.","")</f>
        <v/>
      </c>
      <c r="P96" s="47"/>
      <c r="Q96" s="47"/>
      <c r="R96" s="77" t="str">
        <f>IF(TR_5ExemptionClaim[[#This Row],[If the collector is OTR, was the service provided under OTR?]]="Yes","Not Eligible","")</f>
        <v/>
      </c>
      <c r="S96" s="77" t="str">
        <f>IF(TR_5ExemptionClaim[[#This Row],[If a CRPF handled the material, did the material undergo separation from other materials at the CRPF?]]="Yes","Not Eligible","")</f>
        <v/>
      </c>
      <c r="T96" s="79" t="str">
        <f>IF(TR_5ExemptionClaim[[#This Row],[Material Reporting Category (Exemption Claim)]]="","",(IFERROR(0*MATCH(TR_5ExemptionClaim[[#This Row],[Material Reporting Category (Exemption Claim)]],TR_2SuppliedPounds[Material Reporting Category],0),1)))</f>
        <v/>
      </c>
      <c r="U96" s="79">
        <f>IF(TR_5ExemptionClaim[[#This Row],[End Market Name]]="",0,IFERROR(MATCH(TR_5ExemptionClaim[[#This Row],[End Market Name]],TR_4EndMarkets[Lookup: material+market],0)*0,1))</f>
        <v>0</v>
      </c>
      <c r="V96" s="79">
        <f>IF(TR_5ExemptionClaim[[#This Row],[Subcheck: unique]]="",0,IF(COUNTIFS(TR_5ExemptionClaim[Subcheck: unique left],TR_5ExemptionClaim[[#This Row],[Subcheck: unique left]],TR_5ExemptionClaim[Subcheck: unique right],TR_5ExemptionClaim[[#This Row],[Subcheck: unique right]])&gt;1,1,0))</f>
        <v>0</v>
      </c>
      <c r="W96"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6" s="79">
        <f>IF(TR_5ExemptionClaim[[#This Row],[Material Reporting Category (Exemption Claim)]]=0,0,IF(SUM(TR_5ExemptionClaim[[#This Row],[Subcheck: minimum entry]:[Subcheck: missing CRPF info]])=0,0,1))</f>
        <v>0</v>
      </c>
      <c r="Y96" s="79">
        <f>IF(TR_5ExemptionClaim[[#This Row],[Material Reporting Category (Exemption Claim)]]&lt;&gt;"",0,TR_5ExemptionClaim[[#This Row],[Subcheck: any inputs in row]])</f>
        <v>0</v>
      </c>
      <c r="Z96" s="79">
        <f>IF(TR_5ExemptionClaim[[#This Row],[How many of the pounds recycled through this pathway were supplied by this producer?]]&gt;TR_5ExemptionClaim[[#This Row],[Pounds Recycled through this Pathway]],1,0)</f>
        <v>0</v>
      </c>
      <c r="AA96"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6"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6"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6"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6" s="79">
        <f>IF(TR_5ExemptionClaim[[#This Row],[Collection Company Type (autofill)]]&lt;&gt;Lookups!$K$13,0,IF(TR_5ExemptionClaim[[#This Row],[If the collector is OTR, was the service provided under OTR?]]&lt;&gt;"",0,1))</f>
        <v>0</v>
      </c>
      <c r="AF96" s="79">
        <f>IF(TR_5ExemptionClaim[[#This Row],[Did a CRPF ever handle the material before it reached the end market?]]&lt;&gt;"Yes",0,IF(COUNTA(TR_5ExemptionClaim[[#This Row],[CRPF name]:[CRPF Separation Ineligibility Warning]])=3,0,1))</f>
        <v>0</v>
      </c>
      <c r="AG96"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6" s="77" t="str">
        <f>LEFT(TR_5ExemptionClaim[[#This Row],[Subcheck: unique]],250)</f>
        <v/>
      </c>
      <c r="AI96" s="77" t="str">
        <f>RIGHT(TR_5ExemptionClaim[[#This Row],[Subcheck: unique]],250)</f>
        <v/>
      </c>
      <c r="AJ96" s="77">
        <f>IF(OR(TR_5ExemptionClaim[[#This Row],[Check: collection ineligibility]]="Not Eligible",TR_5ExemptionClaim[[#This Row],[Check: CRPF non-separation ineligibility]]="Not Eligible",SUM(TR_5ExemptionClaim[[#This Row],[Check: end market does not exist]:[Check pounds (Third Party Substantiated)]])&gt;0),0,1)</f>
        <v>1</v>
      </c>
      <c r="AK96" s="78" t="str">
        <f>IF(TR_5ExemptionClaim[[#This Row],[Did this producer arrange for the recycling collection?]]="No",TR_5ExemptionClaim[[#This Row],[ID_EC]],"")</f>
        <v/>
      </c>
      <c r="AL96" s="80" t="str">
        <f t="shared" si="2"/>
        <v/>
      </c>
      <c r="AM96" s="80" t="str">
        <f>IFERROR(INDEX(TR_2SuppliedPounds[DEQ 2B Notes],MATCH(TR_5ExemptionClaim[[#This Row],[Material Reporting Category (Exemption Claim)]],TR_2SuppliedPounds[Material Reporting Category],0)),"")</f>
        <v/>
      </c>
      <c r="AN96" s="80" t="str">
        <f>IFERROR(INDEX(TR_3Collectors[DEQ 3B Notes],MATCH(TR_5ExemptionClaim[[#This Row],[Collection or Transportation Service Provider Name]],TR_3Collectors[Collection or Transportation Service Provider Name],0)),"")</f>
        <v/>
      </c>
      <c r="AO96" s="80" t="str">
        <f>IFERROR(INDEX(TR_4EndMarkets[DEQ 4B Notes],MATCH(TR_5ExemptionClaim[[#This Row],[End Market Name]],TR_4EndMarkets[Lookup: material+market],0)),"")</f>
        <v/>
      </c>
      <c r="AP96" s="81" t="str">
        <f>IFERROR(INDEX(TR_6RecyclingArranger[DEQ 6B Notes],MATCH(TR_5ExemptionClaim[[#This Row],[ID_EC]],TR_6RecyclingArranger[ID_EC],0)),"")</f>
        <v/>
      </c>
      <c r="AQ96" s="81">
        <f>SUMIFS(TR_6RecyclingArranger[DEQ 6B Eligible Pounds],TR_6RecyclingArranger[ID_EC],TR_5ExemptionClaim[[#This Row],[ID_EC]])</f>
        <v>0</v>
      </c>
      <c r="AR96" s="40"/>
      <c r="AS96" s="58"/>
    </row>
    <row r="97" spans="1:45" ht="30" customHeight="1" x14ac:dyDescent="0.2">
      <c r="A97" s="82" t="s">
        <v>1011</v>
      </c>
      <c r="B97" s="46"/>
      <c r="C97" s="45"/>
      <c r="D97" s="45"/>
      <c r="E97" s="74"/>
      <c r="F97"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7" s="47"/>
      <c r="H97"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7" s="74"/>
      <c r="J97" s="75" t="str">
        <f>IF(TR_5ExemptionClaim[[#This Row],[If the collector is OTR, was the service provided under OTR?]]="Yes","Warning: Material collected under OTR service is not eligible for exemption.","")</f>
        <v/>
      </c>
      <c r="K97" s="47"/>
      <c r="L97" s="76"/>
      <c r="M97" s="47"/>
      <c r="N97" s="76"/>
      <c r="O97" s="104" t="str">
        <f>IF(TR_5ExemptionClaim[[#This Row],[If a CRPF handled the material, did the material undergo separation from other materials at the CRPF?]]="Yes","Warning: Material separated at a CRPF is not eligible for exemption.","")</f>
        <v/>
      </c>
      <c r="P97" s="47"/>
      <c r="Q97" s="47"/>
      <c r="R97" s="77" t="str">
        <f>IF(TR_5ExemptionClaim[[#This Row],[If the collector is OTR, was the service provided under OTR?]]="Yes","Not Eligible","")</f>
        <v/>
      </c>
      <c r="S97" s="77" t="str">
        <f>IF(TR_5ExemptionClaim[[#This Row],[If a CRPF handled the material, did the material undergo separation from other materials at the CRPF?]]="Yes","Not Eligible","")</f>
        <v/>
      </c>
      <c r="T97" s="79" t="str">
        <f>IF(TR_5ExemptionClaim[[#This Row],[Material Reporting Category (Exemption Claim)]]="","",(IFERROR(0*MATCH(TR_5ExemptionClaim[[#This Row],[Material Reporting Category (Exemption Claim)]],TR_2SuppliedPounds[Material Reporting Category],0),1)))</f>
        <v/>
      </c>
      <c r="U97" s="79">
        <f>IF(TR_5ExemptionClaim[[#This Row],[End Market Name]]="",0,IFERROR(MATCH(TR_5ExemptionClaim[[#This Row],[End Market Name]],TR_4EndMarkets[Lookup: material+market],0)*0,1))</f>
        <v>0</v>
      </c>
      <c r="V97" s="79">
        <f>IF(TR_5ExemptionClaim[[#This Row],[Subcheck: unique]]="",0,IF(COUNTIFS(TR_5ExemptionClaim[Subcheck: unique left],TR_5ExemptionClaim[[#This Row],[Subcheck: unique left]],TR_5ExemptionClaim[Subcheck: unique right],TR_5ExemptionClaim[[#This Row],[Subcheck: unique right]])&gt;1,1,0))</f>
        <v>0</v>
      </c>
      <c r="W97"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7" s="79">
        <f>IF(TR_5ExemptionClaim[[#This Row],[Material Reporting Category (Exemption Claim)]]=0,0,IF(SUM(TR_5ExemptionClaim[[#This Row],[Subcheck: minimum entry]:[Subcheck: missing CRPF info]])=0,0,1))</f>
        <v>0</v>
      </c>
      <c r="Y97" s="79">
        <f>IF(TR_5ExemptionClaim[[#This Row],[Material Reporting Category (Exemption Claim)]]&lt;&gt;"",0,TR_5ExemptionClaim[[#This Row],[Subcheck: any inputs in row]])</f>
        <v>0</v>
      </c>
      <c r="Z97" s="79">
        <f>IF(TR_5ExemptionClaim[[#This Row],[How many of the pounds recycled through this pathway were supplied by this producer?]]&gt;TR_5ExemptionClaim[[#This Row],[Pounds Recycled through this Pathway]],1,0)</f>
        <v>0</v>
      </c>
      <c r="AA97"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7"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7"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7"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7" s="79">
        <f>IF(TR_5ExemptionClaim[[#This Row],[Collection Company Type (autofill)]]&lt;&gt;Lookups!$K$13,0,IF(TR_5ExemptionClaim[[#This Row],[If the collector is OTR, was the service provided under OTR?]]&lt;&gt;"",0,1))</f>
        <v>0</v>
      </c>
      <c r="AF97" s="79">
        <f>IF(TR_5ExemptionClaim[[#This Row],[Did a CRPF ever handle the material before it reached the end market?]]&lt;&gt;"Yes",0,IF(COUNTA(TR_5ExemptionClaim[[#This Row],[CRPF name]:[CRPF Separation Ineligibility Warning]])=3,0,1))</f>
        <v>0</v>
      </c>
      <c r="AG97"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7" s="77" t="str">
        <f>LEFT(TR_5ExemptionClaim[[#This Row],[Subcheck: unique]],250)</f>
        <v/>
      </c>
      <c r="AI97" s="77" t="str">
        <f>RIGHT(TR_5ExemptionClaim[[#This Row],[Subcheck: unique]],250)</f>
        <v/>
      </c>
      <c r="AJ97" s="77">
        <f>IF(OR(TR_5ExemptionClaim[[#This Row],[Check: collection ineligibility]]="Not Eligible",TR_5ExemptionClaim[[#This Row],[Check: CRPF non-separation ineligibility]]="Not Eligible",SUM(TR_5ExemptionClaim[[#This Row],[Check: end market does not exist]:[Check pounds (Third Party Substantiated)]])&gt;0),0,1)</f>
        <v>1</v>
      </c>
      <c r="AK97" s="78" t="str">
        <f>IF(TR_5ExemptionClaim[[#This Row],[Did this producer arrange for the recycling collection?]]="No",TR_5ExemptionClaim[[#This Row],[ID_EC]],"")</f>
        <v/>
      </c>
      <c r="AL97" s="80" t="str">
        <f t="shared" si="2"/>
        <v/>
      </c>
      <c r="AM97" s="80" t="str">
        <f>IFERROR(INDEX(TR_2SuppliedPounds[DEQ 2B Notes],MATCH(TR_5ExemptionClaim[[#This Row],[Material Reporting Category (Exemption Claim)]],TR_2SuppliedPounds[Material Reporting Category],0)),"")</f>
        <v/>
      </c>
      <c r="AN97" s="80" t="str">
        <f>IFERROR(INDEX(TR_3Collectors[DEQ 3B Notes],MATCH(TR_5ExemptionClaim[[#This Row],[Collection or Transportation Service Provider Name]],TR_3Collectors[Collection or Transportation Service Provider Name],0)),"")</f>
        <v/>
      </c>
      <c r="AO97" s="80" t="str">
        <f>IFERROR(INDEX(TR_4EndMarkets[DEQ 4B Notes],MATCH(TR_5ExemptionClaim[[#This Row],[End Market Name]],TR_4EndMarkets[Lookup: material+market],0)),"")</f>
        <v/>
      </c>
      <c r="AP97" s="81" t="str">
        <f>IFERROR(INDEX(TR_6RecyclingArranger[DEQ 6B Notes],MATCH(TR_5ExemptionClaim[[#This Row],[ID_EC]],TR_6RecyclingArranger[ID_EC],0)),"")</f>
        <v/>
      </c>
      <c r="AQ97" s="81">
        <f>SUMIFS(TR_6RecyclingArranger[DEQ 6B Eligible Pounds],TR_6RecyclingArranger[ID_EC],TR_5ExemptionClaim[[#This Row],[ID_EC]])</f>
        <v>0</v>
      </c>
      <c r="AR97" s="40"/>
      <c r="AS97" s="58"/>
    </row>
    <row r="98" spans="1:45" ht="30" customHeight="1" x14ac:dyDescent="0.2">
      <c r="A98" s="82" t="s">
        <v>1012</v>
      </c>
      <c r="B98" s="46"/>
      <c r="C98" s="45"/>
      <c r="D98" s="45"/>
      <c r="E98" s="74"/>
      <c r="F98"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8" s="47"/>
      <c r="H98"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8" s="74"/>
      <c r="J98" s="75" t="str">
        <f>IF(TR_5ExemptionClaim[[#This Row],[If the collector is OTR, was the service provided under OTR?]]="Yes","Warning: Material collected under OTR service is not eligible for exemption.","")</f>
        <v/>
      </c>
      <c r="K98" s="47"/>
      <c r="L98" s="76"/>
      <c r="M98" s="47"/>
      <c r="N98" s="76"/>
      <c r="O98" s="104" t="str">
        <f>IF(TR_5ExemptionClaim[[#This Row],[If a CRPF handled the material, did the material undergo separation from other materials at the CRPF?]]="Yes","Warning: Material separated at a CRPF is not eligible for exemption.","")</f>
        <v/>
      </c>
      <c r="P98" s="47"/>
      <c r="Q98" s="47"/>
      <c r="R98" s="77" t="str">
        <f>IF(TR_5ExemptionClaim[[#This Row],[If the collector is OTR, was the service provided under OTR?]]="Yes","Not Eligible","")</f>
        <v/>
      </c>
      <c r="S98" s="77" t="str">
        <f>IF(TR_5ExemptionClaim[[#This Row],[If a CRPF handled the material, did the material undergo separation from other materials at the CRPF?]]="Yes","Not Eligible","")</f>
        <v/>
      </c>
      <c r="T98" s="79" t="str">
        <f>IF(TR_5ExemptionClaim[[#This Row],[Material Reporting Category (Exemption Claim)]]="","",(IFERROR(0*MATCH(TR_5ExemptionClaim[[#This Row],[Material Reporting Category (Exemption Claim)]],TR_2SuppliedPounds[Material Reporting Category],0),1)))</f>
        <v/>
      </c>
      <c r="U98" s="79">
        <f>IF(TR_5ExemptionClaim[[#This Row],[End Market Name]]="",0,IFERROR(MATCH(TR_5ExemptionClaim[[#This Row],[End Market Name]],TR_4EndMarkets[Lookup: material+market],0)*0,1))</f>
        <v>0</v>
      </c>
      <c r="V98" s="79">
        <f>IF(TR_5ExemptionClaim[[#This Row],[Subcheck: unique]]="",0,IF(COUNTIFS(TR_5ExemptionClaim[Subcheck: unique left],TR_5ExemptionClaim[[#This Row],[Subcheck: unique left]],TR_5ExemptionClaim[Subcheck: unique right],TR_5ExemptionClaim[[#This Row],[Subcheck: unique right]])&gt;1,1,0))</f>
        <v>0</v>
      </c>
      <c r="W98"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8" s="79">
        <f>IF(TR_5ExemptionClaim[[#This Row],[Material Reporting Category (Exemption Claim)]]=0,0,IF(SUM(TR_5ExemptionClaim[[#This Row],[Subcheck: minimum entry]:[Subcheck: missing CRPF info]])=0,0,1))</f>
        <v>0</v>
      </c>
      <c r="Y98" s="79">
        <f>IF(TR_5ExemptionClaim[[#This Row],[Material Reporting Category (Exemption Claim)]]&lt;&gt;"",0,TR_5ExemptionClaim[[#This Row],[Subcheck: any inputs in row]])</f>
        <v>0</v>
      </c>
      <c r="Z98" s="79">
        <f>IF(TR_5ExemptionClaim[[#This Row],[How many of the pounds recycled through this pathway were supplied by this producer?]]&gt;TR_5ExemptionClaim[[#This Row],[Pounds Recycled through this Pathway]],1,0)</f>
        <v>0</v>
      </c>
      <c r="AA98"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8"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8"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8"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8" s="79">
        <f>IF(TR_5ExemptionClaim[[#This Row],[Collection Company Type (autofill)]]&lt;&gt;Lookups!$K$13,0,IF(TR_5ExemptionClaim[[#This Row],[If the collector is OTR, was the service provided under OTR?]]&lt;&gt;"",0,1))</f>
        <v>0</v>
      </c>
      <c r="AF98" s="79">
        <f>IF(TR_5ExemptionClaim[[#This Row],[Did a CRPF ever handle the material before it reached the end market?]]&lt;&gt;"Yes",0,IF(COUNTA(TR_5ExemptionClaim[[#This Row],[CRPF name]:[CRPF Separation Ineligibility Warning]])=3,0,1))</f>
        <v>0</v>
      </c>
      <c r="AG98"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8" s="77" t="str">
        <f>LEFT(TR_5ExemptionClaim[[#This Row],[Subcheck: unique]],250)</f>
        <v/>
      </c>
      <c r="AI98" s="77" t="str">
        <f>RIGHT(TR_5ExemptionClaim[[#This Row],[Subcheck: unique]],250)</f>
        <v/>
      </c>
      <c r="AJ98" s="77">
        <f>IF(OR(TR_5ExemptionClaim[[#This Row],[Check: collection ineligibility]]="Not Eligible",TR_5ExemptionClaim[[#This Row],[Check: CRPF non-separation ineligibility]]="Not Eligible",SUM(TR_5ExemptionClaim[[#This Row],[Check: end market does not exist]:[Check pounds (Third Party Substantiated)]])&gt;0),0,1)</f>
        <v>1</v>
      </c>
      <c r="AK98" s="78" t="str">
        <f>IF(TR_5ExemptionClaim[[#This Row],[Did this producer arrange for the recycling collection?]]="No",TR_5ExemptionClaim[[#This Row],[ID_EC]],"")</f>
        <v/>
      </c>
      <c r="AL98" s="80" t="str">
        <f t="shared" si="2"/>
        <v/>
      </c>
      <c r="AM98" s="80" t="str">
        <f>IFERROR(INDEX(TR_2SuppliedPounds[DEQ 2B Notes],MATCH(TR_5ExemptionClaim[[#This Row],[Material Reporting Category (Exemption Claim)]],TR_2SuppliedPounds[Material Reporting Category],0)),"")</f>
        <v/>
      </c>
      <c r="AN98" s="80" t="str">
        <f>IFERROR(INDEX(TR_3Collectors[DEQ 3B Notes],MATCH(TR_5ExemptionClaim[[#This Row],[Collection or Transportation Service Provider Name]],TR_3Collectors[Collection or Transportation Service Provider Name],0)),"")</f>
        <v/>
      </c>
      <c r="AO98" s="80" t="str">
        <f>IFERROR(INDEX(TR_4EndMarkets[DEQ 4B Notes],MATCH(TR_5ExemptionClaim[[#This Row],[End Market Name]],TR_4EndMarkets[Lookup: material+market],0)),"")</f>
        <v/>
      </c>
      <c r="AP98" s="81" t="str">
        <f>IFERROR(INDEX(TR_6RecyclingArranger[DEQ 6B Notes],MATCH(TR_5ExemptionClaim[[#This Row],[ID_EC]],TR_6RecyclingArranger[ID_EC],0)),"")</f>
        <v/>
      </c>
      <c r="AQ98" s="81">
        <f>SUMIFS(TR_6RecyclingArranger[DEQ 6B Eligible Pounds],TR_6RecyclingArranger[ID_EC],TR_5ExemptionClaim[[#This Row],[ID_EC]])</f>
        <v>0</v>
      </c>
      <c r="AR98" s="40"/>
      <c r="AS98" s="58"/>
    </row>
    <row r="99" spans="1:45" ht="30" customHeight="1" x14ac:dyDescent="0.2">
      <c r="A99" s="82" t="s">
        <v>1013</v>
      </c>
      <c r="B99" s="46"/>
      <c r="C99" s="45"/>
      <c r="D99" s="45"/>
      <c r="E99" s="74"/>
      <c r="F99"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99" s="47"/>
      <c r="H99"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99" s="74"/>
      <c r="J99" s="75" t="str">
        <f>IF(TR_5ExemptionClaim[[#This Row],[If the collector is OTR, was the service provided under OTR?]]="Yes","Warning: Material collected under OTR service is not eligible for exemption.","")</f>
        <v/>
      </c>
      <c r="K99" s="47"/>
      <c r="L99" s="76"/>
      <c r="M99" s="47"/>
      <c r="N99" s="76"/>
      <c r="O99" s="104" t="str">
        <f>IF(TR_5ExemptionClaim[[#This Row],[If a CRPF handled the material, did the material undergo separation from other materials at the CRPF?]]="Yes","Warning: Material separated at a CRPF is not eligible for exemption.","")</f>
        <v/>
      </c>
      <c r="P99" s="47"/>
      <c r="Q99" s="47"/>
      <c r="R99" s="77" t="str">
        <f>IF(TR_5ExemptionClaim[[#This Row],[If the collector is OTR, was the service provided under OTR?]]="Yes","Not Eligible","")</f>
        <v/>
      </c>
      <c r="S99" s="77" t="str">
        <f>IF(TR_5ExemptionClaim[[#This Row],[If a CRPF handled the material, did the material undergo separation from other materials at the CRPF?]]="Yes","Not Eligible","")</f>
        <v/>
      </c>
      <c r="T99" s="79" t="str">
        <f>IF(TR_5ExemptionClaim[[#This Row],[Material Reporting Category (Exemption Claim)]]="","",(IFERROR(0*MATCH(TR_5ExemptionClaim[[#This Row],[Material Reporting Category (Exemption Claim)]],TR_2SuppliedPounds[Material Reporting Category],0),1)))</f>
        <v/>
      </c>
      <c r="U99" s="79">
        <f>IF(TR_5ExemptionClaim[[#This Row],[End Market Name]]="",0,IFERROR(MATCH(TR_5ExemptionClaim[[#This Row],[End Market Name]],TR_4EndMarkets[Lookup: material+market],0)*0,1))</f>
        <v>0</v>
      </c>
      <c r="V99" s="79">
        <f>IF(TR_5ExemptionClaim[[#This Row],[Subcheck: unique]]="",0,IF(COUNTIFS(TR_5ExemptionClaim[Subcheck: unique left],TR_5ExemptionClaim[[#This Row],[Subcheck: unique left]],TR_5ExemptionClaim[Subcheck: unique right],TR_5ExemptionClaim[[#This Row],[Subcheck: unique right]])&gt;1,1,0))</f>
        <v>0</v>
      </c>
      <c r="W99"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99" s="79">
        <f>IF(TR_5ExemptionClaim[[#This Row],[Material Reporting Category (Exemption Claim)]]=0,0,IF(SUM(TR_5ExemptionClaim[[#This Row],[Subcheck: minimum entry]:[Subcheck: missing CRPF info]])=0,0,1))</f>
        <v>0</v>
      </c>
      <c r="Y99" s="79">
        <f>IF(TR_5ExemptionClaim[[#This Row],[Material Reporting Category (Exemption Claim)]]&lt;&gt;"",0,TR_5ExemptionClaim[[#This Row],[Subcheck: any inputs in row]])</f>
        <v>0</v>
      </c>
      <c r="Z99" s="79">
        <f>IF(TR_5ExemptionClaim[[#This Row],[How many of the pounds recycled through this pathway were supplied by this producer?]]&gt;TR_5ExemptionClaim[[#This Row],[Pounds Recycled through this Pathway]],1,0)</f>
        <v>0</v>
      </c>
      <c r="AA99"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99"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99"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99"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99" s="79">
        <f>IF(TR_5ExemptionClaim[[#This Row],[Collection Company Type (autofill)]]&lt;&gt;Lookups!$K$13,0,IF(TR_5ExemptionClaim[[#This Row],[If the collector is OTR, was the service provided under OTR?]]&lt;&gt;"",0,1))</f>
        <v>0</v>
      </c>
      <c r="AF99" s="79">
        <f>IF(TR_5ExemptionClaim[[#This Row],[Did a CRPF ever handle the material before it reached the end market?]]&lt;&gt;"Yes",0,IF(COUNTA(TR_5ExemptionClaim[[#This Row],[CRPF name]:[CRPF Separation Ineligibility Warning]])=3,0,1))</f>
        <v>0</v>
      </c>
      <c r="AG99"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99" s="77" t="str">
        <f>LEFT(TR_5ExemptionClaim[[#This Row],[Subcheck: unique]],250)</f>
        <v/>
      </c>
      <c r="AI99" s="77" t="str">
        <f>RIGHT(TR_5ExemptionClaim[[#This Row],[Subcheck: unique]],250)</f>
        <v/>
      </c>
      <c r="AJ99" s="77">
        <f>IF(OR(TR_5ExemptionClaim[[#This Row],[Check: collection ineligibility]]="Not Eligible",TR_5ExemptionClaim[[#This Row],[Check: CRPF non-separation ineligibility]]="Not Eligible",SUM(TR_5ExemptionClaim[[#This Row],[Check: end market does not exist]:[Check pounds (Third Party Substantiated)]])&gt;0),0,1)</f>
        <v>1</v>
      </c>
      <c r="AK99" s="78" t="str">
        <f>IF(TR_5ExemptionClaim[[#This Row],[Did this producer arrange for the recycling collection?]]="No",TR_5ExemptionClaim[[#This Row],[ID_EC]],"")</f>
        <v/>
      </c>
      <c r="AL99" s="80" t="str">
        <f t="shared" si="2"/>
        <v/>
      </c>
      <c r="AM99" s="80" t="str">
        <f>IFERROR(INDEX(TR_2SuppliedPounds[DEQ 2B Notes],MATCH(TR_5ExemptionClaim[[#This Row],[Material Reporting Category (Exemption Claim)]],TR_2SuppliedPounds[Material Reporting Category],0)),"")</f>
        <v/>
      </c>
      <c r="AN99" s="80" t="str">
        <f>IFERROR(INDEX(TR_3Collectors[DEQ 3B Notes],MATCH(TR_5ExemptionClaim[[#This Row],[Collection or Transportation Service Provider Name]],TR_3Collectors[Collection or Transportation Service Provider Name],0)),"")</f>
        <v/>
      </c>
      <c r="AO99" s="80" t="str">
        <f>IFERROR(INDEX(TR_4EndMarkets[DEQ 4B Notes],MATCH(TR_5ExemptionClaim[[#This Row],[End Market Name]],TR_4EndMarkets[Lookup: material+market],0)),"")</f>
        <v/>
      </c>
      <c r="AP99" s="81" t="str">
        <f>IFERROR(INDEX(TR_6RecyclingArranger[DEQ 6B Notes],MATCH(TR_5ExemptionClaim[[#This Row],[ID_EC]],TR_6RecyclingArranger[ID_EC],0)),"")</f>
        <v/>
      </c>
      <c r="AQ99" s="81">
        <f>SUMIFS(TR_6RecyclingArranger[DEQ 6B Eligible Pounds],TR_6RecyclingArranger[ID_EC],TR_5ExemptionClaim[[#This Row],[ID_EC]])</f>
        <v>0</v>
      </c>
      <c r="AR99" s="40"/>
      <c r="AS99" s="58"/>
    </row>
    <row r="100" spans="1:45" ht="30" customHeight="1" x14ac:dyDescent="0.2">
      <c r="A100" s="82" t="s">
        <v>1014</v>
      </c>
      <c r="B100" s="46"/>
      <c r="C100" s="45"/>
      <c r="D100" s="45"/>
      <c r="E100" s="74"/>
      <c r="F100"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0" s="47"/>
      <c r="H100"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0" s="74"/>
      <c r="J100" s="75" t="str">
        <f>IF(TR_5ExemptionClaim[[#This Row],[If the collector is OTR, was the service provided under OTR?]]="Yes","Warning: Material collected under OTR service is not eligible for exemption.","")</f>
        <v/>
      </c>
      <c r="K100" s="47"/>
      <c r="L100" s="76"/>
      <c r="M100" s="47"/>
      <c r="N100" s="76"/>
      <c r="O100" s="104" t="str">
        <f>IF(TR_5ExemptionClaim[[#This Row],[If a CRPF handled the material, did the material undergo separation from other materials at the CRPF?]]="Yes","Warning: Material separated at a CRPF is not eligible for exemption.","")</f>
        <v/>
      </c>
      <c r="P100" s="47"/>
      <c r="Q100" s="47"/>
      <c r="R100" s="77" t="str">
        <f>IF(TR_5ExemptionClaim[[#This Row],[If the collector is OTR, was the service provided under OTR?]]="Yes","Not Eligible","")</f>
        <v/>
      </c>
      <c r="S100" s="77" t="str">
        <f>IF(TR_5ExemptionClaim[[#This Row],[If a CRPF handled the material, did the material undergo separation from other materials at the CRPF?]]="Yes","Not Eligible","")</f>
        <v/>
      </c>
      <c r="T100" s="79" t="str">
        <f>IF(TR_5ExemptionClaim[[#This Row],[Material Reporting Category (Exemption Claim)]]="","",(IFERROR(0*MATCH(TR_5ExemptionClaim[[#This Row],[Material Reporting Category (Exemption Claim)]],TR_2SuppliedPounds[Material Reporting Category],0),1)))</f>
        <v/>
      </c>
      <c r="U100" s="79">
        <f>IF(TR_5ExemptionClaim[[#This Row],[End Market Name]]="",0,IFERROR(MATCH(TR_5ExemptionClaim[[#This Row],[End Market Name]],TR_4EndMarkets[Lookup: material+market],0)*0,1))</f>
        <v>0</v>
      </c>
      <c r="V100" s="79">
        <f>IF(TR_5ExemptionClaim[[#This Row],[Subcheck: unique]]="",0,IF(COUNTIFS(TR_5ExemptionClaim[Subcheck: unique left],TR_5ExemptionClaim[[#This Row],[Subcheck: unique left]],TR_5ExemptionClaim[Subcheck: unique right],TR_5ExemptionClaim[[#This Row],[Subcheck: unique right]])&gt;1,1,0))</f>
        <v>0</v>
      </c>
      <c r="W100"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0" s="79">
        <f>IF(TR_5ExemptionClaim[[#This Row],[Material Reporting Category (Exemption Claim)]]=0,0,IF(SUM(TR_5ExemptionClaim[[#This Row],[Subcheck: minimum entry]:[Subcheck: missing CRPF info]])=0,0,1))</f>
        <v>0</v>
      </c>
      <c r="Y100" s="79">
        <f>IF(TR_5ExemptionClaim[[#This Row],[Material Reporting Category (Exemption Claim)]]&lt;&gt;"",0,TR_5ExemptionClaim[[#This Row],[Subcheck: any inputs in row]])</f>
        <v>0</v>
      </c>
      <c r="Z100" s="79">
        <f>IF(TR_5ExemptionClaim[[#This Row],[How many of the pounds recycled through this pathway were supplied by this producer?]]&gt;TR_5ExemptionClaim[[#This Row],[Pounds Recycled through this Pathway]],1,0)</f>
        <v>0</v>
      </c>
      <c r="AA100"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0"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0"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0"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0" s="79">
        <f>IF(TR_5ExemptionClaim[[#This Row],[Collection Company Type (autofill)]]&lt;&gt;Lookups!$K$13,0,IF(TR_5ExemptionClaim[[#This Row],[If the collector is OTR, was the service provided under OTR?]]&lt;&gt;"",0,1))</f>
        <v>0</v>
      </c>
      <c r="AF100" s="79">
        <f>IF(TR_5ExemptionClaim[[#This Row],[Did a CRPF ever handle the material before it reached the end market?]]&lt;&gt;"Yes",0,IF(COUNTA(TR_5ExemptionClaim[[#This Row],[CRPF name]:[CRPF Separation Ineligibility Warning]])=3,0,1))</f>
        <v>0</v>
      </c>
      <c r="AG100"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0" s="77" t="str">
        <f>LEFT(TR_5ExemptionClaim[[#This Row],[Subcheck: unique]],250)</f>
        <v/>
      </c>
      <c r="AI100" s="77" t="str">
        <f>RIGHT(TR_5ExemptionClaim[[#This Row],[Subcheck: unique]],250)</f>
        <v/>
      </c>
      <c r="AJ100" s="77">
        <f>IF(OR(TR_5ExemptionClaim[[#This Row],[Check: collection ineligibility]]="Not Eligible",TR_5ExemptionClaim[[#This Row],[Check: CRPF non-separation ineligibility]]="Not Eligible",SUM(TR_5ExemptionClaim[[#This Row],[Check: end market does not exist]:[Check pounds (Third Party Substantiated)]])&gt;0),0,1)</f>
        <v>1</v>
      </c>
      <c r="AK100" s="78" t="str">
        <f>IF(TR_5ExemptionClaim[[#This Row],[Did this producer arrange for the recycling collection?]]="No",TR_5ExemptionClaim[[#This Row],[ID_EC]],"")</f>
        <v/>
      </c>
      <c r="AL100" s="80" t="str">
        <f t="shared" si="2"/>
        <v/>
      </c>
      <c r="AM100" s="80" t="str">
        <f>IFERROR(INDEX(TR_2SuppliedPounds[DEQ 2B Notes],MATCH(TR_5ExemptionClaim[[#This Row],[Material Reporting Category (Exemption Claim)]],TR_2SuppliedPounds[Material Reporting Category],0)),"")</f>
        <v/>
      </c>
      <c r="AN100" s="80" t="str">
        <f>IFERROR(INDEX(TR_3Collectors[DEQ 3B Notes],MATCH(TR_5ExemptionClaim[[#This Row],[Collection or Transportation Service Provider Name]],TR_3Collectors[Collection or Transportation Service Provider Name],0)),"")</f>
        <v/>
      </c>
      <c r="AO100" s="80" t="str">
        <f>IFERROR(INDEX(TR_4EndMarkets[DEQ 4B Notes],MATCH(TR_5ExemptionClaim[[#This Row],[End Market Name]],TR_4EndMarkets[Lookup: material+market],0)),"")</f>
        <v/>
      </c>
      <c r="AP100" s="81" t="str">
        <f>IFERROR(INDEX(TR_6RecyclingArranger[DEQ 6B Notes],MATCH(TR_5ExemptionClaim[[#This Row],[ID_EC]],TR_6RecyclingArranger[ID_EC],0)),"")</f>
        <v/>
      </c>
      <c r="AQ100" s="81">
        <f>SUMIFS(TR_6RecyclingArranger[DEQ 6B Eligible Pounds],TR_6RecyclingArranger[ID_EC],TR_5ExemptionClaim[[#This Row],[ID_EC]])</f>
        <v>0</v>
      </c>
      <c r="AR100" s="40"/>
      <c r="AS100" s="58"/>
    </row>
    <row r="101" spans="1:45" ht="30" customHeight="1" x14ac:dyDescent="0.2">
      <c r="A101" s="82" t="s">
        <v>1015</v>
      </c>
      <c r="B101" s="46"/>
      <c r="C101" s="45"/>
      <c r="D101" s="45"/>
      <c r="E101" s="74"/>
      <c r="F101"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1" s="47"/>
      <c r="H101"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1" s="74"/>
      <c r="J101" s="75" t="str">
        <f>IF(TR_5ExemptionClaim[[#This Row],[If the collector is OTR, was the service provided under OTR?]]="Yes","Warning: Material collected under OTR service is not eligible for exemption.","")</f>
        <v/>
      </c>
      <c r="K101" s="47"/>
      <c r="L101" s="76"/>
      <c r="M101" s="47"/>
      <c r="N101" s="76"/>
      <c r="O101" s="104" t="str">
        <f>IF(TR_5ExemptionClaim[[#This Row],[If a CRPF handled the material, did the material undergo separation from other materials at the CRPF?]]="Yes","Warning: Material separated at a CRPF is not eligible for exemption.","")</f>
        <v/>
      </c>
      <c r="P101" s="47"/>
      <c r="Q101" s="47"/>
      <c r="R101" s="77" t="str">
        <f>IF(TR_5ExemptionClaim[[#This Row],[If the collector is OTR, was the service provided under OTR?]]="Yes","Not Eligible","")</f>
        <v/>
      </c>
      <c r="S101" s="77" t="str">
        <f>IF(TR_5ExemptionClaim[[#This Row],[If a CRPF handled the material, did the material undergo separation from other materials at the CRPF?]]="Yes","Not Eligible","")</f>
        <v/>
      </c>
      <c r="T101" s="79" t="str">
        <f>IF(TR_5ExemptionClaim[[#This Row],[Material Reporting Category (Exemption Claim)]]="","",(IFERROR(0*MATCH(TR_5ExemptionClaim[[#This Row],[Material Reporting Category (Exemption Claim)]],TR_2SuppliedPounds[Material Reporting Category],0),1)))</f>
        <v/>
      </c>
      <c r="U101" s="79">
        <f>IF(TR_5ExemptionClaim[[#This Row],[End Market Name]]="",0,IFERROR(MATCH(TR_5ExemptionClaim[[#This Row],[End Market Name]],TR_4EndMarkets[Lookup: material+market],0)*0,1))</f>
        <v>0</v>
      </c>
      <c r="V101" s="79">
        <f>IF(TR_5ExemptionClaim[[#This Row],[Subcheck: unique]]="",0,IF(COUNTIFS(TR_5ExemptionClaim[Subcheck: unique left],TR_5ExemptionClaim[[#This Row],[Subcheck: unique left]],TR_5ExemptionClaim[Subcheck: unique right],TR_5ExemptionClaim[[#This Row],[Subcheck: unique right]])&gt;1,1,0))</f>
        <v>0</v>
      </c>
      <c r="W101"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1" s="79">
        <f>IF(TR_5ExemptionClaim[[#This Row],[Material Reporting Category (Exemption Claim)]]=0,0,IF(SUM(TR_5ExemptionClaim[[#This Row],[Subcheck: minimum entry]:[Subcheck: missing CRPF info]])=0,0,1))</f>
        <v>0</v>
      </c>
      <c r="Y101" s="79">
        <f>IF(TR_5ExemptionClaim[[#This Row],[Material Reporting Category (Exemption Claim)]]&lt;&gt;"",0,TR_5ExemptionClaim[[#This Row],[Subcheck: any inputs in row]])</f>
        <v>0</v>
      </c>
      <c r="Z101" s="79">
        <f>IF(TR_5ExemptionClaim[[#This Row],[How many of the pounds recycled through this pathway were supplied by this producer?]]&gt;TR_5ExemptionClaim[[#This Row],[Pounds Recycled through this Pathway]],1,0)</f>
        <v>0</v>
      </c>
      <c r="AA101"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1"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1"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1"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1" s="79">
        <f>IF(TR_5ExemptionClaim[[#This Row],[Collection Company Type (autofill)]]&lt;&gt;Lookups!$K$13,0,IF(TR_5ExemptionClaim[[#This Row],[If the collector is OTR, was the service provided under OTR?]]&lt;&gt;"",0,1))</f>
        <v>0</v>
      </c>
      <c r="AF101" s="79">
        <f>IF(TR_5ExemptionClaim[[#This Row],[Did a CRPF ever handle the material before it reached the end market?]]&lt;&gt;"Yes",0,IF(COUNTA(TR_5ExemptionClaim[[#This Row],[CRPF name]:[CRPF Separation Ineligibility Warning]])=3,0,1))</f>
        <v>0</v>
      </c>
      <c r="AG101"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1" s="77" t="str">
        <f>LEFT(TR_5ExemptionClaim[[#This Row],[Subcheck: unique]],250)</f>
        <v/>
      </c>
      <c r="AI101" s="77" t="str">
        <f>RIGHT(TR_5ExemptionClaim[[#This Row],[Subcheck: unique]],250)</f>
        <v/>
      </c>
      <c r="AJ101" s="77">
        <f>IF(OR(TR_5ExemptionClaim[[#This Row],[Check: collection ineligibility]]="Not Eligible",TR_5ExemptionClaim[[#This Row],[Check: CRPF non-separation ineligibility]]="Not Eligible",SUM(TR_5ExemptionClaim[[#This Row],[Check: end market does not exist]:[Check pounds (Third Party Substantiated)]])&gt;0),0,1)</f>
        <v>1</v>
      </c>
      <c r="AK101" s="78" t="str">
        <f>IF(TR_5ExemptionClaim[[#This Row],[Did this producer arrange for the recycling collection?]]="No",TR_5ExemptionClaim[[#This Row],[ID_EC]],"")</f>
        <v/>
      </c>
      <c r="AL101" s="80" t="str">
        <f t="shared" si="2"/>
        <v/>
      </c>
      <c r="AM101" s="80" t="str">
        <f>IFERROR(INDEX(TR_2SuppliedPounds[DEQ 2B Notes],MATCH(TR_5ExemptionClaim[[#This Row],[Material Reporting Category (Exemption Claim)]],TR_2SuppliedPounds[Material Reporting Category],0)),"")</f>
        <v/>
      </c>
      <c r="AN101" s="80" t="str">
        <f>IFERROR(INDEX(TR_3Collectors[DEQ 3B Notes],MATCH(TR_5ExemptionClaim[[#This Row],[Collection or Transportation Service Provider Name]],TR_3Collectors[Collection or Transportation Service Provider Name],0)),"")</f>
        <v/>
      </c>
      <c r="AO101" s="80" t="str">
        <f>IFERROR(INDEX(TR_4EndMarkets[DEQ 4B Notes],MATCH(TR_5ExemptionClaim[[#This Row],[End Market Name]],TR_4EndMarkets[Lookup: material+market],0)),"")</f>
        <v/>
      </c>
      <c r="AP101" s="81" t="str">
        <f>IFERROR(INDEX(TR_6RecyclingArranger[DEQ 6B Notes],MATCH(TR_5ExemptionClaim[[#This Row],[ID_EC]],TR_6RecyclingArranger[ID_EC],0)),"")</f>
        <v/>
      </c>
      <c r="AQ101" s="81">
        <f>SUMIFS(TR_6RecyclingArranger[DEQ 6B Eligible Pounds],TR_6RecyclingArranger[ID_EC],TR_5ExemptionClaim[[#This Row],[ID_EC]])</f>
        <v>0</v>
      </c>
      <c r="AR101" s="40"/>
      <c r="AS101" s="58"/>
    </row>
    <row r="102" spans="1:45" ht="30" customHeight="1" x14ac:dyDescent="0.2">
      <c r="A102" s="82" t="s">
        <v>1016</v>
      </c>
      <c r="B102" s="46"/>
      <c r="C102" s="45"/>
      <c r="D102" s="45"/>
      <c r="E102" s="74"/>
      <c r="F102"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2" s="47"/>
      <c r="H102"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2" s="74"/>
      <c r="J102" s="75" t="str">
        <f>IF(TR_5ExemptionClaim[[#This Row],[If the collector is OTR, was the service provided under OTR?]]="Yes","Warning: Material collected under OTR service is not eligible for exemption.","")</f>
        <v/>
      </c>
      <c r="K102" s="47"/>
      <c r="L102" s="76"/>
      <c r="M102" s="47"/>
      <c r="N102" s="76"/>
      <c r="O102" s="104" t="str">
        <f>IF(TR_5ExemptionClaim[[#This Row],[If a CRPF handled the material, did the material undergo separation from other materials at the CRPF?]]="Yes","Warning: Material separated at a CRPF is not eligible for exemption.","")</f>
        <v/>
      </c>
      <c r="P102" s="47"/>
      <c r="Q102" s="47"/>
      <c r="R102" s="77" t="str">
        <f>IF(TR_5ExemptionClaim[[#This Row],[If the collector is OTR, was the service provided under OTR?]]="Yes","Not Eligible","")</f>
        <v/>
      </c>
      <c r="S102" s="77" t="str">
        <f>IF(TR_5ExemptionClaim[[#This Row],[If a CRPF handled the material, did the material undergo separation from other materials at the CRPF?]]="Yes","Not Eligible","")</f>
        <v/>
      </c>
      <c r="T102" s="79" t="str">
        <f>IF(TR_5ExemptionClaim[[#This Row],[Material Reporting Category (Exemption Claim)]]="","",(IFERROR(0*MATCH(TR_5ExemptionClaim[[#This Row],[Material Reporting Category (Exemption Claim)]],TR_2SuppliedPounds[Material Reporting Category],0),1)))</f>
        <v/>
      </c>
      <c r="U102" s="79">
        <f>IF(TR_5ExemptionClaim[[#This Row],[End Market Name]]="",0,IFERROR(MATCH(TR_5ExemptionClaim[[#This Row],[End Market Name]],TR_4EndMarkets[Lookup: material+market],0)*0,1))</f>
        <v>0</v>
      </c>
      <c r="V102" s="79">
        <f>IF(TR_5ExemptionClaim[[#This Row],[Subcheck: unique]]="",0,IF(COUNTIFS(TR_5ExemptionClaim[Subcheck: unique left],TR_5ExemptionClaim[[#This Row],[Subcheck: unique left]],TR_5ExemptionClaim[Subcheck: unique right],TR_5ExemptionClaim[[#This Row],[Subcheck: unique right]])&gt;1,1,0))</f>
        <v>0</v>
      </c>
      <c r="W102"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2" s="79">
        <f>IF(TR_5ExemptionClaim[[#This Row],[Material Reporting Category (Exemption Claim)]]=0,0,IF(SUM(TR_5ExemptionClaim[[#This Row],[Subcheck: minimum entry]:[Subcheck: missing CRPF info]])=0,0,1))</f>
        <v>0</v>
      </c>
      <c r="Y102" s="79">
        <f>IF(TR_5ExemptionClaim[[#This Row],[Material Reporting Category (Exemption Claim)]]&lt;&gt;"",0,TR_5ExemptionClaim[[#This Row],[Subcheck: any inputs in row]])</f>
        <v>0</v>
      </c>
      <c r="Z102" s="79">
        <f>IF(TR_5ExemptionClaim[[#This Row],[How many of the pounds recycled through this pathway were supplied by this producer?]]&gt;TR_5ExemptionClaim[[#This Row],[Pounds Recycled through this Pathway]],1,0)</f>
        <v>0</v>
      </c>
      <c r="AA102"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2"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2"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2"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2" s="79">
        <f>IF(TR_5ExemptionClaim[[#This Row],[Collection Company Type (autofill)]]&lt;&gt;Lookups!$K$13,0,IF(TR_5ExemptionClaim[[#This Row],[If the collector is OTR, was the service provided under OTR?]]&lt;&gt;"",0,1))</f>
        <v>0</v>
      </c>
      <c r="AF102" s="79">
        <f>IF(TR_5ExemptionClaim[[#This Row],[Did a CRPF ever handle the material before it reached the end market?]]&lt;&gt;"Yes",0,IF(COUNTA(TR_5ExemptionClaim[[#This Row],[CRPF name]:[CRPF Separation Ineligibility Warning]])=3,0,1))</f>
        <v>0</v>
      </c>
      <c r="AG102"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2" s="77" t="str">
        <f>LEFT(TR_5ExemptionClaim[[#This Row],[Subcheck: unique]],250)</f>
        <v/>
      </c>
      <c r="AI102" s="77" t="str">
        <f>RIGHT(TR_5ExemptionClaim[[#This Row],[Subcheck: unique]],250)</f>
        <v/>
      </c>
      <c r="AJ102" s="77">
        <f>IF(OR(TR_5ExemptionClaim[[#This Row],[Check: collection ineligibility]]="Not Eligible",TR_5ExemptionClaim[[#This Row],[Check: CRPF non-separation ineligibility]]="Not Eligible",SUM(TR_5ExemptionClaim[[#This Row],[Check: end market does not exist]:[Check pounds (Third Party Substantiated)]])&gt;0),0,1)</f>
        <v>1</v>
      </c>
      <c r="AK102" s="78" t="str">
        <f>IF(TR_5ExemptionClaim[[#This Row],[Did this producer arrange for the recycling collection?]]="No",TR_5ExemptionClaim[[#This Row],[ID_EC]],"")</f>
        <v/>
      </c>
      <c r="AL102" s="80" t="str">
        <f t="shared" si="2"/>
        <v/>
      </c>
      <c r="AM102" s="80" t="str">
        <f>IFERROR(INDEX(TR_2SuppliedPounds[DEQ 2B Notes],MATCH(TR_5ExemptionClaim[[#This Row],[Material Reporting Category (Exemption Claim)]],TR_2SuppliedPounds[Material Reporting Category],0)),"")</f>
        <v/>
      </c>
      <c r="AN102" s="80" t="str">
        <f>IFERROR(INDEX(TR_3Collectors[DEQ 3B Notes],MATCH(TR_5ExemptionClaim[[#This Row],[Collection or Transportation Service Provider Name]],TR_3Collectors[Collection or Transportation Service Provider Name],0)),"")</f>
        <v/>
      </c>
      <c r="AO102" s="80" t="str">
        <f>IFERROR(INDEX(TR_4EndMarkets[DEQ 4B Notes],MATCH(TR_5ExemptionClaim[[#This Row],[End Market Name]],TR_4EndMarkets[Lookup: material+market],0)),"")</f>
        <v/>
      </c>
      <c r="AP102" s="81" t="str">
        <f>IFERROR(INDEX(TR_6RecyclingArranger[DEQ 6B Notes],MATCH(TR_5ExemptionClaim[[#This Row],[ID_EC]],TR_6RecyclingArranger[ID_EC],0)),"")</f>
        <v/>
      </c>
      <c r="AQ102" s="81">
        <f>SUMIFS(TR_6RecyclingArranger[DEQ 6B Eligible Pounds],TR_6RecyclingArranger[ID_EC],TR_5ExemptionClaim[[#This Row],[ID_EC]])</f>
        <v>0</v>
      </c>
      <c r="AR102" s="40"/>
      <c r="AS102" s="58"/>
    </row>
    <row r="103" spans="1:45" ht="30" customHeight="1" x14ac:dyDescent="0.2">
      <c r="A103" s="82" t="s">
        <v>1017</v>
      </c>
      <c r="B103" s="46"/>
      <c r="C103" s="45"/>
      <c r="D103" s="45"/>
      <c r="E103" s="74"/>
      <c r="F103"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3" s="47"/>
      <c r="H103"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3" s="74"/>
      <c r="J103" s="75" t="str">
        <f>IF(TR_5ExemptionClaim[[#This Row],[If the collector is OTR, was the service provided under OTR?]]="Yes","Warning: Material collected under OTR service is not eligible for exemption.","")</f>
        <v/>
      </c>
      <c r="K103" s="47"/>
      <c r="L103" s="76"/>
      <c r="M103" s="47"/>
      <c r="N103" s="76"/>
      <c r="O103" s="104" t="str">
        <f>IF(TR_5ExemptionClaim[[#This Row],[If a CRPF handled the material, did the material undergo separation from other materials at the CRPF?]]="Yes","Warning: Material separated at a CRPF is not eligible for exemption.","")</f>
        <v/>
      </c>
      <c r="P103" s="47"/>
      <c r="Q103" s="47"/>
      <c r="R103" s="77" t="str">
        <f>IF(TR_5ExemptionClaim[[#This Row],[If the collector is OTR, was the service provided under OTR?]]="Yes","Not Eligible","")</f>
        <v/>
      </c>
      <c r="S103" s="77" t="str">
        <f>IF(TR_5ExemptionClaim[[#This Row],[If a CRPF handled the material, did the material undergo separation from other materials at the CRPF?]]="Yes","Not Eligible","")</f>
        <v/>
      </c>
      <c r="T103" s="79" t="str">
        <f>IF(TR_5ExemptionClaim[[#This Row],[Material Reporting Category (Exemption Claim)]]="","",(IFERROR(0*MATCH(TR_5ExemptionClaim[[#This Row],[Material Reporting Category (Exemption Claim)]],TR_2SuppliedPounds[Material Reporting Category],0),1)))</f>
        <v/>
      </c>
      <c r="U103" s="79">
        <f>IF(TR_5ExemptionClaim[[#This Row],[End Market Name]]="",0,IFERROR(MATCH(TR_5ExemptionClaim[[#This Row],[End Market Name]],TR_4EndMarkets[Lookup: material+market],0)*0,1))</f>
        <v>0</v>
      </c>
      <c r="V103" s="79">
        <f>IF(TR_5ExemptionClaim[[#This Row],[Subcheck: unique]]="",0,IF(COUNTIFS(TR_5ExemptionClaim[Subcheck: unique left],TR_5ExemptionClaim[[#This Row],[Subcheck: unique left]],TR_5ExemptionClaim[Subcheck: unique right],TR_5ExemptionClaim[[#This Row],[Subcheck: unique right]])&gt;1,1,0))</f>
        <v>0</v>
      </c>
      <c r="W103"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3" s="79">
        <f>IF(TR_5ExemptionClaim[[#This Row],[Material Reporting Category (Exemption Claim)]]=0,0,IF(SUM(TR_5ExemptionClaim[[#This Row],[Subcheck: minimum entry]:[Subcheck: missing CRPF info]])=0,0,1))</f>
        <v>0</v>
      </c>
      <c r="Y103" s="79">
        <f>IF(TR_5ExemptionClaim[[#This Row],[Material Reporting Category (Exemption Claim)]]&lt;&gt;"",0,TR_5ExemptionClaim[[#This Row],[Subcheck: any inputs in row]])</f>
        <v>0</v>
      </c>
      <c r="Z103" s="79">
        <f>IF(TR_5ExemptionClaim[[#This Row],[How many of the pounds recycled through this pathway were supplied by this producer?]]&gt;TR_5ExemptionClaim[[#This Row],[Pounds Recycled through this Pathway]],1,0)</f>
        <v>0</v>
      </c>
      <c r="AA103"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3"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3"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3"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3" s="79">
        <f>IF(TR_5ExemptionClaim[[#This Row],[Collection Company Type (autofill)]]&lt;&gt;Lookups!$K$13,0,IF(TR_5ExemptionClaim[[#This Row],[If the collector is OTR, was the service provided under OTR?]]&lt;&gt;"",0,1))</f>
        <v>0</v>
      </c>
      <c r="AF103" s="79">
        <f>IF(TR_5ExemptionClaim[[#This Row],[Did a CRPF ever handle the material before it reached the end market?]]&lt;&gt;"Yes",0,IF(COUNTA(TR_5ExemptionClaim[[#This Row],[CRPF name]:[CRPF Separation Ineligibility Warning]])=3,0,1))</f>
        <v>0</v>
      </c>
      <c r="AG103"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3" s="77" t="str">
        <f>LEFT(TR_5ExemptionClaim[[#This Row],[Subcheck: unique]],250)</f>
        <v/>
      </c>
      <c r="AI103" s="77" t="str">
        <f>RIGHT(TR_5ExemptionClaim[[#This Row],[Subcheck: unique]],250)</f>
        <v/>
      </c>
      <c r="AJ103" s="77">
        <f>IF(OR(TR_5ExemptionClaim[[#This Row],[Check: collection ineligibility]]="Not Eligible",TR_5ExemptionClaim[[#This Row],[Check: CRPF non-separation ineligibility]]="Not Eligible",SUM(TR_5ExemptionClaim[[#This Row],[Check: end market does not exist]:[Check pounds (Third Party Substantiated)]])&gt;0),0,1)</f>
        <v>1</v>
      </c>
      <c r="AK103" s="78" t="str">
        <f>IF(TR_5ExemptionClaim[[#This Row],[Did this producer arrange for the recycling collection?]]="No",TR_5ExemptionClaim[[#This Row],[ID_EC]],"")</f>
        <v/>
      </c>
      <c r="AL103" s="80" t="str">
        <f t="shared" si="2"/>
        <v/>
      </c>
      <c r="AM103" s="80" t="str">
        <f>IFERROR(INDEX(TR_2SuppliedPounds[DEQ 2B Notes],MATCH(TR_5ExemptionClaim[[#This Row],[Material Reporting Category (Exemption Claim)]],TR_2SuppliedPounds[Material Reporting Category],0)),"")</f>
        <v/>
      </c>
      <c r="AN103" s="80" t="str">
        <f>IFERROR(INDEX(TR_3Collectors[DEQ 3B Notes],MATCH(TR_5ExemptionClaim[[#This Row],[Collection or Transportation Service Provider Name]],TR_3Collectors[Collection or Transportation Service Provider Name],0)),"")</f>
        <v/>
      </c>
      <c r="AO103" s="80" t="str">
        <f>IFERROR(INDEX(TR_4EndMarkets[DEQ 4B Notes],MATCH(TR_5ExemptionClaim[[#This Row],[End Market Name]],TR_4EndMarkets[Lookup: material+market],0)),"")</f>
        <v/>
      </c>
      <c r="AP103" s="81" t="str">
        <f>IFERROR(INDEX(TR_6RecyclingArranger[DEQ 6B Notes],MATCH(TR_5ExemptionClaim[[#This Row],[ID_EC]],TR_6RecyclingArranger[ID_EC],0)),"")</f>
        <v/>
      </c>
      <c r="AQ103" s="81">
        <f>SUMIFS(TR_6RecyclingArranger[DEQ 6B Eligible Pounds],TR_6RecyclingArranger[ID_EC],TR_5ExemptionClaim[[#This Row],[ID_EC]])</f>
        <v>0</v>
      </c>
      <c r="AR103" s="40"/>
      <c r="AS103" s="58"/>
    </row>
    <row r="104" spans="1:45" ht="30" customHeight="1" x14ac:dyDescent="0.2">
      <c r="A104" s="82" t="s">
        <v>1018</v>
      </c>
      <c r="B104" s="46"/>
      <c r="C104" s="45"/>
      <c r="D104" s="45"/>
      <c r="E104" s="74"/>
      <c r="F104"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4" s="47"/>
      <c r="H104"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4" s="74"/>
      <c r="J104" s="75" t="str">
        <f>IF(TR_5ExemptionClaim[[#This Row],[If the collector is OTR, was the service provided under OTR?]]="Yes","Warning: Material collected under OTR service is not eligible for exemption.","")</f>
        <v/>
      </c>
      <c r="K104" s="47"/>
      <c r="L104" s="76"/>
      <c r="M104" s="47"/>
      <c r="N104" s="76"/>
      <c r="O104" s="104" t="str">
        <f>IF(TR_5ExemptionClaim[[#This Row],[If a CRPF handled the material, did the material undergo separation from other materials at the CRPF?]]="Yes","Warning: Material separated at a CRPF is not eligible for exemption.","")</f>
        <v/>
      </c>
      <c r="P104" s="47"/>
      <c r="Q104" s="47"/>
      <c r="R104" s="77" t="str">
        <f>IF(TR_5ExemptionClaim[[#This Row],[If the collector is OTR, was the service provided under OTR?]]="Yes","Not Eligible","")</f>
        <v/>
      </c>
      <c r="S104" s="77" t="str">
        <f>IF(TR_5ExemptionClaim[[#This Row],[If a CRPF handled the material, did the material undergo separation from other materials at the CRPF?]]="Yes","Not Eligible","")</f>
        <v/>
      </c>
      <c r="T104" s="79" t="str">
        <f>IF(TR_5ExemptionClaim[[#This Row],[Material Reporting Category (Exemption Claim)]]="","",(IFERROR(0*MATCH(TR_5ExemptionClaim[[#This Row],[Material Reporting Category (Exemption Claim)]],TR_2SuppliedPounds[Material Reporting Category],0),1)))</f>
        <v/>
      </c>
      <c r="U104" s="79">
        <f>IF(TR_5ExemptionClaim[[#This Row],[End Market Name]]="",0,IFERROR(MATCH(TR_5ExemptionClaim[[#This Row],[End Market Name]],TR_4EndMarkets[Lookup: material+market],0)*0,1))</f>
        <v>0</v>
      </c>
      <c r="V104" s="79">
        <f>IF(TR_5ExemptionClaim[[#This Row],[Subcheck: unique]]="",0,IF(COUNTIFS(TR_5ExemptionClaim[Subcheck: unique left],TR_5ExemptionClaim[[#This Row],[Subcheck: unique left]],TR_5ExemptionClaim[Subcheck: unique right],TR_5ExemptionClaim[[#This Row],[Subcheck: unique right]])&gt;1,1,0))</f>
        <v>0</v>
      </c>
      <c r="W104"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4" s="79">
        <f>IF(TR_5ExemptionClaim[[#This Row],[Material Reporting Category (Exemption Claim)]]=0,0,IF(SUM(TR_5ExemptionClaim[[#This Row],[Subcheck: minimum entry]:[Subcheck: missing CRPF info]])=0,0,1))</f>
        <v>0</v>
      </c>
      <c r="Y104" s="79">
        <f>IF(TR_5ExemptionClaim[[#This Row],[Material Reporting Category (Exemption Claim)]]&lt;&gt;"",0,TR_5ExemptionClaim[[#This Row],[Subcheck: any inputs in row]])</f>
        <v>0</v>
      </c>
      <c r="Z104" s="79">
        <f>IF(TR_5ExemptionClaim[[#This Row],[How many of the pounds recycled through this pathway were supplied by this producer?]]&gt;TR_5ExemptionClaim[[#This Row],[Pounds Recycled through this Pathway]],1,0)</f>
        <v>0</v>
      </c>
      <c r="AA104"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4"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4"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4"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4" s="79">
        <f>IF(TR_5ExemptionClaim[[#This Row],[Collection Company Type (autofill)]]&lt;&gt;Lookups!$K$13,0,IF(TR_5ExemptionClaim[[#This Row],[If the collector is OTR, was the service provided under OTR?]]&lt;&gt;"",0,1))</f>
        <v>0</v>
      </c>
      <c r="AF104" s="79">
        <f>IF(TR_5ExemptionClaim[[#This Row],[Did a CRPF ever handle the material before it reached the end market?]]&lt;&gt;"Yes",0,IF(COUNTA(TR_5ExemptionClaim[[#This Row],[CRPF name]:[CRPF Separation Ineligibility Warning]])=3,0,1))</f>
        <v>0</v>
      </c>
      <c r="AG104"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4" s="77" t="str">
        <f>LEFT(TR_5ExemptionClaim[[#This Row],[Subcheck: unique]],250)</f>
        <v/>
      </c>
      <c r="AI104" s="77" t="str">
        <f>RIGHT(TR_5ExemptionClaim[[#This Row],[Subcheck: unique]],250)</f>
        <v/>
      </c>
      <c r="AJ104" s="77">
        <f>IF(OR(TR_5ExemptionClaim[[#This Row],[Check: collection ineligibility]]="Not Eligible",TR_5ExemptionClaim[[#This Row],[Check: CRPF non-separation ineligibility]]="Not Eligible",SUM(TR_5ExemptionClaim[[#This Row],[Check: end market does not exist]:[Check pounds (Third Party Substantiated)]])&gt;0),0,1)</f>
        <v>1</v>
      </c>
      <c r="AK104" s="78" t="str">
        <f>IF(TR_5ExemptionClaim[[#This Row],[Did this producer arrange for the recycling collection?]]="No",TR_5ExemptionClaim[[#This Row],[ID_EC]],"")</f>
        <v/>
      </c>
      <c r="AL104" s="80" t="str">
        <f t="shared" si="2"/>
        <v/>
      </c>
      <c r="AM104" s="80" t="str">
        <f>IFERROR(INDEX(TR_2SuppliedPounds[DEQ 2B Notes],MATCH(TR_5ExemptionClaim[[#This Row],[Material Reporting Category (Exemption Claim)]],TR_2SuppliedPounds[Material Reporting Category],0)),"")</f>
        <v/>
      </c>
      <c r="AN104" s="80" t="str">
        <f>IFERROR(INDEX(TR_3Collectors[DEQ 3B Notes],MATCH(TR_5ExemptionClaim[[#This Row],[Collection or Transportation Service Provider Name]],TR_3Collectors[Collection or Transportation Service Provider Name],0)),"")</f>
        <v/>
      </c>
      <c r="AO104" s="80" t="str">
        <f>IFERROR(INDEX(TR_4EndMarkets[DEQ 4B Notes],MATCH(TR_5ExemptionClaim[[#This Row],[End Market Name]],TR_4EndMarkets[Lookup: material+market],0)),"")</f>
        <v/>
      </c>
      <c r="AP104" s="81" t="str">
        <f>IFERROR(INDEX(TR_6RecyclingArranger[DEQ 6B Notes],MATCH(TR_5ExemptionClaim[[#This Row],[ID_EC]],TR_6RecyclingArranger[ID_EC],0)),"")</f>
        <v/>
      </c>
      <c r="AQ104" s="81">
        <f>SUMIFS(TR_6RecyclingArranger[DEQ 6B Eligible Pounds],TR_6RecyclingArranger[ID_EC],TR_5ExemptionClaim[[#This Row],[ID_EC]])</f>
        <v>0</v>
      </c>
      <c r="AR104" s="40"/>
      <c r="AS104" s="58"/>
    </row>
    <row r="105" spans="1:45" ht="30" customHeight="1" x14ac:dyDescent="0.2">
      <c r="A105" s="82" t="s">
        <v>1019</v>
      </c>
      <c r="B105" s="46"/>
      <c r="C105" s="45"/>
      <c r="D105" s="45"/>
      <c r="E105" s="74"/>
      <c r="F105" s="75" t="str">
        <f>IF(OR(TR_5ExemptionClaim[[#This Row],[Did this producer arrange for the recycling collection?]]="Yes",TR_5ExemptionClaim[[#This Row],[Did this producer arrange for the recycling collection?]]=""),"",IF(TR_5ExemptionClaim[[#This Row],[Check pounds (Third Party Substantiated)]]=1,"On the 6B Arranger tab, report who arranged for recycling and account for all pounds.","All pounds are accounted for on the 6B Arranger tab."))</f>
        <v/>
      </c>
      <c r="G105" s="47"/>
      <c r="H105" s="73" t="str">
        <f>IFERROR(IF(TR_5ExemptionClaim[[#This Row],[Collection or Transportation Service Provider Name]]="","",INDEX(TR_3Collectors[Collector or Transporter Type],MATCH(TR_5ExemptionClaim[[#This Row],[Collection or Transportation Service Provider Name]],TR_3Collectors[Collection or Transportation Service Provider Name],0))),"WARNING: Collector does not exist in the 3B Collector Tab! Update field G from dropdown list")</f>
        <v/>
      </c>
      <c r="I105" s="74"/>
      <c r="J105" s="75" t="str">
        <f>IF(TR_5ExemptionClaim[[#This Row],[If the collector is OTR, was the service provided under OTR?]]="Yes","Warning: Material collected under OTR service is not eligible for exemption.","")</f>
        <v/>
      </c>
      <c r="K105" s="47"/>
      <c r="L105" s="76"/>
      <c r="M105" s="47"/>
      <c r="N105" s="76"/>
      <c r="O105" s="104" t="str">
        <f>IF(TR_5ExemptionClaim[[#This Row],[If a CRPF handled the material, did the material undergo separation from other materials at the CRPF?]]="Yes","Warning: Material separated at a CRPF is not eligible for exemption.","")</f>
        <v/>
      </c>
      <c r="P105" s="47"/>
      <c r="Q105" s="47"/>
      <c r="R105" s="77" t="str">
        <f>IF(TR_5ExemptionClaim[[#This Row],[If the collector is OTR, was the service provided under OTR?]]="Yes","Not Eligible","")</f>
        <v/>
      </c>
      <c r="S105" s="77" t="str">
        <f>IF(TR_5ExemptionClaim[[#This Row],[If a CRPF handled the material, did the material undergo separation from other materials at the CRPF?]]="Yes","Not Eligible","")</f>
        <v/>
      </c>
      <c r="T105" s="79" t="str">
        <f>IF(TR_5ExemptionClaim[[#This Row],[Material Reporting Category (Exemption Claim)]]="","",(IFERROR(0*MATCH(TR_5ExemptionClaim[[#This Row],[Material Reporting Category (Exemption Claim)]],TR_2SuppliedPounds[Material Reporting Category],0),1)))</f>
        <v/>
      </c>
      <c r="U105" s="79">
        <f>IF(TR_5ExemptionClaim[[#This Row],[End Market Name]]="",0,IFERROR(MATCH(TR_5ExemptionClaim[[#This Row],[End Market Name]],TR_4EndMarkets[Lookup: material+market],0)*0,1))</f>
        <v>0</v>
      </c>
      <c r="V105" s="79">
        <f>IF(TR_5ExemptionClaim[[#This Row],[Subcheck: unique]]="",0,IF(COUNTIFS(TR_5ExemptionClaim[Subcheck: unique left],TR_5ExemptionClaim[[#This Row],[Subcheck: unique left]],TR_5ExemptionClaim[Subcheck: unique right],TR_5ExemptionClaim[[#This Row],[Subcheck: unique right]])&gt;1,1,0))</f>
        <v>0</v>
      </c>
      <c r="W105" s="79">
        <f>IF(OR(TR_5ExemptionClaim[[#This Row],[Material Reporting Category (Exemption Claim)]]="",TR_5ExemptionClaim[[#This Row],[End Market Name]]=""),0,IF(TR_5ExemptionClaim[[#This Row],[Material Reporting Category (Exemption Claim)]]=LEFT(TR_5ExemptionClaim[[#This Row],[End Market Name]],LEN(TR_5ExemptionClaim[[#This Row],[Material Reporting Category (Exemption Claim)]])),0,1))</f>
        <v>0</v>
      </c>
      <c r="X105" s="79">
        <f>IF(TR_5ExemptionClaim[[#This Row],[Material Reporting Category (Exemption Claim)]]=0,0,IF(SUM(TR_5ExemptionClaim[[#This Row],[Subcheck: minimum entry]:[Subcheck: missing CRPF info]])=0,0,1))</f>
        <v>0</v>
      </c>
      <c r="Y105" s="79">
        <f>IF(TR_5ExemptionClaim[[#This Row],[Material Reporting Category (Exemption Claim)]]&lt;&gt;"",0,TR_5ExemptionClaim[[#This Row],[Subcheck: any inputs in row]])</f>
        <v>0</v>
      </c>
      <c r="Z105" s="79">
        <f>IF(TR_5ExemptionClaim[[#This Row],[How many of the pounds recycled through this pathway were supplied by this producer?]]&gt;TR_5ExemptionClaim[[#This Row],[Pounds Recycled through this Pathway]],1,0)</f>
        <v>0</v>
      </c>
      <c r="AA105" s="79">
        <f>IF(SUMIFS(TR_5ExemptionClaim[How many of the pounds recycled through this pathway were supplied by this producer?],TR_5ExemptionClaim[Material Reporting Category (Exemption Claim)],TR_5ExemptionClaim[[#This Row],[Material Reporting Category (Exemption Claim)]])&gt;SUMIFS(TR_2SuppliedPounds[Supply Pounds To Use],TR_2SuppliedPounds[Material Reporting Category],TR_5ExemptionClaim[[#This Row],[Material Reporting Category (Exemption Claim)]]),1,0)</f>
        <v>0</v>
      </c>
      <c r="AB105" s="79" t="str">
        <f>IF(TR_5ExemptionClaim[[#This Row],[Lookup: for arranger tab]]="","",IF(SUMIFS(TR_6RecyclingArranger[Pounds of Producer''s Material Recycled by this Recycling Arranger],TR_6RecyclingArranger[ID_EC],TR_5ExemptionClaim[[#This Row],[Lookup: for arranger tab]])&lt;TR_5ExemptionClaim[[#This Row],[How many of the pounds recycled through this pathway were supplied by this producer?]],1,0))</f>
        <v/>
      </c>
      <c r="AC105" s="79">
        <f>IF(COUNTA(TR_5ExemptionClaim[[#This Row],[Material Reporting Category (Exemption Claim)]:[Did this producer arrange for the recycling collection?]],TR_5ExemptionClaim[[#This Row],[Collection or Transportation Service Provider Name]],TR_5ExemptionClaim[[#This Row],[If the collector is OTR, was the service provided under OTR?]],TR_5ExemptionClaim[[#This Row],[Documentation of pounds handled by this collector]:[If a CRPF handled the material, did the material undergo separation from other materials at the CRPF?]],TR_5ExemptionClaim[[#This Row],[End Market Name]:[Documentation of pounds sent to this end market]])=0,0,1)</f>
        <v>0</v>
      </c>
      <c r="AD105" s="79">
        <f>IF(COUNTA(TR_5ExemptionClaim[[#This Row],[Material Reporting Category (Exemption Claim)]:[Did this producer arrange for the recycling collection?]],TR_5ExemptionClaim[[#This Row],[Collection or Transportation Service Provider Name]],TR_5ExemptionClaim[[#This Row],[Documentation of pounds handled by this collector]:[Did a CRPF ever handle the material before it reached the end market?]],TR_5ExemptionClaim[[#This Row],[End Market Name]:[Documentation of pounds sent to this end market]])=9,0,1)</f>
        <v>1</v>
      </c>
      <c r="AE105" s="79">
        <f>IF(TR_5ExemptionClaim[[#This Row],[Collection Company Type (autofill)]]&lt;&gt;Lookups!$K$13,0,IF(TR_5ExemptionClaim[[#This Row],[If the collector is OTR, was the service provided under OTR?]]&lt;&gt;"",0,1))</f>
        <v>0</v>
      </c>
      <c r="AF105" s="79">
        <f>IF(TR_5ExemptionClaim[[#This Row],[Did a CRPF ever handle the material before it reached the end market?]]&lt;&gt;"Yes",0,IF(COUNTA(TR_5ExemptionClaim[[#This Row],[CRPF name]:[CRPF Separation Ineligibility Warning]])=3,0,1))</f>
        <v>0</v>
      </c>
      <c r="AG105" s="77" t="str">
        <f>TR_5ExemptionClaim[[#This Row],[Material Reporting Category (Exemption Claim)]]&amp;TR_5ExemptionClaim[[#This Row],[Did this producer arrange for the recycling collection?]]&amp;TR_5ExemptionClaim[[#This Row],[Collection or Transportation Service Provider Name]]&amp;TR_5ExemptionClaim[[#This Row],[If the collector is OTR, was the service provided under OTR?]]&amp;TR_5ExemptionClaim[[#This Row],[Did a CRPF ever handle the material before it reached the end market?]]&amp;TR_5ExemptionClaim[[#This Row],[CRPF name]]&amp;TR_5ExemptionClaim[[#This Row],[If a CRPF handled the material, did the material undergo separation from other materials at the CRPF?]]&amp;TR_5ExemptionClaim[[#This Row],[End Market Name]]</f>
        <v/>
      </c>
      <c r="AH105" s="77" t="str">
        <f>LEFT(TR_5ExemptionClaim[[#This Row],[Subcheck: unique]],250)</f>
        <v/>
      </c>
      <c r="AI105" s="77" t="str">
        <f>RIGHT(TR_5ExemptionClaim[[#This Row],[Subcheck: unique]],250)</f>
        <v/>
      </c>
      <c r="AJ105" s="77">
        <f>IF(OR(TR_5ExemptionClaim[[#This Row],[Check: collection ineligibility]]="Not Eligible",TR_5ExemptionClaim[[#This Row],[Check: CRPF non-separation ineligibility]]="Not Eligible",SUM(TR_5ExemptionClaim[[#This Row],[Check: end market does not exist]:[Check pounds (Third Party Substantiated)]])&gt;0),0,1)</f>
        <v>1</v>
      </c>
      <c r="AK105" s="78" t="str">
        <f>IF(TR_5ExemptionClaim[[#This Row],[Did this producer arrange for the recycling collection?]]="No",TR_5ExemptionClaim[[#This Row],[ID_EC]],"")</f>
        <v/>
      </c>
      <c r="AL105" s="80" t="str">
        <f t="shared" si="2"/>
        <v/>
      </c>
      <c r="AM105" s="80" t="str">
        <f>IFERROR(INDEX(TR_2SuppliedPounds[DEQ 2B Notes],MATCH(TR_5ExemptionClaim[[#This Row],[Material Reporting Category (Exemption Claim)]],TR_2SuppliedPounds[Material Reporting Category],0)),"")</f>
        <v/>
      </c>
      <c r="AN105" s="80" t="str">
        <f>IFERROR(INDEX(TR_3Collectors[DEQ 3B Notes],MATCH(TR_5ExemptionClaim[[#This Row],[Collection or Transportation Service Provider Name]],TR_3Collectors[Collection or Transportation Service Provider Name],0)),"")</f>
        <v/>
      </c>
      <c r="AO105" s="80" t="str">
        <f>IFERROR(INDEX(TR_4EndMarkets[DEQ 4B Notes],MATCH(TR_5ExemptionClaim[[#This Row],[End Market Name]],TR_4EndMarkets[Lookup: material+market],0)),"")</f>
        <v/>
      </c>
      <c r="AP105" s="81" t="str">
        <f>IFERROR(INDEX(TR_6RecyclingArranger[DEQ 6B Notes],MATCH(TR_5ExemptionClaim[[#This Row],[ID_EC]],TR_6RecyclingArranger[ID_EC],0)),"")</f>
        <v/>
      </c>
      <c r="AQ105" s="81">
        <f>SUMIFS(TR_6RecyclingArranger[DEQ 6B Eligible Pounds],TR_6RecyclingArranger[ID_EC],TR_5ExemptionClaim[[#This Row],[ID_EC]])</f>
        <v>0</v>
      </c>
      <c r="AR105" s="40"/>
      <c r="AS105" s="58"/>
    </row>
    <row r="106" spans="1:45" x14ac:dyDescent="0.2"/>
  </sheetData>
  <sheetProtection algorithmName="SHA-512" hashValue="Lmo17auF5d4b0nuLOcCcwZhpPxTLZ3M7rD8QYtD/R+E73s/LLKuRU6IB3ERyP9kVLgmauzbV5jpSL1wl81Bhqg==" saltValue="ftDtiZTrWZ3HXaz2o7FzOA==" spinCount="100000" sheet="1" objects="1" scenarios="1" autoFilter="0"/>
  <conditionalFormatting sqref="A6:A105">
    <cfRule type="expression" dxfId="24" priority="1">
      <formula>$V6=1</formula>
    </cfRule>
  </conditionalFormatting>
  <conditionalFormatting sqref="C6:E105 G6:G105 K6:L105 P6:Q105">
    <cfRule type="expression" dxfId="23" priority="37">
      <formula>$B6&lt;&gt;""</formula>
    </cfRule>
  </conditionalFormatting>
  <conditionalFormatting sqref="C6:Q105">
    <cfRule type="expression" dxfId="22" priority="5">
      <formula>AND($B6="",C6&lt;&gt;"")</formula>
    </cfRule>
  </conditionalFormatting>
  <conditionalFormatting sqref="D6:D105">
    <cfRule type="expression" dxfId="21" priority="11">
      <formula>$D6&gt;$C6</formula>
    </cfRule>
    <cfRule type="expression" dxfId="20" priority="13">
      <formula>$AA6=1</formula>
    </cfRule>
  </conditionalFormatting>
  <conditionalFormatting sqref="F6:F105">
    <cfRule type="expression" dxfId="19" priority="4">
      <formula>$AB6=1</formula>
    </cfRule>
    <cfRule type="expression" dxfId="18" priority="20">
      <formula>$E6="No"</formula>
    </cfRule>
  </conditionalFormatting>
  <conditionalFormatting sqref="H6:H105">
    <cfRule type="expression" dxfId="17" priority="3">
      <formula>LEFT(H6,7)="WARNING"</formula>
    </cfRule>
  </conditionalFormatting>
  <conditionalFormatting sqref="I6:I105">
    <cfRule type="expression" dxfId="16" priority="36">
      <formula>$H6=A_OTR_Service_Provider</formula>
    </cfRule>
  </conditionalFormatting>
  <conditionalFormatting sqref="J6:J105">
    <cfRule type="expression" dxfId="15" priority="12">
      <formula>J6&lt;&gt;""</formula>
    </cfRule>
  </conditionalFormatting>
  <conditionalFormatting sqref="M6:N105">
    <cfRule type="expression" dxfId="14" priority="28">
      <formula>$L6="Yes"</formula>
    </cfRule>
  </conditionalFormatting>
  <conditionalFormatting sqref="O6:O105">
    <cfRule type="expression" dxfId="13" priority="10">
      <formula>O6&lt;&gt;""</formula>
    </cfRule>
  </conditionalFormatting>
  <conditionalFormatting sqref="P6:P105">
    <cfRule type="expression" dxfId="12" priority="2">
      <formula>OR($U6=1,$W6=1)</formula>
    </cfRule>
  </conditionalFormatting>
  <dataValidations count="6">
    <dataValidation type="list" allowBlank="1" showInputMessage="1" showErrorMessage="1" sqref="I6:I105 L6:L105 N6:N105 E6:E105" xr:uid="{2570AB0A-5C9A-4CB6-974F-907FA13880FF}">
      <formula1>DL_YesOrNo</formula1>
    </dataValidation>
    <dataValidation type="list" allowBlank="1" showInputMessage="1" showErrorMessage="1" sqref="G6:G105" xr:uid="{9A6010EF-2A38-4438-9BF4-C14A46D47B1E}">
      <formula1>DR_CollectionProvider</formula1>
    </dataValidation>
    <dataValidation type="list" allowBlank="1" showInputMessage="1" showErrorMessage="1" sqref="M6:M105" xr:uid="{F03C196D-E2B3-4AFD-B698-E518008DB745}">
      <formula1>DL_CRPFs</formula1>
    </dataValidation>
    <dataValidation type="custom" allowBlank="1" showInputMessage="1" showErrorMessage="1" error="Please enter a number that is greater than zero and uses no more than two decimal places." sqref="C6:D105" xr:uid="{7187F070-F02E-4C59-9EA0-7DDFF04CE7E0}">
      <formula1>AND(C6=ROUND(C6,2),C6&gt;0)</formula1>
    </dataValidation>
    <dataValidation type="list" allowBlank="1" showInputMessage="1" showErrorMessage="1" sqref="B6:B105" xr:uid="{7777FDF9-8192-4C0B-ADFF-E010DA52DD1E}">
      <formula1>DR_MaterialsSupplied</formula1>
    </dataValidation>
    <dataValidation type="custom" allowBlank="1" showInputMessage="1" showErrorMessage="1" error="Please enter a number that is greater than zero and uses no more than two decimal places." sqref="AS6:AS105" xr:uid="{530BCF50-F4C2-4CB5-9C5C-39AE8C93D641}">
      <formula1>AND(AS6=ROUND(AS6,2),AS6&gt;=0)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10F28FB-9577-435B-A695-CDB5B5DEB1EA}">
          <x14:formula1>
            <xm:f>'4B End Market'!$O$6:$O$55</xm:f>
          </x14:formula1>
          <xm:sqref>P6:P105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5FEEF-A39B-41EB-B287-EDBC776977F2}">
  <sheetPr>
    <tabColor theme="9" tint="0.39997558519241921"/>
  </sheetPr>
  <dimension ref="A1:D31"/>
  <sheetViews>
    <sheetView showGridLines="0" workbookViewId="0"/>
  </sheetViews>
  <sheetFormatPr defaultColWidth="0" defaultRowHeight="14.25" zeroHeight="1" x14ac:dyDescent="0.2"/>
  <cols>
    <col min="1" max="1" width="48" style="12" customWidth="1"/>
    <col min="2" max="2" width="9" style="87" customWidth="1"/>
    <col min="3" max="3" width="138.375" style="4" customWidth="1"/>
    <col min="4" max="4" width="9" customWidth="1"/>
    <col min="5" max="16384" width="8" hidden="1"/>
  </cols>
  <sheetData>
    <row r="1" spans="1:4" ht="24" thickBot="1" x14ac:dyDescent="0.4">
      <c r="A1" s="41" t="s">
        <v>1210</v>
      </c>
      <c r="B1" s="86"/>
      <c r="C1" s="43"/>
      <c r="D1" s="42"/>
    </row>
    <row r="2" spans="1:4" ht="15" thickTop="1" x14ac:dyDescent="0.2"/>
    <row r="3" spans="1:4" s="13" customFormat="1" ht="20.25" thickBot="1" x14ac:dyDescent="0.35">
      <c r="A3" s="71" t="s">
        <v>253</v>
      </c>
      <c r="B3" s="88"/>
      <c r="C3" s="14"/>
    </row>
    <row r="4" spans="1:4" ht="15" thickTop="1" x14ac:dyDescent="0.2">
      <c r="A4" s="12" t="s">
        <v>1020</v>
      </c>
    </row>
    <row r="5" spans="1:4" x14ac:dyDescent="0.2">
      <c r="A5" s="12" t="s">
        <v>1278</v>
      </c>
    </row>
    <row r="6" spans="1:4" x14ac:dyDescent="0.2">
      <c r="A6" s="12" t="s">
        <v>1022</v>
      </c>
    </row>
    <row r="7" spans="1:4" x14ac:dyDescent="0.2">
      <c r="A7" s="12" t="s">
        <v>1021</v>
      </c>
    </row>
    <row r="8" spans="1:4" x14ac:dyDescent="0.2">
      <c r="A8" s="12" t="s">
        <v>1023</v>
      </c>
    </row>
    <row r="9" spans="1:4" x14ac:dyDescent="0.2"/>
    <row r="10" spans="1:4" s="20" customFormat="1" ht="17.25" thickBot="1" x14ac:dyDescent="0.3">
      <c r="A10" s="19" t="s">
        <v>254</v>
      </c>
      <c r="B10" s="89" t="s">
        <v>255</v>
      </c>
      <c r="C10" s="21" t="s">
        <v>4</v>
      </c>
    </row>
    <row r="11" spans="1:4" ht="15.75" thickTop="1" x14ac:dyDescent="0.25">
      <c r="A11" s="138" t="str">
        <f>TR_6RecyclingArranger[[#Headers],[ID_RA]]</f>
        <v>ID_RA</v>
      </c>
      <c r="B11" s="124" t="s">
        <v>77</v>
      </c>
      <c r="C11" s="125" t="s">
        <v>100</v>
      </c>
    </row>
    <row r="12" spans="1:4" ht="28.5" x14ac:dyDescent="0.25">
      <c r="A12" s="139" t="str">
        <f>TR_6RecyclingArranger[[#Headers],[ID_EC]]</f>
        <v>ID_EC</v>
      </c>
      <c r="B12" s="126" t="s">
        <v>80</v>
      </c>
      <c r="C12" s="128" t="s">
        <v>907</v>
      </c>
    </row>
    <row r="13" spans="1:4" ht="15" x14ac:dyDescent="0.25">
      <c r="A13" s="139" t="str">
        <f>TR_6RecyclingArranger[[#Headers],[Material and End Market]]</f>
        <v>Material and End Market</v>
      </c>
      <c r="B13" s="126" t="s">
        <v>78</v>
      </c>
      <c r="C13" s="127" t="s">
        <v>1041</v>
      </c>
    </row>
    <row r="14" spans="1:4" ht="15" x14ac:dyDescent="0.25">
      <c r="A14" s="139" t="str">
        <f>TR_6RecyclingArranger[[#Headers],[Collection or Transportation Service Provider]]</f>
        <v>Collection or Transportation Service Provider</v>
      </c>
      <c r="B14" s="126" t="s">
        <v>81</v>
      </c>
      <c r="C14" s="127" t="s">
        <v>1041</v>
      </c>
    </row>
    <row r="15" spans="1:4" ht="15" x14ac:dyDescent="0.25">
      <c r="A15" s="139" t="str">
        <f>TR_6RecyclingArranger[[#Headers],[CRPF]]</f>
        <v>CRPF</v>
      </c>
      <c r="B15" s="126" t="s">
        <v>82</v>
      </c>
      <c r="C15" s="127" t="s">
        <v>1041</v>
      </c>
    </row>
    <row r="16" spans="1:4" ht="15" x14ac:dyDescent="0.25">
      <c r="A16" s="139" t="str">
        <f>TR_6RecyclingArranger[[#Headers],[Name of Third-Party Recycling Arranger]]</f>
        <v>Name of Third-Party Recycling Arranger</v>
      </c>
      <c r="B16" s="126" t="s">
        <v>83</v>
      </c>
      <c r="C16" s="127" t="s">
        <v>1027</v>
      </c>
    </row>
    <row r="17" spans="1:4" ht="30" x14ac:dyDescent="0.25">
      <c r="A17" s="139" t="str">
        <f>TR_6RecyclingArranger[[#Headers],[Pounds of Producer''s Material Recycled by this Recycling Arranger]]</f>
        <v>Pounds of Producer's Material Recycled by this Recycling Arranger</v>
      </c>
      <c r="B17" s="126" t="s">
        <v>84</v>
      </c>
      <c r="C17" s="128" t="s">
        <v>1029</v>
      </c>
    </row>
    <row r="18" spans="1:4" ht="15" x14ac:dyDescent="0.25">
      <c r="A18" s="139" t="str">
        <f>TR_6RecyclingArranger[[#Headers],[Recycling Arranger Website]]</f>
        <v>Recycling Arranger Website</v>
      </c>
      <c r="B18" s="126" t="s">
        <v>85</v>
      </c>
      <c r="C18" s="127" t="s">
        <v>249</v>
      </c>
    </row>
    <row r="19" spans="1:4" ht="15" x14ac:dyDescent="0.25">
      <c r="A19" s="139" t="str">
        <f>TR_6RecyclingArranger[[#Headers],[Recycling Arranger Contact Name]]</f>
        <v>Recycling Arranger Contact Name</v>
      </c>
      <c r="B19" s="126" t="s">
        <v>86</v>
      </c>
      <c r="C19" s="127" t="s">
        <v>250</v>
      </c>
    </row>
    <row r="20" spans="1:4" ht="15" x14ac:dyDescent="0.25">
      <c r="A20" s="139" t="str">
        <f>TR_6RecyclingArranger[[#Headers],[Recycling Arranger Contact Phone]]</f>
        <v>Recycling Arranger Contact Phone</v>
      </c>
      <c r="B20" s="126" t="s">
        <v>87</v>
      </c>
      <c r="C20" s="127" t="s">
        <v>251</v>
      </c>
    </row>
    <row r="21" spans="1:4" ht="15" x14ac:dyDescent="0.25">
      <c r="A21" s="139" t="str">
        <f>TR_6RecyclingArranger[[#Headers],[Recycling Arranger Contact Email]]</f>
        <v>Recycling Arranger Contact Email</v>
      </c>
      <c r="B21" s="126" t="s">
        <v>88</v>
      </c>
      <c r="C21" s="127" t="s">
        <v>252</v>
      </c>
    </row>
    <row r="22" spans="1:4" ht="15" x14ac:dyDescent="0.25">
      <c r="A22" s="139" t="s">
        <v>887</v>
      </c>
      <c r="B22" s="126" t="s">
        <v>1173</v>
      </c>
      <c r="C22" s="127" t="s">
        <v>886</v>
      </c>
    </row>
    <row r="23" spans="1:4" x14ac:dyDescent="0.2"/>
    <row r="24" spans="1:4" x14ac:dyDescent="0.2"/>
    <row r="25" spans="1:4" ht="20.25" thickBot="1" x14ac:dyDescent="0.35">
      <c r="A25" s="71" t="s">
        <v>1218</v>
      </c>
      <c r="B25" s="88"/>
      <c r="C25" s="14"/>
      <c r="D25" s="13"/>
    </row>
    <row r="26" spans="1:4" ht="29.25" thickTop="1" x14ac:dyDescent="0.2">
      <c r="A26" s="160" t="s">
        <v>784</v>
      </c>
      <c r="B26" s="161">
        <f>SUM(TR_6RecyclingArranger[Check: duplicates])</f>
        <v>0</v>
      </c>
      <c r="C26" s="162" t="s">
        <v>1239</v>
      </c>
    </row>
    <row r="27" spans="1:4" x14ac:dyDescent="0.2">
      <c r="A27" s="134" t="s">
        <v>785</v>
      </c>
      <c r="B27" s="135">
        <f>SUM(TR_6RecyclingArranger[Check: missing info])</f>
        <v>0</v>
      </c>
      <c r="C27" s="128" t="s">
        <v>913</v>
      </c>
    </row>
    <row r="28" spans="1:4" ht="28.5" x14ac:dyDescent="0.2">
      <c r="A28" s="134" t="s">
        <v>786</v>
      </c>
      <c r="B28" s="135">
        <f>SUM(TR_6RecyclingArranger[Check: extra info])</f>
        <v>0</v>
      </c>
      <c r="C28" s="128" t="s">
        <v>1118</v>
      </c>
    </row>
    <row r="29" spans="1:4" x14ac:dyDescent="0.2">
      <c r="A29" s="134" t="s">
        <v>1113</v>
      </c>
      <c r="B29" s="135">
        <f>SUM(TR_5ExemptionClaim[Check: materials not supplied])</f>
        <v>0</v>
      </c>
      <c r="C29" s="128" t="s">
        <v>1117</v>
      </c>
    </row>
    <row r="30" spans="1:4" ht="42.75" x14ac:dyDescent="0.2">
      <c r="A30" s="134" t="s">
        <v>791</v>
      </c>
      <c r="B30" s="135">
        <f>SUM(TR_6RecyclingArranger[Check: pounds (against full 5B)])</f>
        <v>0</v>
      </c>
      <c r="C30" s="128" t="s">
        <v>1238</v>
      </c>
    </row>
    <row r="31" spans="1:4" x14ac:dyDescent="0.2"/>
  </sheetData>
  <sheetProtection algorithmName="SHA-512" hashValue="itDkcMZAvdfov/keLw7xYJFBq4ucXCPatl/h0+cdQo1kqwQOizgB8GQ/LC6Aa4+FZwf7HO9UKlMCXjRqShrRKQ==" saltValue="t7vgNW2+Xh00hiHzzuO4xA==" spinCount="100000" sheet="1" objects="1" scenarios="1"/>
  <conditionalFormatting sqref="B26:B30">
    <cfRule type="expression" dxfId="11" priority="1">
      <formula>B26&gt;0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74C3D-9C8F-4FA8-8A9E-DA6D0686471E}">
  <sheetPr>
    <tabColor theme="9" tint="-0.249977111117893"/>
  </sheetPr>
  <dimension ref="A1:Z356"/>
  <sheetViews>
    <sheetView showGridLines="0" zoomScaleNormal="100" workbookViewId="0"/>
  </sheetViews>
  <sheetFormatPr defaultColWidth="0" defaultRowHeight="14.25" zeroHeight="1" outlineLevelCol="1" x14ac:dyDescent="0.2"/>
  <cols>
    <col min="1" max="1" width="11" style="12" customWidth="1"/>
    <col min="2" max="2" width="32.25" customWidth="1"/>
    <col min="3" max="3" width="44.75" customWidth="1"/>
    <col min="4" max="5" width="32.25" customWidth="1"/>
    <col min="6" max="6" width="39.375" customWidth="1"/>
    <col min="7" max="7" width="31.5" customWidth="1"/>
    <col min="8" max="8" width="29.5" customWidth="1"/>
    <col min="9" max="9" width="28.625" customWidth="1"/>
    <col min="10" max="10" width="30.25" customWidth="1"/>
    <col min="11" max="11" width="30.75" customWidth="1"/>
    <col min="12" max="19" width="17.375" hidden="1" customWidth="1" outlineLevel="1"/>
    <col min="20" max="20" width="36.375" hidden="1" customWidth="1" outlineLevel="1"/>
    <col min="21" max="21" width="15.25" hidden="1" customWidth="1" outlineLevel="1"/>
    <col min="22" max="22" width="9" customWidth="1" collapsed="1"/>
    <col min="23" max="26" width="0" hidden="1" customWidth="1"/>
    <col min="27" max="16384" width="8" hidden="1"/>
  </cols>
  <sheetData>
    <row r="1" spans="1:22" ht="24" thickBot="1" x14ac:dyDescent="0.25">
      <c r="A1" s="44" t="s">
        <v>1211</v>
      </c>
      <c r="B1" s="42"/>
      <c r="C1" s="42"/>
      <c r="D1" s="42"/>
      <c r="E1" s="42"/>
      <c r="F1" s="42"/>
      <c r="G1" s="42"/>
      <c r="H1" s="42"/>
      <c r="I1" s="42"/>
      <c r="J1" s="42"/>
      <c r="K1" s="42"/>
      <c r="L1" s="42"/>
      <c r="M1" s="42"/>
      <c r="N1" s="42"/>
      <c r="O1" s="42"/>
      <c r="P1" s="42"/>
      <c r="Q1" s="42"/>
      <c r="R1" s="42"/>
      <c r="S1" s="42"/>
      <c r="T1" s="42"/>
      <c r="U1" s="42"/>
      <c r="V1" s="42"/>
    </row>
    <row r="2" spans="1:22" ht="15" thickTop="1" x14ac:dyDescent="0.2"/>
    <row r="3" spans="1:22" ht="42.75" x14ac:dyDescent="0.2">
      <c r="A3" s="26" t="s">
        <v>124</v>
      </c>
      <c r="B3" s="237" t="s">
        <v>1096</v>
      </c>
      <c r="C3" s="237" t="s">
        <v>1042</v>
      </c>
      <c r="D3" s="237" t="s">
        <v>1032</v>
      </c>
      <c r="E3" s="237" t="s">
        <v>1032</v>
      </c>
      <c r="F3" s="237" t="s">
        <v>1032</v>
      </c>
      <c r="G3" s="237" t="s">
        <v>779</v>
      </c>
      <c r="H3" s="238" t="s">
        <v>177</v>
      </c>
      <c r="I3" s="238" t="s">
        <v>179</v>
      </c>
      <c r="J3" s="238" t="s">
        <v>178</v>
      </c>
      <c r="K3" s="238" t="s">
        <v>180</v>
      </c>
      <c r="L3" s="10" t="s">
        <v>248</v>
      </c>
      <c r="M3" s="10" t="s">
        <v>248</v>
      </c>
      <c r="N3" s="10" t="s">
        <v>248</v>
      </c>
      <c r="O3" s="10" t="s">
        <v>248</v>
      </c>
      <c r="P3" s="10" t="s">
        <v>248</v>
      </c>
      <c r="Q3" s="11" t="s">
        <v>917</v>
      </c>
      <c r="R3" s="11" t="s">
        <v>917</v>
      </c>
      <c r="S3" s="11" t="s">
        <v>917</v>
      </c>
      <c r="T3" s="11" t="s">
        <v>904</v>
      </c>
      <c r="U3" s="11" t="s">
        <v>904</v>
      </c>
    </row>
    <row r="4" spans="1:22" ht="15" x14ac:dyDescent="0.25">
      <c r="A4" s="23" t="s">
        <v>77</v>
      </c>
      <c r="B4" s="16" t="s">
        <v>80</v>
      </c>
      <c r="C4" s="16" t="s">
        <v>78</v>
      </c>
      <c r="D4" s="16" t="s">
        <v>81</v>
      </c>
      <c r="E4" s="16" t="s">
        <v>82</v>
      </c>
      <c r="F4" s="16" t="s">
        <v>83</v>
      </c>
      <c r="G4" s="16" t="s">
        <v>84</v>
      </c>
      <c r="H4" s="16" t="s">
        <v>85</v>
      </c>
      <c r="I4" s="16" t="s">
        <v>86</v>
      </c>
      <c r="J4" s="16" t="s">
        <v>87</v>
      </c>
      <c r="K4" s="16" t="s">
        <v>88</v>
      </c>
      <c r="L4" s="2" t="s">
        <v>89</v>
      </c>
      <c r="M4" s="2" t="s">
        <v>90</v>
      </c>
      <c r="N4" s="2" t="s">
        <v>91</v>
      </c>
      <c r="O4" s="2" t="s">
        <v>99</v>
      </c>
      <c r="P4" s="2" t="s">
        <v>186</v>
      </c>
      <c r="Q4" s="2" t="s">
        <v>187</v>
      </c>
      <c r="R4" s="2" t="s">
        <v>159</v>
      </c>
      <c r="S4" s="2" t="s">
        <v>160</v>
      </c>
      <c r="T4" s="2" t="s">
        <v>188</v>
      </c>
      <c r="U4" s="2" t="s">
        <v>189</v>
      </c>
    </row>
    <row r="5" spans="1:22" ht="45" x14ac:dyDescent="0.2">
      <c r="A5" s="27" t="s">
        <v>263</v>
      </c>
      <c r="B5" s="4" t="s">
        <v>906</v>
      </c>
      <c r="C5" s="4" t="s">
        <v>239</v>
      </c>
      <c r="D5" s="4" t="s">
        <v>1024</v>
      </c>
      <c r="E5" s="4" t="s">
        <v>238</v>
      </c>
      <c r="F5" s="4" t="s">
        <v>93</v>
      </c>
      <c r="G5" s="4" t="s">
        <v>259</v>
      </c>
      <c r="H5" s="4" t="s">
        <v>240</v>
      </c>
      <c r="I5" s="4" t="s">
        <v>241</v>
      </c>
      <c r="J5" s="4" t="s">
        <v>242</v>
      </c>
      <c r="K5" s="4" t="s">
        <v>243</v>
      </c>
      <c r="L5" s="4" t="s">
        <v>777</v>
      </c>
      <c r="M5" s="4" t="s">
        <v>1120</v>
      </c>
      <c r="N5" s="4" t="s">
        <v>758</v>
      </c>
      <c r="O5" s="4" t="s">
        <v>759</v>
      </c>
      <c r="P5" s="4" t="s">
        <v>918</v>
      </c>
      <c r="Q5" s="4" t="s">
        <v>778</v>
      </c>
      <c r="R5" s="4" t="s">
        <v>919</v>
      </c>
      <c r="S5" s="4" t="s">
        <v>262</v>
      </c>
      <c r="T5" s="4" t="s">
        <v>1050</v>
      </c>
      <c r="U5" s="4" t="s">
        <v>1057</v>
      </c>
    </row>
    <row r="6" spans="1:22" ht="30.75" customHeight="1" x14ac:dyDescent="0.2">
      <c r="A6" s="82" t="s">
        <v>390</v>
      </c>
      <c r="B6" s="46"/>
      <c r="C6" s="47"/>
      <c r="D6" s="214" t="str">
        <f>IF(TR_6RecyclingArranger[[#This Row],[ID_EC]]="","",INDEX(TR_5ExemptionClaim[End Market Name],MATCH(TR_6RecyclingArranger[[#This Row],[ID_EC]],TR_5ExemptionClaim[ID_EC],0)))</f>
        <v/>
      </c>
      <c r="E6" s="214" t="str">
        <f>IF(TR_6RecyclingArranger[[#This Row],[ID_EC]]="","",INDEX(TR_5ExemptionClaim[Collection or Transportation Service Provider Name],MATCH(TR_6RecyclingArranger[[#This Row],[ID_EC]],TR_5ExemptionClaim[ID_EC],0)))</f>
        <v/>
      </c>
      <c r="F6" s="214" t="str">
        <f>IF(TR_6RecyclingArranger[[#This Row],[ID_EC]]="","",IF(INDEX(TR_5ExemptionClaim[CRPF name],MATCH(TR_6RecyclingArranger[[#This Row],[ID_EC]],TR_5ExemptionClaim[ID_EC],0))=0,"None",INDEX(TR_5ExemptionClaim[CRPF name],MATCH(TR_6RecyclingArranger[[#This Row],[ID_EC]],TR_5ExemptionClaim[ID_EC],0))))</f>
        <v/>
      </c>
      <c r="G6" s="45"/>
      <c r="H6" s="108"/>
      <c r="I6" s="47"/>
      <c r="J6" s="48"/>
      <c r="K6" s="47"/>
      <c r="L6" s="79">
        <f>IF(COUNTIFS(TR_6RecyclingArranger[ID_EC],TR_6RecyclingArranger[[#This Row],[ID_EC]],TR_6RecyclingArranger[Name of Third-Party Recycling Arranger],TR_6RecyclingArranger[[#This Row],[Name of Third-Party Recycling Arranger]])&gt;1,1,0)</f>
        <v>0</v>
      </c>
      <c r="M6" s="79">
        <f>IF(TR_6RecyclingArranger[[#This Row],[ID_EC]]="",0,IFERROR(0*MATCH(TR_6RecyclingArranger[[#This Row],[ID_EC]],TR_5ExemptionClaim[Lookup: for arranger tab],0),1))</f>
        <v>0</v>
      </c>
      <c r="N6" s="79">
        <f>IF(TR_6RecyclingArranger[[#This Row],[ID_EC]]="",0,IF(COUNTA(TR_6RecyclingArranger[[#This Row],[Name of Third-Party Recycling Arranger]],TR_6RecyclingArranger[[#This Row],[Pounds of Producer''s Material Recycled by this Recycling Arranger]:[Recycling Arranger Contact Email]])=7,0,1))</f>
        <v>0</v>
      </c>
      <c r="O6" s="79">
        <f>IF(TR_6RecyclingArranger[[#This Row],[ID_EC]]&lt;&gt;"",0,IF(COUNTA(TR_6RecyclingArranger[[#This Row],[Name of Third-Party Recycling Arranger]],TR_6RecyclingArranger[[#This Row],[Pounds of Producer''s Material Recycled by this Recycling Arranger]:[Recycling Arranger Contact Email]])&gt;0,1,0))</f>
        <v>0</v>
      </c>
      <c r="P6" s="79">
        <f>IF(TR_6RecyclingArranger[[#This Row],[Lookup: pounds (this table)]]&gt;TR_6RecyclingArranger[[#This Row],[Lookup: pounds (5B tab)]],1,0)</f>
        <v>0</v>
      </c>
      <c r="Q6" s="77">
        <f>SUMIFS(TR_6RecyclingArranger[Pounds of Producer''s Material Recycled by this Recycling Arranger],TR_6RecyclingArranger[ID_EC],TR_6RecyclingArranger[[#This Row],[ID_EC]])</f>
        <v>0</v>
      </c>
      <c r="R6" s="77">
        <f>IFERROR(INDEX(TR_5ExemptionClaim[How many of the pounds recycled through this pathway were supplied by this producer?],MATCH(TR_6RecyclingArranger[[#This Row],[ID_EC]],TR_5ExemptionClaim[ID_EC],0)),0)</f>
        <v>0</v>
      </c>
      <c r="S6" s="80" t="str">
        <f t="shared" ref="S6:S69" si="0">IF(DR_ProducerID=0,"",DR_ProducerID)</f>
        <v/>
      </c>
      <c r="T6" s="40"/>
      <c r="U6" s="58"/>
    </row>
    <row r="7" spans="1:22" ht="30.75" customHeight="1" x14ac:dyDescent="0.2">
      <c r="A7" s="82" t="s">
        <v>391</v>
      </c>
      <c r="B7" s="46"/>
      <c r="C7" s="113"/>
      <c r="D7" s="214" t="str">
        <f>IF(TR_6RecyclingArranger[[#This Row],[ID_EC]]="","",INDEX(TR_5ExemptionClaim[End Market Name],MATCH(TR_6RecyclingArranger[[#This Row],[ID_EC]],TR_5ExemptionClaim[ID_EC],0)))</f>
        <v/>
      </c>
      <c r="E7" s="214" t="str">
        <f>IF(TR_6RecyclingArranger[[#This Row],[ID_EC]]="","",INDEX(TR_5ExemptionClaim[Collection or Transportation Service Provider Name],MATCH(TR_6RecyclingArranger[[#This Row],[ID_EC]],TR_5ExemptionClaim[ID_EC],0)))</f>
        <v/>
      </c>
      <c r="F7" s="214" t="str">
        <f>IF(TR_6RecyclingArranger[[#This Row],[ID_EC]]="","",IF(INDEX(TR_5ExemptionClaim[CRPF name],MATCH(TR_6RecyclingArranger[[#This Row],[ID_EC]],TR_5ExemptionClaim[ID_EC],0))=0,"None",INDEX(TR_5ExemptionClaim[CRPF name],MATCH(TR_6RecyclingArranger[[#This Row],[ID_EC]],TR_5ExemptionClaim[ID_EC],0))))</f>
        <v/>
      </c>
      <c r="G7" s="45"/>
      <c r="H7" s="108"/>
      <c r="I7" s="47"/>
      <c r="J7" s="48"/>
      <c r="K7" s="47"/>
      <c r="L7" s="79">
        <f>IF(COUNTIFS(TR_6RecyclingArranger[ID_EC],TR_6RecyclingArranger[[#This Row],[ID_EC]],TR_6RecyclingArranger[Name of Third-Party Recycling Arranger],TR_6RecyclingArranger[[#This Row],[Name of Third-Party Recycling Arranger]])&gt;1,1,0)</f>
        <v>0</v>
      </c>
      <c r="M7" s="79">
        <f>IF(TR_6RecyclingArranger[[#This Row],[ID_EC]]="",0,IFERROR(0*MATCH(TR_6RecyclingArranger[[#This Row],[ID_EC]],TR_5ExemptionClaim[Lookup: for arranger tab],0),1))</f>
        <v>0</v>
      </c>
      <c r="N7" s="79">
        <f>IF(TR_6RecyclingArranger[[#This Row],[ID_EC]]="",0,IF(COUNTA(TR_6RecyclingArranger[[#This Row],[Name of Third-Party Recycling Arranger]],TR_6RecyclingArranger[[#This Row],[Pounds of Producer''s Material Recycled by this Recycling Arranger]:[Recycling Arranger Contact Email]])=7,0,1))</f>
        <v>0</v>
      </c>
      <c r="O7" s="79">
        <f>IF(TR_6RecyclingArranger[[#This Row],[ID_EC]]&lt;&gt;"",0,IF(COUNTA(TR_6RecyclingArranger[[#This Row],[Name of Third-Party Recycling Arranger]],TR_6RecyclingArranger[[#This Row],[Pounds of Producer''s Material Recycled by this Recycling Arranger]:[Recycling Arranger Contact Email]])&gt;0,1,0))</f>
        <v>0</v>
      </c>
      <c r="P7" s="79">
        <f>IF(TR_6RecyclingArranger[[#This Row],[Lookup: pounds (this table)]]&gt;TR_6RecyclingArranger[[#This Row],[Lookup: pounds (5B tab)]],1,0)</f>
        <v>0</v>
      </c>
      <c r="Q7" s="77">
        <f>SUMIFS(TR_6RecyclingArranger[Pounds of Producer''s Material Recycled by this Recycling Arranger],TR_6RecyclingArranger[ID_EC],TR_6RecyclingArranger[[#This Row],[ID_EC]])</f>
        <v>0</v>
      </c>
      <c r="R7" s="77">
        <f>IFERROR(INDEX(TR_5ExemptionClaim[How many of the pounds recycled through this pathway were supplied by this producer?],MATCH(TR_6RecyclingArranger[[#This Row],[ID_EC]],TR_5ExemptionClaim[ID_EC],0)),0)</f>
        <v>0</v>
      </c>
      <c r="S7" s="80" t="str">
        <f t="shared" si="0"/>
        <v/>
      </c>
      <c r="T7" s="40"/>
      <c r="U7" s="58"/>
    </row>
    <row r="8" spans="1:22" ht="30.75" customHeight="1" x14ac:dyDescent="0.2">
      <c r="A8" s="82" t="s">
        <v>392</v>
      </c>
      <c r="B8" s="46"/>
      <c r="C8" s="113"/>
      <c r="D8" s="214" t="str">
        <f>IF(TR_6RecyclingArranger[[#This Row],[ID_EC]]="","",INDEX(TR_5ExemptionClaim[End Market Name],MATCH(TR_6RecyclingArranger[[#This Row],[ID_EC]],TR_5ExemptionClaim[ID_EC],0)))</f>
        <v/>
      </c>
      <c r="E8" s="214" t="str">
        <f>IF(TR_6RecyclingArranger[[#This Row],[ID_EC]]="","",INDEX(TR_5ExemptionClaim[Collection or Transportation Service Provider Name],MATCH(TR_6RecyclingArranger[[#This Row],[ID_EC]],TR_5ExemptionClaim[ID_EC],0)))</f>
        <v/>
      </c>
      <c r="F8" s="214" t="str">
        <f>IF(TR_6RecyclingArranger[[#This Row],[ID_EC]]="","",IF(INDEX(TR_5ExemptionClaim[CRPF name],MATCH(TR_6RecyclingArranger[[#This Row],[ID_EC]],TR_5ExemptionClaim[ID_EC],0))=0,"None",INDEX(TR_5ExemptionClaim[CRPF name],MATCH(TR_6RecyclingArranger[[#This Row],[ID_EC]],TR_5ExemptionClaim[ID_EC],0))))</f>
        <v/>
      </c>
      <c r="G8" s="45"/>
      <c r="H8" s="108"/>
      <c r="I8" s="47"/>
      <c r="J8" s="48"/>
      <c r="K8" s="47"/>
      <c r="L8" s="79">
        <f>IF(COUNTIFS(TR_6RecyclingArranger[ID_EC],TR_6RecyclingArranger[[#This Row],[ID_EC]],TR_6RecyclingArranger[Name of Third-Party Recycling Arranger],TR_6RecyclingArranger[[#This Row],[Name of Third-Party Recycling Arranger]])&gt;1,1,0)</f>
        <v>0</v>
      </c>
      <c r="M8" s="79">
        <f>IF(TR_6RecyclingArranger[[#This Row],[ID_EC]]="",0,IFERROR(0*MATCH(TR_6RecyclingArranger[[#This Row],[ID_EC]],TR_5ExemptionClaim[Lookup: for arranger tab],0),1))</f>
        <v>0</v>
      </c>
      <c r="N8" s="79">
        <f>IF(TR_6RecyclingArranger[[#This Row],[ID_EC]]="",0,IF(COUNTA(TR_6RecyclingArranger[[#This Row],[Name of Third-Party Recycling Arranger]],TR_6RecyclingArranger[[#This Row],[Pounds of Producer''s Material Recycled by this Recycling Arranger]:[Recycling Arranger Contact Email]])=7,0,1))</f>
        <v>0</v>
      </c>
      <c r="O8" s="79">
        <f>IF(TR_6RecyclingArranger[[#This Row],[ID_EC]]&lt;&gt;"",0,IF(COUNTA(TR_6RecyclingArranger[[#This Row],[Name of Third-Party Recycling Arranger]],TR_6RecyclingArranger[[#This Row],[Pounds of Producer''s Material Recycled by this Recycling Arranger]:[Recycling Arranger Contact Email]])&gt;0,1,0))</f>
        <v>0</v>
      </c>
      <c r="P8" s="79">
        <f>IF(TR_6RecyclingArranger[[#This Row],[Lookup: pounds (this table)]]&gt;TR_6RecyclingArranger[[#This Row],[Lookup: pounds (5B tab)]],1,0)</f>
        <v>0</v>
      </c>
      <c r="Q8" s="77">
        <f>SUMIFS(TR_6RecyclingArranger[Pounds of Producer''s Material Recycled by this Recycling Arranger],TR_6RecyclingArranger[ID_EC],TR_6RecyclingArranger[[#This Row],[ID_EC]])</f>
        <v>0</v>
      </c>
      <c r="R8" s="77">
        <f>IFERROR(INDEX(TR_5ExemptionClaim[How many of the pounds recycled through this pathway were supplied by this producer?],MATCH(TR_6RecyclingArranger[[#This Row],[ID_EC]],TR_5ExemptionClaim[ID_EC],0)),0)</f>
        <v>0</v>
      </c>
      <c r="S8" s="80" t="str">
        <f t="shared" si="0"/>
        <v/>
      </c>
      <c r="T8" s="40"/>
      <c r="U8" s="58"/>
    </row>
    <row r="9" spans="1:22" ht="30.75" customHeight="1" x14ac:dyDescent="0.2">
      <c r="A9" s="82" t="s">
        <v>393</v>
      </c>
      <c r="B9" s="46"/>
      <c r="C9" s="113"/>
      <c r="D9" s="214" t="str">
        <f>IF(TR_6RecyclingArranger[[#This Row],[ID_EC]]="","",INDEX(TR_5ExemptionClaim[End Market Name],MATCH(TR_6RecyclingArranger[[#This Row],[ID_EC]],TR_5ExemptionClaim[ID_EC],0)))</f>
        <v/>
      </c>
      <c r="E9" s="214" t="str">
        <f>IF(TR_6RecyclingArranger[[#This Row],[ID_EC]]="","",INDEX(TR_5ExemptionClaim[Collection or Transportation Service Provider Name],MATCH(TR_6RecyclingArranger[[#This Row],[ID_EC]],TR_5ExemptionClaim[ID_EC],0)))</f>
        <v/>
      </c>
      <c r="F9" s="214" t="str">
        <f>IF(TR_6RecyclingArranger[[#This Row],[ID_EC]]="","",IF(INDEX(TR_5ExemptionClaim[CRPF name],MATCH(TR_6RecyclingArranger[[#This Row],[ID_EC]],TR_5ExemptionClaim[ID_EC],0))=0,"None",INDEX(TR_5ExemptionClaim[CRPF name],MATCH(TR_6RecyclingArranger[[#This Row],[ID_EC]],TR_5ExemptionClaim[ID_EC],0))))</f>
        <v/>
      </c>
      <c r="G9" s="45"/>
      <c r="H9" s="108"/>
      <c r="I9" s="47"/>
      <c r="J9" s="48"/>
      <c r="K9" s="47"/>
      <c r="L9" s="79">
        <f>IF(COUNTIFS(TR_6RecyclingArranger[ID_EC],TR_6RecyclingArranger[[#This Row],[ID_EC]],TR_6RecyclingArranger[Name of Third-Party Recycling Arranger],TR_6RecyclingArranger[[#This Row],[Name of Third-Party Recycling Arranger]])&gt;1,1,0)</f>
        <v>0</v>
      </c>
      <c r="M9" s="79">
        <f>IF(TR_6RecyclingArranger[[#This Row],[ID_EC]]="",0,IFERROR(0*MATCH(TR_6RecyclingArranger[[#This Row],[ID_EC]],TR_5ExemptionClaim[Lookup: for arranger tab],0),1))</f>
        <v>0</v>
      </c>
      <c r="N9" s="79">
        <f>IF(TR_6RecyclingArranger[[#This Row],[ID_EC]]="",0,IF(COUNTA(TR_6RecyclingArranger[[#This Row],[Name of Third-Party Recycling Arranger]],TR_6RecyclingArranger[[#This Row],[Pounds of Producer''s Material Recycled by this Recycling Arranger]:[Recycling Arranger Contact Email]])=7,0,1))</f>
        <v>0</v>
      </c>
      <c r="O9" s="79">
        <f>IF(TR_6RecyclingArranger[[#This Row],[ID_EC]]&lt;&gt;"",0,IF(COUNTA(TR_6RecyclingArranger[[#This Row],[Name of Third-Party Recycling Arranger]],TR_6RecyclingArranger[[#This Row],[Pounds of Producer''s Material Recycled by this Recycling Arranger]:[Recycling Arranger Contact Email]])&gt;0,1,0))</f>
        <v>0</v>
      </c>
      <c r="P9" s="79">
        <f>IF(TR_6RecyclingArranger[[#This Row],[Lookup: pounds (this table)]]&gt;TR_6RecyclingArranger[[#This Row],[Lookup: pounds (5B tab)]],1,0)</f>
        <v>0</v>
      </c>
      <c r="Q9" s="77">
        <f>SUMIFS(TR_6RecyclingArranger[Pounds of Producer''s Material Recycled by this Recycling Arranger],TR_6RecyclingArranger[ID_EC],TR_6RecyclingArranger[[#This Row],[ID_EC]])</f>
        <v>0</v>
      </c>
      <c r="R9" s="77">
        <f>IFERROR(INDEX(TR_5ExemptionClaim[How many of the pounds recycled through this pathway were supplied by this producer?],MATCH(TR_6RecyclingArranger[[#This Row],[ID_EC]],TR_5ExemptionClaim[ID_EC],0)),0)</f>
        <v>0</v>
      </c>
      <c r="S9" s="80" t="str">
        <f t="shared" si="0"/>
        <v/>
      </c>
      <c r="T9" s="40"/>
      <c r="U9" s="58"/>
    </row>
    <row r="10" spans="1:22" ht="30.75" customHeight="1" x14ac:dyDescent="0.2">
      <c r="A10" s="82" t="s">
        <v>394</v>
      </c>
      <c r="B10" s="46"/>
      <c r="C10" s="113"/>
      <c r="D10" s="214" t="str">
        <f>IF(TR_6RecyclingArranger[[#This Row],[ID_EC]]="","",INDEX(TR_5ExemptionClaim[End Market Name],MATCH(TR_6RecyclingArranger[[#This Row],[ID_EC]],TR_5ExemptionClaim[ID_EC],0)))</f>
        <v/>
      </c>
      <c r="E10" s="214" t="str">
        <f>IF(TR_6RecyclingArranger[[#This Row],[ID_EC]]="","",INDEX(TR_5ExemptionClaim[Collection or Transportation Service Provider Name],MATCH(TR_6RecyclingArranger[[#This Row],[ID_EC]],TR_5ExemptionClaim[ID_EC],0)))</f>
        <v/>
      </c>
      <c r="F10" s="214" t="str">
        <f>IF(TR_6RecyclingArranger[[#This Row],[ID_EC]]="","",IF(INDEX(TR_5ExemptionClaim[CRPF name],MATCH(TR_6RecyclingArranger[[#This Row],[ID_EC]],TR_5ExemptionClaim[ID_EC],0))=0,"None",INDEX(TR_5ExemptionClaim[CRPF name],MATCH(TR_6RecyclingArranger[[#This Row],[ID_EC]],TR_5ExemptionClaim[ID_EC],0))))</f>
        <v/>
      </c>
      <c r="G10" s="45"/>
      <c r="H10" s="108"/>
      <c r="I10" s="47"/>
      <c r="J10" s="48"/>
      <c r="K10" s="47"/>
      <c r="L10" s="79">
        <f>IF(COUNTIFS(TR_6RecyclingArranger[ID_EC],TR_6RecyclingArranger[[#This Row],[ID_EC]],TR_6RecyclingArranger[Name of Third-Party Recycling Arranger],TR_6RecyclingArranger[[#This Row],[Name of Third-Party Recycling Arranger]])&gt;1,1,0)</f>
        <v>0</v>
      </c>
      <c r="M10" s="79">
        <f>IF(TR_6RecyclingArranger[[#This Row],[ID_EC]]="",0,IFERROR(0*MATCH(TR_6RecyclingArranger[[#This Row],[ID_EC]],TR_5ExemptionClaim[Lookup: for arranger tab],0),1))</f>
        <v>0</v>
      </c>
      <c r="N10" s="79">
        <f>IF(TR_6RecyclingArranger[[#This Row],[ID_EC]]="",0,IF(COUNTA(TR_6RecyclingArranger[[#This Row],[Name of Third-Party Recycling Arranger]],TR_6RecyclingArranger[[#This Row],[Pounds of Producer''s Material Recycled by this Recycling Arranger]:[Recycling Arranger Contact Email]])=7,0,1))</f>
        <v>0</v>
      </c>
      <c r="O10" s="79">
        <f>IF(TR_6RecyclingArranger[[#This Row],[ID_EC]]&lt;&gt;"",0,IF(COUNTA(TR_6RecyclingArranger[[#This Row],[Name of Third-Party Recycling Arranger]],TR_6RecyclingArranger[[#This Row],[Pounds of Producer''s Material Recycled by this Recycling Arranger]:[Recycling Arranger Contact Email]])&gt;0,1,0))</f>
        <v>0</v>
      </c>
      <c r="P10" s="79">
        <f>IF(TR_6RecyclingArranger[[#This Row],[Lookup: pounds (this table)]]&gt;TR_6RecyclingArranger[[#This Row],[Lookup: pounds (5B tab)]],1,0)</f>
        <v>0</v>
      </c>
      <c r="Q10" s="77">
        <f>SUMIFS(TR_6RecyclingArranger[Pounds of Producer''s Material Recycled by this Recycling Arranger],TR_6RecyclingArranger[ID_EC],TR_6RecyclingArranger[[#This Row],[ID_EC]])</f>
        <v>0</v>
      </c>
      <c r="R10" s="77">
        <f>IFERROR(INDEX(TR_5ExemptionClaim[How many of the pounds recycled through this pathway were supplied by this producer?],MATCH(TR_6RecyclingArranger[[#This Row],[ID_EC]],TR_5ExemptionClaim[ID_EC],0)),0)</f>
        <v>0</v>
      </c>
      <c r="S10" s="80" t="str">
        <f t="shared" si="0"/>
        <v/>
      </c>
      <c r="T10" s="40"/>
      <c r="U10" s="58"/>
    </row>
    <row r="11" spans="1:22" ht="30.75" customHeight="1" x14ac:dyDescent="0.2">
      <c r="A11" s="82" t="s">
        <v>395</v>
      </c>
      <c r="B11" s="46"/>
      <c r="C11" s="113"/>
      <c r="D11" s="214" t="str">
        <f>IF(TR_6RecyclingArranger[[#This Row],[ID_EC]]="","",INDEX(TR_5ExemptionClaim[End Market Name],MATCH(TR_6RecyclingArranger[[#This Row],[ID_EC]],TR_5ExemptionClaim[ID_EC],0)))</f>
        <v/>
      </c>
      <c r="E11" s="214" t="str">
        <f>IF(TR_6RecyclingArranger[[#This Row],[ID_EC]]="","",INDEX(TR_5ExemptionClaim[Collection or Transportation Service Provider Name],MATCH(TR_6RecyclingArranger[[#This Row],[ID_EC]],TR_5ExemptionClaim[ID_EC],0)))</f>
        <v/>
      </c>
      <c r="F11" s="214" t="str">
        <f>IF(TR_6RecyclingArranger[[#This Row],[ID_EC]]="","",IF(INDEX(TR_5ExemptionClaim[CRPF name],MATCH(TR_6RecyclingArranger[[#This Row],[ID_EC]],TR_5ExemptionClaim[ID_EC],0))=0,"None",INDEX(TR_5ExemptionClaim[CRPF name],MATCH(TR_6RecyclingArranger[[#This Row],[ID_EC]],TR_5ExemptionClaim[ID_EC],0))))</f>
        <v/>
      </c>
      <c r="G11" s="45"/>
      <c r="H11" s="108"/>
      <c r="I11" s="47"/>
      <c r="J11" s="48"/>
      <c r="K11" s="47"/>
      <c r="L11" s="79">
        <f>IF(COUNTIFS(TR_6RecyclingArranger[ID_EC],TR_6RecyclingArranger[[#This Row],[ID_EC]],TR_6RecyclingArranger[Name of Third-Party Recycling Arranger],TR_6RecyclingArranger[[#This Row],[Name of Third-Party Recycling Arranger]])&gt;1,1,0)</f>
        <v>0</v>
      </c>
      <c r="M11" s="79">
        <f>IF(TR_6RecyclingArranger[[#This Row],[ID_EC]]="",0,IFERROR(0*MATCH(TR_6RecyclingArranger[[#This Row],[ID_EC]],TR_5ExemptionClaim[Lookup: for arranger tab],0),1))</f>
        <v>0</v>
      </c>
      <c r="N11" s="79">
        <f>IF(TR_6RecyclingArranger[[#This Row],[ID_EC]]="",0,IF(COUNTA(TR_6RecyclingArranger[[#This Row],[Name of Third-Party Recycling Arranger]],TR_6RecyclingArranger[[#This Row],[Pounds of Producer''s Material Recycled by this Recycling Arranger]:[Recycling Arranger Contact Email]])=7,0,1))</f>
        <v>0</v>
      </c>
      <c r="O11" s="79">
        <f>IF(TR_6RecyclingArranger[[#This Row],[ID_EC]]&lt;&gt;"",0,IF(COUNTA(TR_6RecyclingArranger[[#This Row],[Name of Third-Party Recycling Arranger]],TR_6RecyclingArranger[[#This Row],[Pounds of Producer''s Material Recycled by this Recycling Arranger]:[Recycling Arranger Contact Email]])&gt;0,1,0))</f>
        <v>0</v>
      </c>
      <c r="P11" s="79">
        <f>IF(TR_6RecyclingArranger[[#This Row],[Lookup: pounds (this table)]]&gt;TR_6RecyclingArranger[[#This Row],[Lookup: pounds (5B tab)]],1,0)</f>
        <v>0</v>
      </c>
      <c r="Q11" s="77">
        <f>SUMIFS(TR_6RecyclingArranger[Pounds of Producer''s Material Recycled by this Recycling Arranger],TR_6RecyclingArranger[ID_EC],TR_6RecyclingArranger[[#This Row],[ID_EC]])</f>
        <v>0</v>
      </c>
      <c r="R11" s="77">
        <f>IFERROR(INDEX(TR_5ExemptionClaim[How many of the pounds recycled through this pathway were supplied by this producer?],MATCH(TR_6RecyclingArranger[[#This Row],[ID_EC]],TR_5ExemptionClaim[ID_EC],0)),0)</f>
        <v>0</v>
      </c>
      <c r="S11" s="80" t="str">
        <f t="shared" si="0"/>
        <v/>
      </c>
      <c r="T11" s="40"/>
      <c r="U11" s="58"/>
    </row>
    <row r="12" spans="1:22" ht="30.75" customHeight="1" x14ac:dyDescent="0.2">
      <c r="A12" s="82" t="s">
        <v>396</v>
      </c>
      <c r="B12" s="46"/>
      <c r="C12" s="113"/>
      <c r="D12" s="214" t="str">
        <f>IF(TR_6RecyclingArranger[[#This Row],[ID_EC]]="","",INDEX(TR_5ExemptionClaim[End Market Name],MATCH(TR_6RecyclingArranger[[#This Row],[ID_EC]],TR_5ExemptionClaim[ID_EC],0)))</f>
        <v/>
      </c>
      <c r="E12" s="214" t="str">
        <f>IF(TR_6RecyclingArranger[[#This Row],[ID_EC]]="","",INDEX(TR_5ExemptionClaim[Collection or Transportation Service Provider Name],MATCH(TR_6RecyclingArranger[[#This Row],[ID_EC]],TR_5ExemptionClaim[ID_EC],0)))</f>
        <v/>
      </c>
      <c r="F12" s="214" t="str">
        <f>IF(TR_6RecyclingArranger[[#This Row],[ID_EC]]="","",IF(INDEX(TR_5ExemptionClaim[CRPF name],MATCH(TR_6RecyclingArranger[[#This Row],[ID_EC]],TR_5ExemptionClaim[ID_EC],0))=0,"None",INDEX(TR_5ExemptionClaim[CRPF name],MATCH(TR_6RecyclingArranger[[#This Row],[ID_EC]],TR_5ExemptionClaim[ID_EC],0))))</f>
        <v/>
      </c>
      <c r="G12" s="45"/>
      <c r="H12" s="108"/>
      <c r="I12" s="47"/>
      <c r="J12" s="48"/>
      <c r="K12" s="47"/>
      <c r="L12" s="79">
        <f>IF(COUNTIFS(TR_6RecyclingArranger[ID_EC],TR_6RecyclingArranger[[#This Row],[ID_EC]],TR_6RecyclingArranger[Name of Third-Party Recycling Arranger],TR_6RecyclingArranger[[#This Row],[Name of Third-Party Recycling Arranger]])&gt;1,1,0)</f>
        <v>0</v>
      </c>
      <c r="M12" s="79">
        <f>IF(TR_6RecyclingArranger[[#This Row],[ID_EC]]="",0,IFERROR(0*MATCH(TR_6RecyclingArranger[[#This Row],[ID_EC]],TR_5ExemptionClaim[Lookup: for arranger tab],0),1))</f>
        <v>0</v>
      </c>
      <c r="N12" s="79">
        <f>IF(TR_6RecyclingArranger[[#This Row],[ID_EC]]="",0,IF(COUNTA(TR_6RecyclingArranger[[#This Row],[Name of Third-Party Recycling Arranger]],TR_6RecyclingArranger[[#This Row],[Pounds of Producer''s Material Recycled by this Recycling Arranger]:[Recycling Arranger Contact Email]])=7,0,1))</f>
        <v>0</v>
      </c>
      <c r="O12" s="79">
        <f>IF(TR_6RecyclingArranger[[#This Row],[ID_EC]]&lt;&gt;"",0,IF(COUNTA(TR_6RecyclingArranger[[#This Row],[Name of Third-Party Recycling Arranger]],TR_6RecyclingArranger[[#This Row],[Pounds of Producer''s Material Recycled by this Recycling Arranger]:[Recycling Arranger Contact Email]])&gt;0,1,0))</f>
        <v>0</v>
      </c>
      <c r="P12" s="79">
        <f>IF(TR_6RecyclingArranger[[#This Row],[Lookup: pounds (this table)]]&gt;TR_6RecyclingArranger[[#This Row],[Lookup: pounds (5B tab)]],1,0)</f>
        <v>0</v>
      </c>
      <c r="Q12" s="77">
        <f>SUMIFS(TR_6RecyclingArranger[Pounds of Producer''s Material Recycled by this Recycling Arranger],TR_6RecyclingArranger[ID_EC],TR_6RecyclingArranger[[#This Row],[ID_EC]])</f>
        <v>0</v>
      </c>
      <c r="R12" s="77">
        <f>IFERROR(INDEX(TR_5ExemptionClaim[How many of the pounds recycled through this pathway were supplied by this producer?],MATCH(TR_6RecyclingArranger[[#This Row],[ID_EC]],TR_5ExemptionClaim[ID_EC],0)),0)</f>
        <v>0</v>
      </c>
      <c r="S12" s="80" t="str">
        <f t="shared" si="0"/>
        <v/>
      </c>
      <c r="T12" s="40"/>
      <c r="U12" s="58"/>
    </row>
    <row r="13" spans="1:22" ht="30.75" customHeight="1" x14ac:dyDescent="0.2">
      <c r="A13" s="82" t="s">
        <v>397</v>
      </c>
      <c r="B13" s="46"/>
      <c r="C13" s="113"/>
      <c r="D13" s="214" t="str">
        <f>IF(TR_6RecyclingArranger[[#This Row],[ID_EC]]="","",INDEX(TR_5ExemptionClaim[End Market Name],MATCH(TR_6RecyclingArranger[[#This Row],[ID_EC]],TR_5ExemptionClaim[ID_EC],0)))</f>
        <v/>
      </c>
      <c r="E13" s="214" t="str">
        <f>IF(TR_6RecyclingArranger[[#This Row],[ID_EC]]="","",INDEX(TR_5ExemptionClaim[Collection or Transportation Service Provider Name],MATCH(TR_6RecyclingArranger[[#This Row],[ID_EC]],TR_5ExemptionClaim[ID_EC],0)))</f>
        <v/>
      </c>
      <c r="F13" s="214" t="str">
        <f>IF(TR_6RecyclingArranger[[#This Row],[ID_EC]]="","",IF(INDEX(TR_5ExemptionClaim[CRPF name],MATCH(TR_6RecyclingArranger[[#This Row],[ID_EC]],TR_5ExemptionClaim[ID_EC],0))=0,"None",INDEX(TR_5ExemptionClaim[CRPF name],MATCH(TR_6RecyclingArranger[[#This Row],[ID_EC]],TR_5ExemptionClaim[ID_EC],0))))</f>
        <v/>
      </c>
      <c r="G13" s="45"/>
      <c r="H13" s="108"/>
      <c r="I13" s="47"/>
      <c r="J13" s="48"/>
      <c r="K13" s="47"/>
      <c r="L13" s="79">
        <f>IF(COUNTIFS(TR_6RecyclingArranger[ID_EC],TR_6RecyclingArranger[[#This Row],[ID_EC]],TR_6RecyclingArranger[Name of Third-Party Recycling Arranger],TR_6RecyclingArranger[[#This Row],[Name of Third-Party Recycling Arranger]])&gt;1,1,0)</f>
        <v>0</v>
      </c>
      <c r="M13" s="79">
        <f>IF(TR_6RecyclingArranger[[#This Row],[ID_EC]]="",0,IFERROR(0*MATCH(TR_6RecyclingArranger[[#This Row],[ID_EC]],TR_5ExemptionClaim[Lookup: for arranger tab],0),1))</f>
        <v>0</v>
      </c>
      <c r="N13" s="79">
        <f>IF(TR_6RecyclingArranger[[#This Row],[ID_EC]]="",0,IF(COUNTA(TR_6RecyclingArranger[[#This Row],[Name of Third-Party Recycling Arranger]],TR_6RecyclingArranger[[#This Row],[Pounds of Producer''s Material Recycled by this Recycling Arranger]:[Recycling Arranger Contact Email]])=7,0,1))</f>
        <v>0</v>
      </c>
      <c r="O13" s="79">
        <f>IF(TR_6RecyclingArranger[[#This Row],[ID_EC]]&lt;&gt;"",0,IF(COUNTA(TR_6RecyclingArranger[[#This Row],[Name of Third-Party Recycling Arranger]],TR_6RecyclingArranger[[#This Row],[Pounds of Producer''s Material Recycled by this Recycling Arranger]:[Recycling Arranger Contact Email]])&gt;0,1,0))</f>
        <v>0</v>
      </c>
      <c r="P13" s="79">
        <f>IF(TR_6RecyclingArranger[[#This Row],[Lookup: pounds (this table)]]&gt;TR_6RecyclingArranger[[#This Row],[Lookup: pounds (5B tab)]],1,0)</f>
        <v>0</v>
      </c>
      <c r="Q13" s="77">
        <f>SUMIFS(TR_6RecyclingArranger[Pounds of Producer''s Material Recycled by this Recycling Arranger],TR_6RecyclingArranger[ID_EC],TR_6RecyclingArranger[[#This Row],[ID_EC]])</f>
        <v>0</v>
      </c>
      <c r="R13" s="77">
        <f>IFERROR(INDEX(TR_5ExemptionClaim[How many of the pounds recycled through this pathway were supplied by this producer?],MATCH(TR_6RecyclingArranger[[#This Row],[ID_EC]],TR_5ExemptionClaim[ID_EC],0)),0)</f>
        <v>0</v>
      </c>
      <c r="S13" s="80" t="str">
        <f t="shared" si="0"/>
        <v/>
      </c>
      <c r="T13" s="40"/>
      <c r="U13" s="58"/>
    </row>
    <row r="14" spans="1:22" ht="30.75" customHeight="1" x14ac:dyDescent="0.2">
      <c r="A14" s="82" t="s">
        <v>398</v>
      </c>
      <c r="B14" s="46"/>
      <c r="C14" s="113"/>
      <c r="D14" s="214" t="str">
        <f>IF(TR_6RecyclingArranger[[#This Row],[ID_EC]]="","",INDEX(TR_5ExemptionClaim[End Market Name],MATCH(TR_6RecyclingArranger[[#This Row],[ID_EC]],TR_5ExemptionClaim[ID_EC],0)))</f>
        <v/>
      </c>
      <c r="E14" s="214" t="str">
        <f>IF(TR_6RecyclingArranger[[#This Row],[ID_EC]]="","",INDEX(TR_5ExemptionClaim[Collection or Transportation Service Provider Name],MATCH(TR_6RecyclingArranger[[#This Row],[ID_EC]],TR_5ExemptionClaim[ID_EC],0)))</f>
        <v/>
      </c>
      <c r="F14" s="214" t="str">
        <f>IF(TR_6RecyclingArranger[[#This Row],[ID_EC]]="","",IF(INDEX(TR_5ExemptionClaim[CRPF name],MATCH(TR_6RecyclingArranger[[#This Row],[ID_EC]],TR_5ExemptionClaim[ID_EC],0))=0,"None",INDEX(TR_5ExemptionClaim[CRPF name],MATCH(TR_6RecyclingArranger[[#This Row],[ID_EC]],TR_5ExemptionClaim[ID_EC],0))))</f>
        <v/>
      </c>
      <c r="G14" s="45"/>
      <c r="H14" s="108"/>
      <c r="I14" s="47"/>
      <c r="J14" s="48"/>
      <c r="K14" s="47"/>
      <c r="L14" s="79">
        <f>IF(COUNTIFS(TR_6RecyclingArranger[ID_EC],TR_6RecyclingArranger[[#This Row],[ID_EC]],TR_6RecyclingArranger[Name of Third-Party Recycling Arranger],TR_6RecyclingArranger[[#This Row],[Name of Third-Party Recycling Arranger]])&gt;1,1,0)</f>
        <v>0</v>
      </c>
      <c r="M14" s="79">
        <f>IF(TR_6RecyclingArranger[[#This Row],[ID_EC]]="",0,IFERROR(0*MATCH(TR_6RecyclingArranger[[#This Row],[ID_EC]],TR_5ExemptionClaim[Lookup: for arranger tab],0),1))</f>
        <v>0</v>
      </c>
      <c r="N14" s="79">
        <f>IF(TR_6RecyclingArranger[[#This Row],[ID_EC]]="",0,IF(COUNTA(TR_6RecyclingArranger[[#This Row],[Name of Third-Party Recycling Arranger]],TR_6RecyclingArranger[[#This Row],[Pounds of Producer''s Material Recycled by this Recycling Arranger]:[Recycling Arranger Contact Email]])=7,0,1))</f>
        <v>0</v>
      </c>
      <c r="O14" s="79">
        <f>IF(TR_6RecyclingArranger[[#This Row],[ID_EC]]&lt;&gt;"",0,IF(COUNTA(TR_6RecyclingArranger[[#This Row],[Name of Third-Party Recycling Arranger]],TR_6RecyclingArranger[[#This Row],[Pounds of Producer''s Material Recycled by this Recycling Arranger]:[Recycling Arranger Contact Email]])&gt;0,1,0))</f>
        <v>0</v>
      </c>
      <c r="P14" s="79">
        <f>IF(TR_6RecyclingArranger[[#This Row],[Lookup: pounds (this table)]]&gt;TR_6RecyclingArranger[[#This Row],[Lookup: pounds (5B tab)]],1,0)</f>
        <v>0</v>
      </c>
      <c r="Q14" s="77">
        <f>SUMIFS(TR_6RecyclingArranger[Pounds of Producer''s Material Recycled by this Recycling Arranger],TR_6RecyclingArranger[ID_EC],TR_6RecyclingArranger[[#This Row],[ID_EC]])</f>
        <v>0</v>
      </c>
      <c r="R14" s="77">
        <f>IFERROR(INDEX(TR_5ExemptionClaim[How many of the pounds recycled through this pathway were supplied by this producer?],MATCH(TR_6RecyclingArranger[[#This Row],[ID_EC]],TR_5ExemptionClaim[ID_EC],0)),0)</f>
        <v>0</v>
      </c>
      <c r="S14" s="80" t="str">
        <f t="shared" si="0"/>
        <v/>
      </c>
      <c r="T14" s="40"/>
      <c r="U14" s="58"/>
    </row>
    <row r="15" spans="1:22" ht="30.75" customHeight="1" x14ac:dyDescent="0.2">
      <c r="A15" s="82" t="s">
        <v>399</v>
      </c>
      <c r="B15" s="46"/>
      <c r="C15" s="113"/>
      <c r="D15" s="214" t="str">
        <f>IF(TR_6RecyclingArranger[[#This Row],[ID_EC]]="","",INDEX(TR_5ExemptionClaim[End Market Name],MATCH(TR_6RecyclingArranger[[#This Row],[ID_EC]],TR_5ExemptionClaim[ID_EC],0)))</f>
        <v/>
      </c>
      <c r="E15" s="214" t="str">
        <f>IF(TR_6RecyclingArranger[[#This Row],[ID_EC]]="","",INDEX(TR_5ExemptionClaim[Collection or Transportation Service Provider Name],MATCH(TR_6RecyclingArranger[[#This Row],[ID_EC]],TR_5ExemptionClaim[ID_EC],0)))</f>
        <v/>
      </c>
      <c r="F15" s="214" t="str">
        <f>IF(TR_6RecyclingArranger[[#This Row],[ID_EC]]="","",IF(INDEX(TR_5ExemptionClaim[CRPF name],MATCH(TR_6RecyclingArranger[[#This Row],[ID_EC]],TR_5ExemptionClaim[ID_EC],0))=0,"None",INDEX(TR_5ExemptionClaim[CRPF name],MATCH(TR_6RecyclingArranger[[#This Row],[ID_EC]],TR_5ExemptionClaim[ID_EC],0))))</f>
        <v/>
      </c>
      <c r="G15" s="45"/>
      <c r="H15" s="108"/>
      <c r="I15" s="47"/>
      <c r="J15" s="48"/>
      <c r="K15" s="47"/>
      <c r="L15" s="79">
        <f>IF(COUNTIFS(TR_6RecyclingArranger[ID_EC],TR_6RecyclingArranger[[#This Row],[ID_EC]],TR_6RecyclingArranger[Name of Third-Party Recycling Arranger],TR_6RecyclingArranger[[#This Row],[Name of Third-Party Recycling Arranger]])&gt;1,1,0)</f>
        <v>0</v>
      </c>
      <c r="M15" s="79">
        <f>IF(TR_6RecyclingArranger[[#This Row],[ID_EC]]="",0,IFERROR(0*MATCH(TR_6RecyclingArranger[[#This Row],[ID_EC]],TR_5ExemptionClaim[Lookup: for arranger tab],0),1))</f>
        <v>0</v>
      </c>
      <c r="N15" s="79">
        <f>IF(TR_6RecyclingArranger[[#This Row],[ID_EC]]="",0,IF(COUNTA(TR_6RecyclingArranger[[#This Row],[Name of Third-Party Recycling Arranger]],TR_6RecyclingArranger[[#This Row],[Pounds of Producer''s Material Recycled by this Recycling Arranger]:[Recycling Arranger Contact Email]])=7,0,1))</f>
        <v>0</v>
      </c>
      <c r="O15" s="79">
        <f>IF(TR_6RecyclingArranger[[#This Row],[ID_EC]]&lt;&gt;"",0,IF(COUNTA(TR_6RecyclingArranger[[#This Row],[Name of Third-Party Recycling Arranger]],TR_6RecyclingArranger[[#This Row],[Pounds of Producer''s Material Recycled by this Recycling Arranger]:[Recycling Arranger Contact Email]])&gt;0,1,0))</f>
        <v>0</v>
      </c>
      <c r="P15" s="79">
        <f>IF(TR_6RecyclingArranger[[#This Row],[Lookup: pounds (this table)]]&gt;TR_6RecyclingArranger[[#This Row],[Lookup: pounds (5B tab)]],1,0)</f>
        <v>0</v>
      </c>
      <c r="Q15" s="77">
        <f>SUMIFS(TR_6RecyclingArranger[Pounds of Producer''s Material Recycled by this Recycling Arranger],TR_6RecyclingArranger[ID_EC],TR_6RecyclingArranger[[#This Row],[ID_EC]])</f>
        <v>0</v>
      </c>
      <c r="R15" s="77">
        <f>IFERROR(INDEX(TR_5ExemptionClaim[How many of the pounds recycled through this pathway were supplied by this producer?],MATCH(TR_6RecyclingArranger[[#This Row],[ID_EC]],TR_5ExemptionClaim[ID_EC],0)),0)</f>
        <v>0</v>
      </c>
      <c r="S15" s="80" t="str">
        <f t="shared" si="0"/>
        <v/>
      </c>
      <c r="T15" s="40"/>
      <c r="U15" s="58"/>
    </row>
    <row r="16" spans="1:22" ht="30.75" customHeight="1" x14ac:dyDescent="0.2">
      <c r="A16" s="82" t="s">
        <v>400</v>
      </c>
      <c r="B16" s="46"/>
      <c r="C16" s="113"/>
      <c r="D16" s="214" t="str">
        <f>IF(TR_6RecyclingArranger[[#This Row],[ID_EC]]="","",INDEX(TR_5ExemptionClaim[End Market Name],MATCH(TR_6RecyclingArranger[[#This Row],[ID_EC]],TR_5ExemptionClaim[ID_EC],0)))</f>
        <v/>
      </c>
      <c r="E16" s="214" t="str">
        <f>IF(TR_6RecyclingArranger[[#This Row],[ID_EC]]="","",INDEX(TR_5ExemptionClaim[Collection or Transportation Service Provider Name],MATCH(TR_6RecyclingArranger[[#This Row],[ID_EC]],TR_5ExemptionClaim[ID_EC],0)))</f>
        <v/>
      </c>
      <c r="F16" s="214" t="str">
        <f>IF(TR_6RecyclingArranger[[#This Row],[ID_EC]]="","",IF(INDEX(TR_5ExemptionClaim[CRPF name],MATCH(TR_6RecyclingArranger[[#This Row],[ID_EC]],TR_5ExemptionClaim[ID_EC],0))=0,"None",INDEX(TR_5ExemptionClaim[CRPF name],MATCH(TR_6RecyclingArranger[[#This Row],[ID_EC]],TR_5ExemptionClaim[ID_EC],0))))</f>
        <v/>
      </c>
      <c r="G16" s="45"/>
      <c r="H16" s="108"/>
      <c r="I16" s="47"/>
      <c r="J16" s="48"/>
      <c r="K16" s="47"/>
      <c r="L16" s="79">
        <f>IF(COUNTIFS(TR_6RecyclingArranger[ID_EC],TR_6RecyclingArranger[[#This Row],[ID_EC]],TR_6RecyclingArranger[Name of Third-Party Recycling Arranger],TR_6RecyclingArranger[[#This Row],[Name of Third-Party Recycling Arranger]])&gt;1,1,0)</f>
        <v>0</v>
      </c>
      <c r="M16" s="79">
        <f>IF(TR_6RecyclingArranger[[#This Row],[ID_EC]]="",0,IFERROR(0*MATCH(TR_6RecyclingArranger[[#This Row],[ID_EC]],TR_5ExemptionClaim[Lookup: for arranger tab],0),1))</f>
        <v>0</v>
      </c>
      <c r="N16" s="79">
        <f>IF(TR_6RecyclingArranger[[#This Row],[ID_EC]]="",0,IF(COUNTA(TR_6RecyclingArranger[[#This Row],[Name of Third-Party Recycling Arranger]],TR_6RecyclingArranger[[#This Row],[Pounds of Producer''s Material Recycled by this Recycling Arranger]:[Recycling Arranger Contact Email]])=7,0,1))</f>
        <v>0</v>
      </c>
      <c r="O16" s="79">
        <f>IF(TR_6RecyclingArranger[[#This Row],[ID_EC]]&lt;&gt;"",0,IF(COUNTA(TR_6RecyclingArranger[[#This Row],[Name of Third-Party Recycling Arranger]],TR_6RecyclingArranger[[#This Row],[Pounds of Producer''s Material Recycled by this Recycling Arranger]:[Recycling Arranger Contact Email]])&gt;0,1,0))</f>
        <v>0</v>
      </c>
      <c r="P16" s="79">
        <f>IF(TR_6RecyclingArranger[[#This Row],[Lookup: pounds (this table)]]&gt;TR_6RecyclingArranger[[#This Row],[Lookup: pounds (5B tab)]],1,0)</f>
        <v>0</v>
      </c>
      <c r="Q16" s="77">
        <f>SUMIFS(TR_6RecyclingArranger[Pounds of Producer''s Material Recycled by this Recycling Arranger],TR_6RecyclingArranger[ID_EC],TR_6RecyclingArranger[[#This Row],[ID_EC]])</f>
        <v>0</v>
      </c>
      <c r="R16" s="77">
        <f>IFERROR(INDEX(TR_5ExemptionClaim[How many of the pounds recycled through this pathway were supplied by this producer?],MATCH(TR_6RecyclingArranger[[#This Row],[ID_EC]],TR_5ExemptionClaim[ID_EC],0)),0)</f>
        <v>0</v>
      </c>
      <c r="S16" s="80" t="str">
        <f t="shared" si="0"/>
        <v/>
      </c>
      <c r="T16" s="40"/>
      <c r="U16" s="58"/>
    </row>
    <row r="17" spans="1:21" ht="30.75" customHeight="1" x14ac:dyDescent="0.2">
      <c r="A17" s="82" t="s">
        <v>401</v>
      </c>
      <c r="B17" s="46"/>
      <c r="C17" s="113"/>
      <c r="D17" s="214" t="str">
        <f>IF(TR_6RecyclingArranger[[#This Row],[ID_EC]]="","",INDEX(TR_5ExemptionClaim[End Market Name],MATCH(TR_6RecyclingArranger[[#This Row],[ID_EC]],TR_5ExemptionClaim[ID_EC],0)))</f>
        <v/>
      </c>
      <c r="E17" s="214" t="str">
        <f>IF(TR_6RecyclingArranger[[#This Row],[ID_EC]]="","",INDEX(TR_5ExemptionClaim[Collection or Transportation Service Provider Name],MATCH(TR_6RecyclingArranger[[#This Row],[ID_EC]],TR_5ExemptionClaim[ID_EC],0)))</f>
        <v/>
      </c>
      <c r="F17" s="214" t="str">
        <f>IF(TR_6RecyclingArranger[[#This Row],[ID_EC]]="","",IF(INDEX(TR_5ExemptionClaim[CRPF name],MATCH(TR_6RecyclingArranger[[#This Row],[ID_EC]],TR_5ExemptionClaim[ID_EC],0))=0,"None",INDEX(TR_5ExemptionClaim[CRPF name],MATCH(TR_6RecyclingArranger[[#This Row],[ID_EC]],TR_5ExemptionClaim[ID_EC],0))))</f>
        <v/>
      </c>
      <c r="G17" s="45"/>
      <c r="H17" s="108"/>
      <c r="I17" s="47"/>
      <c r="J17" s="48"/>
      <c r="K17" s="47"/>
      <c r="L17" s="79">
        <f>IF(COUNTIFS(TR_6RecyclingArranger[ID_EC],TR_6RecyclingArranger[[#This Row],[ID_EC]],TR_6RecyclingArranger[Name of Third-Party Recycling Arranger],TR_6RecyclingArranger[[#This Row],[Name of Third-Party Recycling Arranger]])&gt;1,1,0)</f>
        <v>0</v>
      </c>
      <c r="M17" s="79">
        <f>IF(TR_6RecyclingArranger[[#This Row],[ID_EC]]="",0,IFERROR(0*MATCH(TR_6RecyclingArranger[[#This Row],[ID_EC]],TR_5ExemptionClaim[Lookup: for arranger tab],0),1))</f>
        <v>0</v>
      </c>
      <c r="N17" s="79">
        <f>IF(TR_6RecyclingArranger[[#This Row],[ID_EC]]="",0,IF(COUNTA(TR_6RecyclingArranger[[#This Row],[Name of Third-Party Recycling Arranger]],TR_6RecyclingArranger[[#This Row],[Pounds of Producer''s Material Recycled by this Recycling Arranger]:[Recycling Arranger Contact Email]])=7,0,1))</f>
        <v>0</v>
      </c>
      <c r="O17" s="79">
        <f>IF(TR_6RecyclingArranger[[#This Row],[ID_EC]]&lt;&gt;"",0,IF(COUNTA(TR_6RecyclingArranger[[#This Row],[Name of Third-Party Recycling Arranger]],TR_6RecyclingArranger[[#This Row],[Pounds of Producer''s Material Recycled by this Recycling Arranger]:[Recycling Arranger Contact Email]])&gt;0,1,0))</f>
        <v>0</v>
      </c>
      <c r="P17" s="79">
        <f>IF(TR_6RecyclingArranger[[#This Row],[Lookup: pounds (this table)]]&gt;TR_6RecyclingArranger[[#This Row],[Lookup: pounds (5B tab)]],1,0)</f>
        <v>0</v>
      </c>
      <c r="Q17" s="77">
        <f>SUMIFS(TR_6RecyclingArranger[Pounds of Producer''s Material Recycled by this Recycling Arranger],TR_6RecyclingArranger[ID_EC],TR_6RecyclingArranger[[#This Row],[ID_EC]])</f>
        <v>0</v>
      </c>
      <c r="R17" s="77">
        <f>IFERROR(INDEX(TR_5ExemptionClaim[How many of the pounds recycled through this pathway were supplied by this producer?],MATCH(TR_6RecyclingArranger[[#This Row],[ID_EC]],TR_5ExemptionClaim[ID_EC],0)),0)</f>
        <v>0</v>
      </c>
      <c r="S17" s="80" t="str">
        <f t="shared" si="0"/>
        <v/>
      </c>
      <c r="T17" s="40"/>
      <c r="U17" s="58"/>
    </row>
    <row r="18" spans="1:21" ht="30.75" customHeight="1" x14ac:dyDescent="0.2">
      <c r="A18" s="82" t="s">
        <v>402</v>
      </c>
      <c r="B18" s="46"/>
      <c r="C18" s="113"/>
      <c r="D18" s="214" t="str">
        <f>IF(TR_6RecyclingArranger[[#This Row],[ID_EC]]="","",INDEX(TR_5ExemptionClaim[End Market Name],MATCH(TR_6RecyclingArranger[[#This Row],[ID_EC]],TR_5ExemptionClaim[ID_EC],0)))</f>
        <v/>
      </c>
      <c r="E18" s="214" t="str">
        <f>IF(TR_6RecyclingArranger[[#This Row],[ID_EC]]="","",INDEX(TR_5ExemptionClaim[Collection or Transportation Service Provider Name],MATCH(TR_6RecyclingArranger[[#This Row],[ID_EC]],TR_5ExemptionClaim[ID_EC],0)))</f>
        <v/>
      </c>
      <c r="F18" s="214" t="str">
        <f>IF(TR_6RecyclingArranger[[#This Row],[ID_EC]]="","",IF(INDEX(TR_5ExemptionClaim[CRPF name],MATCH(TR_6RecyclingArranger[[#This Row],[ID_EC]],TR_5ExemptionClaim[ID_EC],0))=0,"None",INDEX(TR_5ExemptionClaim[CRPF name],MATCH(TR_6RecyclingArranger[[#This Row],[ID_EC]],TR_5ExemptionClaim[ID_EC],0))))</f>
        <v/>
      </c>
      <c r="G18" s="45"/>
      <c r="H18" s="108"/>
      <c r="I18" s="47"/>
      <c r="J18" s="48"/>
      <c r="K18" s="47"/>
      <c r="L18" s="79">
        <f>IF(COUNTIFS(TR_6RecyclingArranger[ID_EC],TR_6RecyclingArranger[[#This Row],[ID_EC]],TR_6RecyclingArranger[Name of Third-Party Recycling Arranger],TR_6RecyclingArranger[[#This Row],[Name of Third-Party Recycling Arranger]])&gt;1,1,0)</f>
        <v>0</v>
      </c>
      <c r="M18" s="79">
        <f>IF(TR_6RecyclingArranger[[#This Row],[ID_EC]]="",0,IFERROR(0*MATCH(TR_6RecyclingArranger[[#This Row],[ID_EC]],TR_5ExemptionClaim[Lookup: for arranger tab],0),1))</f>
        <v>0</v>
      </c>
      <c r="N18" s="79">
        <f>IF(TR_6RecyclingArranger[[#This Row],[ID_EC]]="",0,IF(COUNTA(TR_6RecyclingArranger[[#This Row],[Name of Third-Party Recycling Arranger]],TR_6RecyclingArranger[[#This Row],[Pounds of Producer''s Material Recycled by this Recycling Arranger]:[Recycling Arranger Contact Email]])=7,0,1))</f>
        <v>0</v>
      </c>
      <c r="O18" s="79">
        <f>IF(TR_6RecyclingArranger[[#This Row],[ID_EC]]&lt;&gt;"",0,IF(COUNTA(TR_6RecyclingArranger[[#This Row],[Name of Third-Party Recycling Arranger]],TR_6RecyclingArranger[[#This Row],[Pounds of Producer''s Material Recycled by this Recycling Arranger]:[Recycling Arranger Contact Email]])&gt;0,1,0))</f>
        <v>0</v>
      </c>
      <c r="P18" s="79">
        <f>IF(TR_6RecyclingArranger[[#This Row],[Lookup: pounds (this table)]]&gt;TR_6RecyclingArranger[[#This Row],[Lookup: pounds (5B tab)]],1,0)</f>
        <v>0</v>
      </c>
      <c r="Q18" s="77">
        <f>SUMIFS(TR_6RecyclingArranger[Pounds of Producer''s Material Recycled by this Recycling Arranger],TR_6RecyclingArranger[ID_EC],TR_6RecyclingArranger[[#This Row],[ID_EC]])</f>
        <v>0</v>
      </c>
      <c r="R18" s="77">
        <f>IFERROR(INDEX(TR_5ExemptionClaim[How many of the pounds recycled through this pathway were supplied by this producer?],MATCH(TR_6RecyclingArranger[[#This Row],[ID_EC]],TR_5ExemptionClaim[ID_EC],0)),0)</f>
        <v>0</v>
      </c>
      <c r="S18" s="80" t="str">
        <f t="shared" si="0"/>
        <v/>
      </c>
      <c r="T18" s="40"/>
      <c r="U18" s="58"/>
    </row>
    <row r="19" spans="1:21" ht="30.75" customHeight="1" x14ac:dyDescent="0.2">
      <c r="A19" s="82" t="s">
        <v>403</v>
      </c>
      <c r="B19" s="46"/>
      <c r="C19" s="113"/>
      <c r="D19" s="214" t="str">
        <f>IF(TR_6RecyclingArranger[[#This Row],[ID_EC]]="","",INDEX(TR_5ExemptionClaim[End Market Name],MATCH(TR_6RecyclingArranger[[#This Row],[ID_EC]],TR_5ExemptionClaim[ID_EC],0)))</f>
        <v/>
      </c>
      <c r="E19" s="214" t="str">
        <f>IF(TR_6RecyclingArranger[[#This Row],[ID_EC]]="","",INDEX(TR_5ExemptionClaim[Collection or Transportation Service Provider Name],MATCH(TR_6RecyclingArranger[[#This Row],[ID_EC]],TR_5ExemptionClaim[ID_EC],0)))</f>
        <v/>
      </c>
      <c r="F19" s="214" t="str">
        <f>IF(TR_6RecyclingArranger[[#This Row],[ID_EC]]="","",IF(INDEX(TR_5ExemptionClaim[CRPF name],MATCH(TR_6RecyclingArranger[[#This Row],[ID_EC]],TR_5ExemptionClaim[ID_EC],0))=0,"None",INDEX(TR_5ExemptionClaim[CRPF name],MATCH(TR_6RecyclingArranger[[#This Row],[ID_EC]],TR_5ExemptionClaim[ID_EC],0))))</f>
        <v/>
      </c>
      <c r="G19" s="45"/>
      <c r="H19" s="108"/>
      <c r="I19" s="47"/>
      <c r="J19" s="48"/>
      <c r="K19" s="47"/>
      <c r="L19" s="79">
        <f>IF(COUNTIFS(TR_6RecyclingArranger[ID_EC],TR_6RecyclingArranger[[#This Row],[ID_EC]],TR_6RecyclingArranger[Name of Third-Party Recycling Arranger],TR_6RecyclingArranger[[#This Row],[Name of Third-Party Recycling Arranger]])&gt;1,1,0)</f>
        <v>0</v>
      </c>
      <c r="M19" s="79">
        <f>IF(TR_6RecyclingArranger[[#This Row],[ID_EC]]="",0,IFERROR(0*MATCH(TR_6RecyclingArranger[[#This Row],[ID_EC]],TR_5ExemptionClaim[Lookup: for arranger tab],0),1))</f>
        <v>0</v>
      </c>
      <c r="N19" s="79">
        <f>IF(TR_6RecyclingArranger[[#This Row],[ID_EC]]="",0,IF(COUNTA(TR_6RecyclingArranger[[#This Row],[Name of Third-Party Recycling Arranger]],TR_6RecyclingArranger[[#This Row],[Pounds of Producer''s Material Recycled by this Recycling Arranger]:[Recycling Arranger Contact Email]])=7,0,1))</f>
        <v>0</v>
      </c>
      <c r="O19" s="79">
        <f>IF(TR_6RecyclingArranger[[#This Row],[ID_EC]]&lt;&gt;"",0,IF(COUNTA(TR_6RecyclingArranger[[#This Row],[Name of Third-Party Recycling Arranger]],TR_6RecyclingArranger[[#This Row],[Pounds of Producer''s Material Recycled by this Recycling Arranger]:[Recycling Arranger Contact Email]])&gt;0,1,0))</f>
        <v>0</v>
      </c>
      <c r="P19" s="79">
        <f>IF(TR_6RecyclingArranger[[#This Row],[Lookup: pounds (this table)]]&gt;TR_6RecyclingArranger[[#This Row],[Lookup: pounds (5B tab)]],1,0)</f>
        <v>0</v>
      </c>
      <c r="Q19" s="77">
        <f>SUMIFS(TR_6RecyclingArranger[Pounds of Producer''s Material Recycled by this Recycling Arranger],TR_6RecyclingArranger[ID_EC],TR_6RecyclingArranger[[#This Row],[ID_EC]])</f>
        <v>0</v>
      </c>
      <c r="R19" s="77">
        <f>IFERROR(INDEX(TR_5ExemptionClaim[How many of the pounds recycled through this pathway were supplied by this producer?],MATCH(TR_6RecyclingArranger[[#This Row],[ID_EC]],TR_5ExemptionClaim[ID_EC],0)),0)</f>
        <v>0</v>
      </c>
      <c r="S19" s="80" t="str">
        <f t="shared" si="0"/>
        <v/>
      </c>
      <c r="T19" s="40"/>
      <c r="U19" s="58"/>
    </row>
    <row r="20" spans="1:21" ht="30.75" customHeight="1" x14ac:dyDescent="0.2">
      <c r="A20" s="82" t="s">
        <v>404</v>
      </c>
      <c r="B20" s="46"/>
      <c r="C20" s="113"/>
      <c r="D20" s="214" t="str">
        <f>IF(TR_6RecyclingArranger[[#This Row],[ID_EC]]="","",INDEX(TR_5ExemptionClaim[End Market Name],MATCH(TR_6RecyclingArranger[[#This Row],[ID_EC]],TR_5ExemptionClaim[ID_EC],0)))</f>
        <v/>
      </c>
      <c r="E20" s="214" t="str">
        <f>IF(TR_6RecyclingArranger[[#This Row],[ID_EC]]="","",INDEX(TR_5ExemptionClaim[Collection or Transportation Service Provider Name],MATCH(TR_6RecyclingArranger[[#This Row],[ID_EC]],TR_5ExemptionClaim[ID_EC],0)))</f>
        <v/>
      </c>
      <c r="F20" s="214" t="str">
        <f>IF(TR_6RecyclingArranger[[#This Row],[ID_EC]]="","",IF(INDEX(TR_5ExemptionClaim[CRPF name],MATCH(TR_6RecyclingArranger[[#This Row],[ID_EC]],TR_5ExemptionClaim[ID_EC],0))=0,"None",INDEX(TR_5ExemptionClaim[CRPF name],MATCH(TR_6RecyclingArranger[[#This Row],[ID_EC]],TR_5ExemptionClaim[ID_EC],0))))</f>
        <v/>
      </c>
      <c r="G20" s="45"/>
      <c r="H20" s="108"/>
      <c r="I20" s="47"/>
      <c r="J20" s="48"/>
      <c r="K20" s="47"/>
      <c r="L20" s="79">
        <f>IF(COUNTIFS(TR_6RecyclingArranger[ID_EC],TR_6RecyclingArranger[[#This Row],[ID_EC]],TR_6RecyclingArranger[Name of Third-Party Recycling Arranger],TR_6RecyclingArranger[[#This Row],[Name of Third-Party Recycling Arranger]])&gt;1,1,0)</f>
        <v>0</v>
      </c>
      <c r="M20" s="79">
        <f>IF(TR_6RecyclingArranger[[#This Row],[ID_EC]]="",0,IFERROR(0*MATCH(TR_6RecyclingArranger[[#This Row],[ID_EC]],TR_5ExemptionClaim[Lookup: for arranger tab],0),1))</f>
        <v>0</v>
      </c>
      <c r="N20" s="79">
        <f>IF(TR_6RecyclingArranger[[#This Row],[ID_EC]]="",0,IF(COUNTA(TR_6RecyclingArranger[[#This Row],[Name of Third-Party Recycling Arranger]],TR_6RecyclingArranger[[#This Row],[Pounds of Producer''s Material Recycled by this Recycling Arranger]:[Recycling Arranger Contact Email]])=7,0,1))</f>
        <v>0</v>
      </c>
      <c r="O20" s="79">
        <f>IF(TR_6RecyclingArranger[[#This Row],[ID_EC]]&lt;&gt;"",0,IF(COUNTA(TR_6RecyclingArranger[[#This Row],[Name of Third-Party Recycling Arranger]],TR_6RecyclingArranger[[#This Row],[Pounds of Producer''s Material Recycled by this Recycling Arranger]:[Recycling Arranger Contact Email]])&gt;0,1,0))</f>
        <v>0</v>
      </c>
      <c r="P20" s="79">
        <f>IF(TR_6RecyclingArranger[[#This Row],[Lookup: pounds (this table)]]&gt;TR_6RecyclingArranger[[#This Row],[Lookup: pounds (5B tab)]],1,0)</f>
        <v>0</v>
      </c>
      <c r="Q20" s="77">
        <f>SUMIFS(TR_6RecyclingArranger[Pounds of Producer''s Material Recycled by this Recycling Arranger],TR_6RecyclingArranger[ID_EC],TR_6RecyclingArranger[[#This Row],[ID_EC]])</f>
        <v>0</v>
      </c>
      <c r="R20" s="77">
        <f>IFERROR(INDEX(TR_5ExemptionClaim[How many of the pounds recycled through this pathway were supplied by this producer?],MATCH(TR_6RecyclingArranger[[#This Row],[ID_EC]],TR_5ExemptionClaim[ID_EC],0)),0)</f>
        <v>0</v>
      </c>
      <c r="S20" s="80" t="str">
        <f t="shared" si="0"/>
        <v/>
      </c>
      <c r="T20" s="40"/>
      <c r="U20" s="58"/>
    </row>
    <row r="21" spans="1:21" ht="30.75" customHeight="1" x14ac:dyDescent="0.2">
      <c r="A21" s="82" t="s">
        <v>405</v>
      </c>
      <c r="B21" s="46"/>
      <c r="C21" s="113"/>
      <c r="D21" s="214" t="str">
        <f>IF(TR_6RecyclingArranger[[#This Row],[ID_EC]]="","",INDEX(TR_5ExemptionClaim[End Market Name],MATCH(TR_6RecyclingArranger[[#This Row],[ID_EC]],TR_5ExemptionClaim[ID_EC],0)))</f>
        <v/>
      </c>
      <c r="E21" s="214" t="str">
        <f>IF(TR_6RecyclingArranger[[#This Row],[ID_EC]]="","",INDEX(TR_5ExemptionClaim[Collection or Transportation Service Provider Name],MATCH(TR_6RecyclingArranger[[#This Row],[ID_EC]],TR_5ExemptionClaim[ID_EC],0)))</f>
        <v/>
      </c>
      <c r="F21" s="214" t="str">
        <f>IF(TR_6RecyclingArranger[[#This Row],[ID_EC]]="","",IF(INDEX(TR_5ExemptionClaim[CRPF name],MATCH(TR_6RecyclingArranger[[#This Row],[ID_EC]],TR_5ExemptionClaim[ID_EC],0))=0,"None",INDEX(TR_5ExemptionClaim[CRPF name],MATCH(TR_6RecyclingArranger[[#This Row],[ID_EC]],TR_5ExemptionClaim[ID_EC],0))))</f>
        <v/>
      </c>
      <c r="G21" s="45"/>
      <c r="H21" s="108"/>
      <c r="I21" s="47"/>
      <c r="J21" s="48"/>
      <c r="K21" s="47"/>
      <c r="L21" s="79">
        <f>IF(COUNTIFS(TR_6RecyclingArranger[ID_EC],TR_6RecyclingArranger[[#This Row],[ID_EC]],TR_6RecyclingArranger[Name of Third-Party Recycling Arranger],TR_6RecyclingArranger[[#This Row],[Name of Third-Party Recycling Arranger]])&gt;1,1,0)</f>
        <v>0</v>
      </c>
      <c r="M21" s="79">
        <f>IF(TR_6RecyclingArranger[[#This Row],[ID_EC]]="",0,IFERROR(0*MATCH(TR_6RecyclingArranger[[#This Row],[ID_EC]],TR_5ExemptionClaim[Lookup: for arranger tab],0),1))</f>
        <v>0</v>
      </c>
      <c r="N21" s="79">
        <f>IF(TR_6RecyclingArranger[[#This Row],[ID_EC]]="",0,IF(COUNTA(TR_6RecyclingArranger[[#This Row],[Name of Third-Party Recycling Arranger]],TR_6RecyclingArranger[[#This Row],[Pounds of Producer''s Material Recycled by this Recycling Arranger]:[Recycling Arranger Contact Email]])=7,0,1))</f>
        <v>0</v>
      </c>
      <c r="O21" s="79">
        <f>IF(TR_6RecyclingArranger[[#This Row],[ID_EC]]&lt;&gt;"",0,IF(COUNTA(TR_6RecyclingArranger[[#This Row],[Name of Third-Party Recycling Arranger]],TR_6RecyclingArranger[[#This Row],[Pounds of Producer''s Material Recycled by this Recycling Arranger]:[Recycling Arranger Contact Email]])&gt;0,1,0))</f>
        <v>0</v>
      </c>
      <c r="P21" s="79">
        <f>IF(TR_6RecyclingArranger[[#This Row],[Lookup: pounds (this table)]]&gt;TR_6RecyclingArranger[[#This Row],[Lookup: pounds (5B tab)]],1,0)</f>
        <v>0</v>
      </c>
      <c r="Q21" s="77">
        <f>SUMIFS(TR_6RecyclingArranger[Pounds of Producer''s Material Recycled by this Recycling Arranger],TR_6RecyclingArranger[ID_EC],TR_6RecyclingArranger[[#This Row],[ID_EC]])</f>
        <v>0</v>
      </c>
      <c r="R21" s="77">
        <f>IFERROR(INDEX(TR_5ExemptionClaim[How many of the pounds recycled through this pathway were supplied by this producer?],MATCH(TR_6RecyclingArranger[[#This Row],[ID_EC]],TR_5ExemptionClaim[ID_EC],0)),0)</f>
        <v>0</v>
      </c>
      <c r="S21" s="80" t="str">
        <f t="shared" si="0"/>
        <v/>
      </c>
      <c r="T21" s="40"/>
      <c r="U21" s="58"/>
    </row>
    <row r="22" spans="1:21" ht="30.75" customHeight="1" x14ac:dyDescent="0.2">
      <c r="A22" s="82" t="s">
        <v>406</v>
      </c>
      <c r="B22" s="46"/>
      <c r="C22" s="113"/>
      <c r="D22" s="214" t="str">
        <f>IF(TR_6RecyclingArranger[[#This Row],[ID_EC]]="","",INDEX(TR_5ExemptionClaim[End Market Name],MATCH(TR_6RecyclingArranger[[#This Row],[ID_EC]],TR_5ExemptionClaim[ID_EC],0)))</f>
        <v/>
      </c>
      <c r="E22" s="214" t="str">
        <f>IF(TR_6RecyclingArranger[[#This Row],[ID_EC]]="","",INDEX(TR_5ExemptionClaim[Collection or Transportation Service Provider Name],MATCH(TR_6RecyclingArranger[[#This Row],[ID_EC]],TR_5ExemptionClaim[ID_EC],0)))</f>
        <v/>
      </c>
      <c r="F22" s="214" t="str">
        <f>IF(TR_6RecyclingArranger[[#This Row],[ID_EC]]="","",IF(INDEX(TR_5ExemptionClaim[CRPF name],MATCH(TR_6RecyclingArranger[[#This Row],[ID_EC]],TR_5ExemptionClaim[ID_EC],0))=0,"None",INDEX(TR_5ExemptionClaim[CRPF name],MATCH(TR_6RecyclingArranger[[#This Row],[ID_EC]],TR_5ExemptionClaim[ID_EC],0))))</f>
        <v/>
      </c>
      <c r="G22" s="45"/>
      <c r="H22" s="108"/>
      <c r="I22" s="47"/>
      <c r="J22" s="48"/>
      <c r="K22" s="47"/>
      <c r="L22" s="79">
        <f>IF(COUNTIFS(TR_6RecyclingArranger[ID_EC],TR_6RecyclingArranger[[#This Row],[ID_EC]],TR_6RecyclingArranger[Name of Third-Party Recycling Arranger],TR_6RecyclingArranger[[#This Row],[Name of Third-Party Recycling Arranger]])&gt;1,1,0)</f>
        <v>0</v>
      </c>
      <c r="M22" s="79">
        <f>IF(TR_6RecyclingArranger[[#This Row],[ID_EC]]="",0,IFERROR(0*MATCH(TR_6RecyclingArranger[[#This Row],[ID_EC]],TR_5ExemptionClaim[Lookup: for arranger tab],0),1))</f>
        <v>0</v>
      </c>
      <c r="N22" s="79">
        <f>IF(TR_6RecyclingArranger[[#This Row],[ID_EC]]="",0,IF(COUNTA(TR_6RecyclingArranger[[#This Row],[Name of Third-Party Recycling Arranger]],TR_6RecyclingArranger[[#This Row],[Pounds of Producer''s Material Recycled by this Recycling Arranger]:[Recycling Arranger Contact Email]])=7,0,1))</f>
        <v>0</v>
      </c>
      <c r="O22" s="79">
        <f>IF(TR_6RecyclingArranger[[#This Row],[ID_EC]]&lt;&gt;"",0,IF(COUNTA(TR_6RecyclingArranger[[#This Row],[Name of Third-Party Recycling Arranger]],TR_6RecyclingArranger[[#This Row],[Pounds of Producer''s Material Recycled by this Recycling Arranger]:[Recycling Arranger Contact Email]])&gt;0,1,0))</f>
        <v>0</v>
      </c>
      <c r="P22" s="79">
        <f>IF(TR_6RecyclingArranger[[#This Row],[Lookup: pounds (this table)]]&gt;TR_6RecyclingArranger[[#This Row],[Lookup: pounds (5B tab)]],1,0)</f>
        <v>0</v>
      </c>
      <c r="Q22" s="77">
        <f>SUMIFS(TR_6RecyclingArranger[Pounds of Producer''s Material Recycled by this Recycling Arranger],TR_6RecyclingArranger[ID_EC],TR_6RecyclingArranger[[#This Row],[ID_EC]])</f>
        <v>0</v>
      </c>
      <c r="R22" s="77">
        <f>IFERROR(INDEX(TR_5ExemptionClaim[How many of the pounds recycled through this pathway were supplied by this producer?],MATCH(TR_6RecyclingArranger[[#This Row],[ID_EC]],TR_5ExemptionClaim[ID_EC],0)),0)</f>
        <v>0</v>
      </c>
      <c r="S22" s="80" t="str">
        <f t="shared" si="0"/>
        <v/>
      </c>
      <c r="T22" s="40"/>
      <c r="U22" s="58"/>
    </row>
    <row r="23" spans="1:21" ht="30.75" customHeight="1" x14ac:dyDescent="0.2">
      <c r="A23" s="82" t="s">
        <v>407</v>
      </c>
      <c r="B23" s="46"/>
      <c r="C23" s="113"/>
      <c r="D23" s="214" t="str">
        <f>IF(TR_6RecyclingArranger[[#This Row],[ID_EC]]="","",INDEX(TR_5ExemptionClaim[End Market Name],MATCH(TR_6RecyclingArranger[[#This Row],[ID_EC]],TR_5ExemptionClaim[ID_EC],0)))</f>
        <v/>
      </c>
      <c r="E23" s="214" t="str">
        <f>IF(TR_6RecyclingArranger[[#This Row],[ID_EC]]="","",INDEX(TR_5ExemptionClaim[Collection or Transportation Service Provider Name],MATCH(TR_6RecyclingArranger[[#This Row],[ID_EC]],TR_5ExemptionClaim[ID_EC],0)))</f>
        <v/>
      </c>
      <c r="F23" s="214" t="str">
        <f>IF(TR_6RecyclingArranger[[#This Row],[ID_EC]]="","",IF(INDEX(TR_5ExemptionClaim[CRPF name],MATCH(TR_6RecyclingArranger[[#This Row],[ID_EC]],TR_5ExemptionClaim[ID_EC],0))=0,"None",INDEX(TR_5ExemptionClaim[CRPF name],MATCH(TR_6RecyclingArranger[[#This Row],[ID_EC]],TR_5ExemptionClaim[ID_EC],0))))</f>
        <v/>
      </c>
      <c r="G23" s="45"/>
      <c r="H23" s="108"/>
      <c r="I23" s="47"/>
      <c r="J23" s="48"/>
      <c r="K23" s="47"/>
      <c r="L23" s="79">
        <f>IF(COUNTIFS(TR_6RecyclingArranger[ID_EC],TR_6RecyclingArranger[[#This Row],[ID_EC]],TR_6RecyclingArranger[Name of Third-Party Recycling Arranger],TR_6RecyclingArranger[[#This Row],[Name of Third-Party Recycling Arranger]])&gt;1,1,0)</f>
        <v>0</v>
      </c>
      <c r="M23" s="79">
        <f>IF(TR_6RecyclingArranger[[#This Row],[ID_EC]]="",0,IFERROR(0*MATCH(TR_6RecyclingArranger[[#This Row],[ID_EC]],TR_5ExemptionClaim[Lookup: for arranger tab],0),1))</f>
        <v>0</v>
      </c>
      <c r="N23" s="79">
        <f>IF(TR_6RecyclingArranger[[#This Row],[ID_EC]]="",0,IF(COUNTA(TR_6RecyclingArranger[[#This Row],[Name of Third-Party Recycling Arranger]],TR_6RecyclingArranger[[#This Row],[Pounds of Producer''s Material Recycled by this Recycling Arranger]:[Recycling Arranger Contact Email]])=7,0,1))</f>
        <v>0</v>
      </c>
      <c r="O23" s="79">
        <f>IF(TR_6RecyclingArranger[[#This Row],[ID_EC]]&lt;&gt;"",0,IF(COUNTA(TR_6RecyclingArranger[[#This Row],[Name of Third-Party Recycling Arranger]],TR_6RecyclingArranger[[#This Row],[Pounds of Producer''s Material Recycled by this Recycling Arranger]:[Recycling Arranger Contact Email]])&gt;0,1,0))</f>
        <v>0</v>
      </c>
      <c r="P23" s="79">
        <f>IF(TR_6RecyclingArranger[[#This Row],[Lookup: pounds (this table)]]&gt;TR_6RecyclingArranger[[#This Row],[Lookup: pounds (5B tab)]],1,0)</f>
        <v>0</v>
      </c>
      <c r="Q23" s="77">
        <f>SUMIFS(TR_6RecyclingArranger[Pounds of Producer''s Material Recycled by this Recycling Arranger],TR_6RecyclingArranger[ID_EC],TR_6RecyclingArranger[[#This Row],[ID_EC]])</f>
        <v>0</v>
      </c>
      <c r="R23" s="77">
        <f>IFERROR(INDEX(TR_5ExemptionClaim[How many of the pounds recycled through this pathway were supplied by this producer?],MATCH(TR_6RecyclingArranger[[#This Row],[ID_EC]],TR_5ExemptionClaim[ID_EC],0)),0)</f>
        <v>0</v>
      </c>
      <c r="S23" s="80" t="str">
        <f t="shared" si="0"/>
        <v/>
      </c>
      <c r="T23" s="40"/>
      <c r="U23" s="58"/>
    </row>
    <row r="24" spans="1:21" ht="30.75" customHeight="1" x14ac:dyDescent="0.2">
      <c r="A24" s="82" t="s">
        <v>408</v>
      </c>
      <c r="B24" s="46"/>
      <c r="C24" s="113"/>
      <c r="D24" s="214" t="str">
        <f>IF(TR_6RecyclingArranger[[#This Row],[ID_EC]]="","",INDEX(TR_5ExemptionClaim[End Market Name],MATCH(TR_6RecyclingArranger[[#This Row],[ID_EC]],TR_5ExemptionClaim[ID_EC],0)))</f>
        <v/>
      </c>
      <c r="E24" s="214" t="str">
        <f>IF(TR_6RecyclingArranger[[#This Row],[ID_EC]]="","",INDEX(TR_5ExemptionClaim[Collection or Transportation Service Provider Name],MATCH(TR_6RecyclingArranger[[#This Row],[ID_EC]],TR_5ExemptionClaim[ID_EC],0)))</f>
        <v/>
      </c>
      <c r="F24" s="214" t="str">
        <f>IF(TR_6RecyclingArranger[[#This Row],[ID_EC]]="","",IF(INDEX(TR_5ExemptionClaim[CRPF name],MATCH(TR_6RecyclingArranger[[#This Row],[ID_EC]],TR_5ExemptionClaim[ID_EC],0))=0,"None",INDEX(TR_5ExemptionClaim[CRPF name],MATCH(TR_6RecyclingArranger[[#This Row],[ID_EC]],TR_5ExemptionClaim[ID_EC],0))))</f>
        <v/>
      </c>
      <c r="G24" s="45"/>
      <c r="H24" s="108"/>
      <c r="I24" s="47"/>
      <c r="J24" s="48"/>
      <c r="K24" s="47"/>
      <c r="L24" s="79">
        <f>IF(COUNTIFS(TR_6RecyclingArranger[ID_EC],TR_6RecyclingArranger[[#This Row],[ID_EC]],TR_6RecyclingArranger[Name of Third-Party Recycling Arranger],TR_6RecyclingArranger[[#This Row],[Name of Third-Party Recycling Arranger]])&gt;1,1,0)</f>
        <v>0</v>
      </c>
      <c r="M24" s="79">
        <f>IF(TR_6RecyclingArranger[[#This Row],[ID_EC]]="",0,IFERROR(0*MATCH(TR_6RecyclingArranger[[#This Row],[ID_EC]],TR_5ExemptionClaim[Lookup: for arranger tab],0),1))</f>
        <v>0</v>
      </c>
      <c r="N24" s="79">
        <f>IF(TR_6RecyclingArranger[[#This Row],[ID_EC]]="",0,IF(COUNTA(TR_6RecyclingArranger[[#This Row],[Name of Third-Party Recycling Arranger]],TR_6RecyclingArranger[[#This Row],[Pounds of Producer''s Material Recycled by this Recycling Arranger]:[Recycling Arranger Contact Email]])=7,0,1))</f>
        <v>0</v>
      </c>
      <c r="O24" s="79">
        <f>IF(TR_6RecyclingArranger[[#This Row],[ID_EC]]&lt;&gt;"",0,IF(COUNTA(TR_6RecyclingArranger[[#This Row],[Name of Third-Party Recycling Arranger]],TR_6RecyclingArranger[[#This Row],[Pounds of Producer''s Material Recycled by this Recycling Arranger]:[Recycling Arranger Contact Email]])&gt;0,1,0))</f>
        <v>0</v>
      </c>
      <c r="P24" s="79">
        <f>IF(TR_6RecyclingArranger[[#This Row],[Lookup: pounds (this table)]]&gt;TR_6RecyclingArranger[[#This Row],[Lookup: pounds (5B tab)]],1,0)</f>
        <v>0</v>
      </c>
      <c r="Q24" s="77">
        <f>SUMIFS(TR_6RecyclingArranger[Pounds of Producer''s Material Recycled by this Recycling Arranger],TR_6RecyclingArranger[ID_EC],TR_6RecyclingArranger[[#This Row],[ID_EC]])</f>
        <v>0</v>
      </c>
      <c r="R24" s="77">
        <f>IFERROR(INDEX(TR_5ExemptionClaim[How many of the pounds recycled through this pathway were supplied by this producer?],MATCH(TR_6RecyclingArranger[[#This Row],[ID_EC]],TR_5ExemptionClaim[ID_EC],0)),0)</f>
        <v>0</v>
      </c>
      <c r="S24" s="80" t="str">
        <f t="shared" si="0"/>
        <v/>
      </c>
      <c r="T24" s="40"/>
      <c r="U24" s="58"/>
    </row>
    <row r="25" spans="1:21" ht="30.75" customHeight="1" x14ac:dyDescent="0.2">
      <c r="A25" s="82" t="s">
        <v>409</v>
      </c>
      <c r="B25" s="46"/>
      <c r="C25" s="113"/>
      <c r="D25" s="214" t="str">
        <f>IF(TR_6RecyclingArranger[[#This Row],[ID_EC]]="","",INDEX(TR_5ExemptionClaim[End Market Name],MATCH(TR_6RecyclingArranger[[#This Row],[ID_EC]],TR_5ExemptionClaim[ID_EC],0)))</f>
        <v/>
      </c>
      <c r="E25" s="214" t="str">
        <f>IF(TR_6RecyclingArranger[[#This Row],[ID_EC]]="","",INDEX(TR_5ExemptionClaim[Collection or Transportation Service Provider Name],MATCH(TR_6RecyclingArranger[[#This Row],[ID_EC]],TR_5ExemptionClaim[ID_EC],0)))</f>
        <v/>
      </c>
      <c r="F25" s="214" t="str">
        <f>IF(TR_6RecyclingArranger[[#This Row],[ID_EC]]="","",IF(INDEX(TR_5ExemptionClaim[CRPF name],MATCH(TR_6RecyclingArranger[[#This Row],[ID_EC]],TR_5ExemptionClaim[ID_EC],0))=0,"None",INDEX(TR_5ExemptionClaim[CRPF name],MATCH(TR_6RecyclingArranger[[#This Row],[ID_EC]],TR_5ExemptionClaim[ID_EC],0))))</f>
        <v/>
      </c>
      <c r="G25" s="45"/>
      <c r="H25" s="108"/>
      <c r="I25" s="47"/>
      <c r="J25" s="48"/>
      <c r="K25" s="47"/>
      <c r="L25" s="79">
        <f>IF(COUNTIFS(TR_6RecyclingArranger[ID_EC],TR_6RecyclingArranger[[#This Row],[ID_EC]],TR_6RecyclingArranger[Name of Third-Party Recycling Arranger],TR_6RecyclingArranger[[#This Row],[Name of Third-Party Recycling Arranger]])&gt;1,1,0)</f>
        <v>0</v>
      </c>
      <c r="M25" s="79">
        <f>IF(TR_6RecyclingArranger[[#This Row],[ID_EC]]="",0,IFERROR(0*MATCH(TR_6RecyclingArranger[[#This Row],[ID_EC]],TR_5ExemptionClaim[Lookup: for arranger tab],0),1))</f>
        <v>0</v>
      </c>
      <c r="N25" s="79">
        <f>IF(TR_6RecyclingArranger[[#This Row],[ID_EC]]="",0,IF(COUNTA(TR_6RecyclingArranger[[#This Row],[Name of Third-Party Recycling Arranger]],TR_6RecyclingArranger[[#This Row],[Pounds of Producer''s Material Recycled by this Recycling Arranger]:[Recycling Arranger Contact Email]])=7,0,1))</f>
        <v>0</v>
      </c>
      <c r="O25" s="79">
        <f>IF(TR_6RecyclingArranger[[#This Row],[ID_EC]]&lt;&gt;"",0,IF(COUNTA(TR_6RecyclingArranger[[#This Row],[Name of Third-Party Recycling Arranger]],TR_6RecyclingArranger[[#This Row],[Pounds of Producer''s Material Recycled by this Recycling Arranger]:[Recycling Arranger Contact Email]])&gt;0,1,0))</f>
        <v>0</v>
      </c>
      <c r="P25" s="79">
        <f>IF(TR_6RecyclingArranger[[#This Row],[Lookup: pounds (this table)]]&gt;TR_6RecyclingArranger[[#This Row],[Lookup: pounds (5B tab)]],1,0)</f>
        <v>0</v>
      </c>
      <c r="Q25" s="77">
        <f>SUMIFS(TR_6RecyclingArranger[Pounds of Producer''s Material Recycled by this Recycling Arranger],TR_6RecyclingArranger[ID_EC],TR_6RecyclingArranger[[#This Row],[ID_EC]])</f>
        <v>0</v>
      </c>
      <c r="R25" s="77">
        <f>IFERROR(INDEX(TR_5ExemptionClaim[How many of the pounds recycled through this pathway were supplied by this producer?],MATCH(TR_6RecyclingArranger[[#This Row],[ID_EC]],TR_5ExemptionClaim[ID_EC],0)),0)</f>
        <v>0</v>
      </c>
      <c r="S25" s="80" t="str">
        <f t="shared" si="0"/>
        <v/>
      </c>
      <c r="T25" s="40"/>
      <c r="U25" s="58"/>
    </row>
    <row r="26" spans="1:21" ht="30.75" customHeight="1" x14ac:dyDescent="0.2">
      <c r="A26" s="82" t="s">
        <v>410</v>
      </c>
      <c r="B26" s="46"/>
      <c r="C26" s="113"/>
      <c r="D26" s="214" t="str">
        <f>IF(TR_6RecyclingArranger[[#This Row],[ID_EC]]="","",INDEX(TR_5ExemptionClaim[End Market Name],MATCH(TR_6RecyclingArranger[[#This Row],[ID_EC]],TR_5ExemptionClaim[ID_EC],0)))</f>
        <v/>
      </c>
      <c r="E26" s="214" t="str">
        <f>IF(TR_6RecyclingArranger[[#This Row],[ID_EC]]="","",INDEX(TR_5ExemptionClaim[Collection or Transportation Service Provider Name],MATCH(TR_6RecyclingArranger[[#This Row],[ID_EC]],TR_5ExemptionClaim[ID_EC],0)))</f>
        <v/>
      </c>
      <c r="F26" s="214" t="str">
        <f>IF(TR_6RecyclingArranger[[#This Row],[ID_EC]]="","",IF(INDEX(TR_5ExemptionClaim[CRPF name],MATCH(TR_6RecyclingArranger[[#This Row],[ID_EC]],TR_5ExemptionClaim[ID_EC],0))=0,"None",INDEX(TR_5ExemptionClaim[CRPF name],MATCH(TR_6RecyclingArranger[[#This Row],[ID_EC]],TR_5ExemptionClaim[ID_EC],0))))</f>
        <v/>
      </c>
      <c r="G26" s="45"/>
      <c r="H26" s="108"/>
      <c r="I26" s="47"/>
      <c r="J26" s="48"/>
      <c r="K26" s="47"/>
      <c r="L26" s="79">
        <f>IF(COUNTIFS(TR_6RecyclingArranger[ID_EC],TR_6RecyclingArranger[[#This Row],[ID_EC]],TR_6RecyclingArranger[Name of Third-Party Recycling Arranger],TR_6RecyclingArranger[[#This Row],[Name of Third-Party Recycling Arranger]])&gt;1,1,0)</f>
        <v>0</v>
      </c>
      <c r="M26" s="79">
        <f>IF(TR_6RecyclingArranger[[#This Row],[ID_EC]]="",0,IFERROR(0*MATCH(TR_6RecyclingArranger[[#This Row],[ID_EC]],TR_5ExemptionClaim[Lookup: for arranger tab],0),1))</f>
        <v>0</v>
      </c>
      <c r="N26" s="79">
        <f>IF(TR_6RecyclingArranger[[#This Row],[ID_EC]]="",0,IF(COUNTA(TR_6RecyclingArranger[[#This Row],[Name of Third-Party Recycling Arranger]],TR_6RecyclingArranger[[#This Row],[Pounds of Producer''s Material Recycled by this Recycling Arranger]:[Recycling Arranger Contact Email]])=7,0,1))</f>
        <v>0</v>
      </c>
      <c r="O26" s="79">
        <f>IF(TR_6RecyclingArranger[[#This Row],[ID_EC]]&lt;&gt;"",0,IF(COUNTA(TR_6RecyclingArranger[[#This Row],[Name of Third-Party Recycling Arranger]],TR_6RecyclingArranger[[#This Row],[Pounds of Producer''s Material Recycled by this Recycling Arranger]:[Recycling Arranger Contact Email]])&gt;0,1,0))</f>
        <v>0</v>
      </c>
      <c r="P26" s="79">
        <f>IF(TR_6RecyclingArranger[[#This Row],[Lookup: pounds (this table)]]&gt;TR_6RecyclingArranger[[#This Row],[Lookup: pounds (5B tab)]],1,0)</f>
        <v>0</v>
      </c>
      <c r="Q26" s="77">
        <f>SUMIFS(TR_6RecyclingArranger[Pounds of Producer''s Material Recycled by this Recycling Arranger],TR_6RecyclingArranger[ID_EC],TR_6RecyclingArranger[[#This Row],[ID_EC]])</f>
        <v>0</v>
      </c>
      <c r="R26" s="77">
        <f>IFERROR(INDEX(TR_5ExemptionClaim[How many of the pounds recycled through this pathway were supplied by this producer?],MATCH(TR_6RecyclingArranger[[#This Row],[ID_EC]],TR_5ExemptionClaim[ID_EC],0)),0)</f>
        <v>0</v>
      </c>
      <c r="S26" s="80" t="str">
        <f t="shared" si="0"/>
        <v/>
      </c>
      <c r="T26" s="40"/>
      <c r="U26" s="58"/>
    </row>
    <row r="27" spans="1:21" ht="30.75" customHeight="1" x14ac:dyDescent="0.2">
      <c r="A27" s="82" t="s">
        <v>411</v>
      </c>
      <c r="B27" s="46"/>
      <c r="C27" s="113"/>
      <c r="D27" s="214" t="str">
        <f>IF(TR_6RecyclingArranger[[#This Row],[ID_EC]]="","",INDEX(TR_5ExemptionClaim[End Market Name],MATCH(TR_6RecyclingArranger[[#This Row],[ID_EC]],TR_5ExemptionClaim[ID_EC],0)))</f>
        <v/>
      </c>
      <c r="E27" s="214" t="str">
        <f>IF(TR_6RecyclingArranger[[#This Row],[ID_EC]]="","",INDEX(TR_5ExemptionClaim[Collection or Transportation Service Provider Name],MATCH(TR_6RecyclingArranger[[#This Row],[ID_EC]],TR_5ExemptionClaim[ID_EC],0)))</f>
        <v/>
      </c>
      <c r="F27" s="214" t="str">
        <f>IF(TR_6RecyclingArranger[[#This Row],[ID_EC]]="","",IF(INDEX(TR_5ExemptionClaim[CRPF name],MATCH(TR_6RecyclingArranger[[#This Row],[ID_EC]],TR_5ExemptionClaim[ID_EC],0))=0,"None",INDEX(TR_5ExemptionClaim[CRPF name],MATCH(TR_6RecyclingArranger[[#This Row],[ID_EC]],TR_5ExemptionClaim[ID_EC],0))))</f>
        <v/>
      </c>
      <c r="G27" s="45"/>
      <c r="H27" s="108"/>
      <c r="I27" s="47"/>
      <c r="J27" s="48"/>
      <c r="K27" s="47"/>
      <c r="L27" s="79">
        <f>IF(COUNTIFS(TR_6RecyclingArranger[ID_EC],TR_6RecyclingArranger[[#This Row],[ID_EC]],TR_6RecyclingArranger[Name of Third-Party Recycling Arranger],TR_6RecyclingArranger[[#This Row],[Name of Third-Party Recycling Arranger]])&gt;1,1,0)</f>
        <v>0</v>
      </c>
      <c r="M27" s="79">
        <f>IF(TR_6RecyclingArranger[[#This Row],[ID_EC]]="",0,IFERROR(0*MATCH(TR_6RecyclingArranger[[#This Row],[ID_EC]],TR_5ExemptionClaim[Lookup: for arranger tab],0),1))</f>
        <v>0</v>
      </c>
      <c r="N27" s="79">
        <f>IF(TR_6RecyclingArranger[[#This Row],[ID_EC]]="",0,IF(COUNTA(TR_6RecyclingArranger[[#This Row],[Name of Third-Party Recycling Arranger]],TR_6RecyclingArranger[[#This Row],[Pounds of Producer''s Material Recycled by this Recycling Arranger]:[Recycling Arranger Contact Email]])=7,0,1))</f>
        <v>0</v>
      </c>
      <c r="O27" s="79">
        <f>IF(TR_6RecyclingArranger[[#This Row],[ID_EC]]&lt;&gt;"",0,IF(COUNTA(TR_6RecyclingArranger[[#This Row],[Name of Third-Party Recycling Arranger]],TR_6RecyclingArranger[[#This Row],[Pounds of Producer''s Material Recycled by this Recycling Arranger]:[Recycling Arranger Contact Email]])&gt;0,1,0))</f>
        <v>0</v>
      </c>
      <c r="P27" s="79">
        <f>IF(TR_6RecyclingArranger[[#This Row],[Lookup: pounds (this table)]]&gt;TR_6RecyclingArranger[[#This Row],[Lookup: pounds (5B tab)]],1,0)</f>
        <v>0</v>
      </c>
      <c r="Q27" s="77">
        <f>SUMIFS(TR_6RecyclingArranger[Pounds of Producer''s Material Recycled by this Recycling Arranger],TR_6RecyclingArranger[ID_EC],TR_6RecyclingArranger[[#This Row],[ID_EC]])</f>
        <v>0</v>
      </c>
      <c r="R27" s="77">
        <f>IFERROR(INDEX(TR_5ExemptionClaim[How many of the pounds recycled through this pathway were supplied by this producer?],MATCH(TR_6RecyclingArranger[[#This Row],[ID_EC]],TR_5ExemptionClaim[ID_EC],0)),0)</f>
        <v>0</v>
      </c>
      <c r="S27" s="80" t="str">
        <f t="shared" si="0"/>
        <v/>
      </c>
      <c r="T27" s="40"/>
      <c r="U27" s="58"/>
    </row>
    <row r="28" spans="1:21" ht="30.75" customHeight="1" x14ac:dyDescent="0.2">
      <c r="A28" s="82" t="s">
        <v>412</v>
      </c>
      <c r="B28" s="46"/>
      <c r="C28" s="113"/>
      <c r="D28" s="214" t="str">
        <f>IF(TR_6RecyclingArranger[[#This Row],[ID_EC]]="","",INDEX(TR_5ExemptionClaim[End Market Name],MATCH(TR_6RecyclingArranger[[#This Row],[ID_EC]],TR_5ExemptionClaim[ID_EC],0)))</f>
        <v/>
      </c>
      <c r="E28" s="214" t="str">
        <f>IF(TR_6RecyclingArranger[[#This Row],[ID_EC]]="","",INDEX(TR_5ExemptionClaim[Collection or Transportation Service Provider Name],MATCH(TR_6RecyclingArranger[[#This Row],[ID_EC]],TR_5ExemptionClaim[ID_EC],0)))</f>
        <v/>
      </c>
      <c r="F28" s="214" t="str">
        <f>IF(TR_6RecyclingArranger[[#This Row],[ID_EC]]="","",IF(INDEX(TR_5ExemptionClaim[CRPF name],MATCH(TR_6RecyclingArranger[[#This Row],[ID_EC]],TR_5ExemptionClaim[ID_EC],0))=0,"None",INDEX(TR_5ExemptionClaim[CRPF name],MATCH(TR_6RecyclingArranger[[#This Row],[ID_EC]],TR_5ExemptionClaim[ID_EC],0))))</f>
        <v/>
      </c>
      <c r="G28" s="45"/>
      <c r="H28" s="108"/>
      <c r="I28" s="47"/>
      <c r="J28" s="48"/>
      <c r="K28" s="47"/>
      <c r="L28" s="79">
        <f>IF(COUNTIFS(TR_6RecyclingArranger[ID_EC],TR_6RecyclingArranger[[#This Row],[ID_EC]],TR_6RecyclingArranger[Name of Third-Party Recycling Arranger],TR_6RecyclingArranger[[#This Row],[Name of Third-Party Recycling Arranger]])&gt;1,1,0)</f>
        <v>0</v>
      </c>
      <c r="M28" s="79">
        <f>IF(TR_6RecyclingArranger[[#This Row],[ID_EC]]="",0,IFERROR(0*MATCH(TR_6RecyclingArranger[[#This Row],[ID_EC]],TR_5ExemptionClaim[Lookup: for arranger tab],0),1))</f>
        <v>0</v>
      </c>
      <c r="N28" s="79">
        <f>IF(TR_6RecyclingArranger[[#This Row],[ID_EC]]="",0,IF(COUNTA(TR_6RecyclingArranger[[#This Row],[Name of Third-Party Recycling Arranger]],TR_6RecyclingArranger[[#This Row],[Pounds of Producer''s Material Recycled by this Recycling Arranger]:[Recycling Arranger Contact Email]])=7,0,1))</f>
        <v>0</v>
      </c>
      <c r="O28" s="79">
        <f>IF(TR_6RecyclingArranger[[#This Row],[ID_EC]]&lt;&gt;"",0,IF(COUNTA(TR_6RecyclingArranger[[#This Row],[Name of Third-Party Recycling Arranger]],TR_6RecyclingArranger[[#This Row],[Pounds of Producer''s Material Recycled by this Recycling Arranger]:[Recycling Arranger Contact Email]])&gt;0,1,0))</f>
        <v>0</v>
      </c>
      <c r="P28" s="79">
        <f>IF(TR_6RecyclingArranger[[#This Row],[Lookup: pounds (this table)]]&gt;TR_6RecyclingArranger[[#This Row],[Lookup: pounds (5B tab)]],1,0)</f>
        <v>0</v>
      </c>
      <c r="Q28" s="77">
        <f>SUMIFS(TR_6RecyclingArranger[Pounds of Producer''s Material Recycled by this Recycling Arranger],TR_6RecyclingArranger[ID_EC],TR_6RecyclingArranger[[#This Row],[ID_EC]])</f>
        <v>0</v>
      </c>
      <c r="R28" s="77">
        <f>IFERROR(INDEX(TR_5ExemptionClaim[How many of the pounds recycled through this pathway were supplied by this producer?],MATCH(TR_6RecyclingArranger[[#This Row],[ID_EC]],TR_5ExemptionClaim[ID_EC],0)),0)</f>
        <v>0</v>
      </c>
      <c r="S28" s="80" t="str">
        <f t="shared" si="0"/>
        <v/>
      </c>
      <c r="T28" s="40"/>
      <c r="U28" s="58"/>
    </row>
    <row r="29" spans="1:21" ht="30.75" customHeight="1" x14ac:dyDescent="0.2">
      <c r="A29" s="82" t="s">
        <v>413</v>
      </c>
      <c r="B29" s="46"/>
      <c r="C29" s="113"/>
      <c r="D29" s="214" t="str">
        <f>IF(TR_6RecyclingArranger[[#This Row],[ID_EC]]="","",INDEX(TR_5ExemptionClaim[End Market Name],MATCH(TR_6RecyclingArranger[[#This Row],[ID_EC]],TR_5ExemptionClaim[ID_EC],0)))</f>
        <v/>
      </c>
      <c r="E29" s="214" t="str">
        <f>IF(TR_6RecyclingArranger[[#This Row],[ID_EC]]="","",INDEX(TR_5ExemptionClaim[Collection or Transportation Service Provider Name],MATCH(TR_6RecyclingArranger[[#This Row],[ID_EC]],TR_5ExemptionClaim[ID_EC],0)))</f>
        <v/>
      </c>
      <c r="F29" s="214" t="str">
        <f>IF(TR_6RecyclingArranger[[#This Row],[ID_EC]]="","",IF(INDEX(TR_5ExemptionClaim[CRPF name],MATCH(TR_6RecyclingArranger[[#This Row],[ID_EC]],TR_5ExemptionClaim[ID_EC],0))=0,"None",INDEX(TR_5ExemptionClaim[CRPF name],MATCH(TR_6RecyclingArranger[[#This Row],[ID_EC]],TR_5ExemptionClaim[ID_EC],0))))</f>
        <v/>
      </c>
      <c r="G29" s="45"/>
      <c r="H29" s="108"/>
      <c r="I29" s="47"/>
      <c r="J29" s="48"/>
      <c r="K29" s="47"/>
      <c r="L29" s="79">
        <f>IF(COUNTIFS(TR_6RecyclingArranger[ID_EC],TR_6RecyclingArranger[[#This Row],[ID_EC]],TR_6RecyclingArranger[Name of Third-Party Recycling Arranger],TR_6RecyclingArranger[[#This Row],[Name of Third-Party Recycling Arranger]])&gt;1,1,0)</f>
        <v>0</v>
      </c>
      <c r="M29" s="79">
        <f>IF(TR_6RecyclingArranger[[#This Row],[ID_EC]]="",0,IFERROR(0*MATCH(TR_6RecyclingArranger[[#This Row],[ID_EC]],TR_5ExemptionClaim[Lookup: for arranger tab],0),1))</f>
        <v>0</v>
      </c>
      <c r="N29" s="79">
        <f>IF(TR_6RecyclingArranger[[#This Row],[ID_EC]]="",0,IF(COUNTA(TR_6RecyclingArranger[[#This Row],[Name of Third-Party Recycling Arranger]],TR_6RecyclingArranger[[#This Row],[Pounds of Producer''s Material Recycled by this Recycling Arranger]:[Recycling Arranger Contact Email]])=7,0,1))</f>
        <v>0</v>
      </c>
      <c r="O29" s="79">
        <f>IF(TR_6RecyclingArranger[[#This Row],[ID_EC]]&lt;&gt;"",0,IF(COUNTA(TR_6RecyclingArranger[[#This Row],[Name of Third-Party Recycling Arranger]],TR_6RecyclingArranger[[#This Row],[Pounds of Producer''s Material Recycled by this Recycling Arranger]:[Recycling Arranger Contact Email]])&gt;0,1,0))</f>
        <v>0</v>
      </c>
      <c r="P29" s="79">
        <f>IF(TR_6RecyclingArranger[[#This Row],[Lookup: pounds (this table)]]&gt;TR_6RecyclingArranger[[#This Row],[Lookup: pounds (5B tab)]],1,0)</f>
        <v>0</v>
      </c>
      <c r="Q29" s="77">
        <f>SUMIFS(TR_6RecyclingArranger[Pounds of Producer''s Material Recycled by this Recycling Arranger],TR_6RecyclingArranger[ID_EC],TR_6RecyclingArranger[[#This Row],[ID_EC]])</f>
        <v>0</v>
      </c>
      <c r="R29" s="77">
        <f>IFERROR(INDEX(TR_5ExemptionClaim[How many of the pounds recycled through this pathway were supplied by this producer?],MATCH(TR_6RecyclingArranger[[#This Row],[ID_EC]],TR_5ExemptionClaim[ID_EC],0)),0)</f>
        <v>0</v>
      </c>
      <c r="S29" s="80" t="str">
        <f t="shared" si="0"/>
        <v/>
      </c>
      <c r="T29" s="40"/>
      <c r="U29" s="58"/>
    </row>
    <row r="30" spans="1:21" ht="30.75" customHeight="1" x14ac:dyDescent="0.2">
      <c r="A30" s="82" t="s">
        <v>414</v>
      </c>
      <c r="B30" s="46"/>
      <c r="C30" s="113"/>
      <c r="D30" s="214" t="str">
        <f>IF(TR_6RecyclingArranger[[#This Row],[ID_EC]]="","",INDEX(TR_5ExemptionClaim[End Market Name],MATCH(TR_6RecyclingArranger[[#This Row],[ID_EC]],TR_5ExemptionClaim[ID_EC],0)))</f>
        <v/>
      </c>
      <c r="E30" s="214" t="str">
        <f>IF(TR_6RecyclingArranger[[#This Row],[ID_EC]]="","",INDEX(TR_5ExemptionClaim[Collection or Transportation Service Provider Name],MATCH(TR_6RecyclingArranger[[#This Row],[ID_EC]],TR_5ExemptionClaim[ID_EC],0)))</f>
        <v/>
      </c>
      <c r="F30" s="214" t="str">
        <f>IF(TR_6RecyclingArranger[[#This Row],[ID_EC]]="","",IF(INDEX(TR_5ExemptionClaim[CRPF name],MATCH(TR_6RecyclingArranger[[#This Row],[ID_EC]],TR_5ExemptionClaim[ID_EC],0))=0,"None",INDEX(TR_5ExemptionClaim[CRPF name],MATCH(TR_6RecyclingArranger[[#This Row],[ID_EC]],TR_5ExemptionClaim[ID_EC],0))))</f>
        <v/>
      </c>
      <c r="G30" s="45"/>
      <c r="H30" s="108"/>
      <c r="I30" s="47"/>
      <c r="J30" s="48"/>
      <c r="K30" s="47"/>
      <c r="L30" s="79">
        <f>IF(COUNTIFS(TR_6RecyclingArranger[ID_EC],TR_6RecyclingArranger[[#This Row],[ID_EC]],TR_6RecyclingArranger[Name of Third-Party Recycling Arranger],TR_6RecyclingArranger[[#This Row],[Name of Third-Party Recycling Arranger]])&gt;1,1,0)</f>
        <v>0</v>
      </c>
      <c r="M30" s="79">
        <f>IF(TR_6RecyclingArranger[[#This Row],[ID_EC]]="",0,IFERROR(0*MATCH(TR_6RecyclingArranger[[#This Row],[ID_EC]],TR_5ExemptionClaim[Lookup: for arranger tab],0),1))</f>
        <v>0</v>
      </c>
      <c r="N30" s="79">
        <f>IF(TR_6RecyclingArranger[[#This Row],[ID_EC]]="",0,IF(COUNTA(TR_6RecyclingArranger[[#This Row],[Name of Third-Party Recycling Arranger]],TR_6RecyclingArranger[[#This Row],[Pounds of Producer''s Material Recycled by this Recycling Arranger]:[Recycling Arranger Contact Email]])=7,0,1))</f>
        <v>0</v>
      </c>
      <c r="O30" s="79">
        <f>IF(TR_6RecyclingArranger[[#This Row],[ID_EC]]&lt;&gt;"",0,IF(COUNTA(TR_6RecyclingArranger[[#This Row],[Name of Third-Party Recycling Arranger]],TR_6RecyclingArranger[[#This Row],[Pounds of Producer''s Material Recycled by this Recycling Arranger]:[Recycling Arranger Contact Email]])&gt;0,1,0))</f>
        <v>0</v>
      </c>
      <c r="P30" s="79">
        <f>IF(TR_6RecyclingArranger[[#This Row],[Lookup: pounds (this table)]]&gt;TR_6RecyclingArranger[[#This Row],[Lookup: pounds (5B tab)]],1,0)</f>
        <v>0</v>
      </c>
      <c r="Q30" s="77">
        <f>SUMIFS(TR_6RecyclingArranger[Pounds of Producer''s Material Recycled by this Recycling Arranger],TR_6RecyclingArranger[ID_EC],TR_6RecyclingArranger[[#This Row],[ID_EC]])</f>
        <v>0</v>
      </c>
      <c r="R30" s="77">
        <f>IFERROR(INDEX(TR_5ExemptionClaim[How many of the pounds recycled through this pathway were supplied by this producer?],MATCH(TR_6RecyclingArranger[[#This Row],[ID_EC]],TR_5ExemptionClaim[ID_EC],0)),0)</f>
        <v>0</v>
      </c>
      <c r="S30" s="80" t="str">
        <f t="shared" si="0"/>
        <v/>
      </c>
      <c r="T30" s="40"/>
      <c r="U30" s="58"/>
    </row>
    <row r="31" spans="1:21" ht="30.75" customHeight="1" x14ac:dyDescent="0.2">
      <c r="A31" s="82" t="s">
        <v>415</v>
      </c>
      <c r="B31" s="46"/>
      <c r="C31" s="113"/>
      <c r="D31" s="214" t="str">
        <f>IF(TR_6RecyclingArranger[[#This Row],[ID_EC]]="","",INDEX(TR_5ExemptionClaim[End Market Name],MATCH(TR_6RecyclingArranger[[#This Row],[ID_EC]],TR_5ExemptionClaim[ID_EC],0)))</f>
        <v/>
      </c>
      <c r="E31" s="214" t="str">
        <f>IF(TR_6RecyclingArranger[[#This Row],[ID_EC]]="","",INDEX(TR_5ExemptionClaim[Collection or Transportation Service Provider Name],MATCH(TR_6RecyclingArranger[[#This Row],[ID_EC]],TR_5ExemptionClaim[ID_EC],0)))</f>
        <v/>
      </c>
      <c r="F31" s="214" t="str">
        <f>IF(TR_6RecyclingArranger[[#This Row],[ID_EC]]="","",IF(INDEX(TR_5ExemptionClaim[CRPF name],MATCH(TR_6RecyclingArranger[[#This Row],[ID_EC]],TR_5ExemptionClaim[ID_EC],0))=0,"None",INDEX(TR_5ExemptionClaim[CRPF name],MATCH(TR_6RecyclingArranger[[#This Row],[ID_EC]],TR_5ExemptionClaim[ID_EC],0))))</f>
        <v/>
      </c>
      <c r="G31" s="45"/>
      <c r="H31" s="108"/>
      <c r="I31" s="47"/>
      <c r="J31" s="48"/>
      <c r="K31" s="47"/>
      <c r="L31" s="79">
        <f>IF(COUNTIFS(TR_6RecyclingArranger[ID_EC],TR_6RecyclingArranger[[#This Row],[ID_EC]],TR_6RecyclingArranger[Name of Third-Party Recycling Arranger],TR_6RecyclingArranger[[#This Row],[Name of Third-Party Recycling Arranger]])&gt;1,1,0)</f>
        <v>0</v>
      </c>
      <c r="M31" s="79">
        <f>IF(TR_6RecyclingArranger[[#This Row],[ID_EC]]="",0,IFERROR(0*MATCH(TR_6RecyclingArranger[[#This Row],[ID_EC]],TR_5ExemptionClaim[Lookup: for arranger tab],0),1))</f>
        <v>0</v>
      </c>
      <c r="N31" s="79">
        <f>IF(TR_6RecyclingArranger[[#This Row],[ID_EC]]="",0,IF(COUNTA(TR_6RecyclingArranger[[#This Row],[Name of Third-Party Recycling Arranger]],TR_6RecyclingArranger[[#This Row],[Pounds of Producer''s Material Recycled by this Recycling Arranger]:[Recycling Arranger Contact Email]])=7,0,1))</f>
        <v>0</v>
      </c>
      <c r="O31" s="79">
        <f>IF(TR_6RecyclingArranger[[#This Row],[ID_EC]]&lt;&gt;"",0,IF(COUNTA(TR_6RecyclingArranger[[#This Row],[Name of Third-Party Recycling Arranger]],TR_6RecyclingArranger[[#This Row],[Pounds of Producer''s Material Recycled by this Recycling Arranger]:[Recycling Arranger Contact Email]])&gt;0,1,0))</f>
        <v>0</v>
      </c>
      <c r="P31" s="79">
        <f>IF(TR_6RecyclingArranger[[#This Row],[Lookup: pounds (this table)]]&gt;TR_6RecyclingArranger[[#This Row],[Lookup: pounds (5B tab)]],1,0)</f>
        <v>0</v>
      </c>
      <c r="Q31" s="77">
        <f>SUMIFS(TR_6RecyclingArranger[Pounds of Producer''s Material Recycled by this Recycling Arranger],TR_6RecyclingArranger[ID_EC],TR_6RecyclingArranger[[#This Row],[ID_EC]])</f>
        <v>0</v>
      </c>
      <c r="R31" s="77">
        <f>IFERROR(INDEX(TR_5ExemptionClaim[How many of the pounds recycled through this pathway were supplied by this producer?],MATCH(TR_6RecyclingArranger[[#This Row],[ID_EC]],TR_5ExemptionClaim[ID_EC],0)),0)</f>
        <v>0</v>
      </c>
      <c r="S31" s="80" t="str">
        <f t="shared" si="0"/>
        <v/>
      </c>
      <c r="T31" s="40"/>
      <c r="U31" s="58"/>
    </row>
    <row r="32" spans="1:21" ht="30.75" customHeight="1" x14ac:dyDescent="0.2">
      <c r="A32" s="82" t="s">
        <v>416</v>
      </c>
      <c r="B32" s="46"/>
      <c r="C32" s="113"/>
      <c r="D32" s="214" t="str">
        <f>IF(TR_6RecyclingArranger[[#This Row],[ID_EC]]="","",INDEX(TR_5ExemptionClaim[End Market Name],MATCH(TR_6RecyclingArranger[[#This Row],[ID_EC]],TR_5ExemptionClaim[ID_EC],0)))</f>
        <v/>
      </c>
      <c r="E32" s="214" t="str">
        <f>IF(TR_6RecyclingArranger[[#This Row],[ID_EC]]="","",INDEX(TR_5ExemptionClaim[Collection or Transportation Service Provider Name],MATCH(TR_6RecyclingArranger[[#This Row],[ID_EC]],TR_5ExemptionClaim[ID_EC],0)))</f>
        <v/>
      </c>
      <c r="F32" s="214" t="str">
        <f>IF(TR_6RecyclingArranger[[#This Row],[ID_EC]]="","",IF(INDEX(TR_5ExemptionClaim[CRPF name],MATCH(TR_6RecyclingArranger[[#This Row],[ID_EC]],TR_5ExemptionClaim[ID_EC],0))=0,"None",INDEX(TR_5ExemptionClaim[CRPF name],MATCH(TR_6RecyclingArranger[[#This Row],[ID_EC]],TR_5ExemptionClaim[ID_EC],0))))</f>
        <v/>
      </c>
      <c r="G32" s="45"/>
      <c r="H32" s="108"/>
      <c r="I32" s="47"/>
      <c r="J32" s="48"/>
      <c r="K32" s="47"/>
      <c r="L32" s="79">
        <f>IF(COUNTIFS(TR_6RecyclingArranger[ID_EC],TR_6RecyclingArranger[[#This Row],[ID_EC]],TR_6RecyclingArranger[Name of Third-Party Recycling Arranger],TR_6RecyclingArranger[[#This Row],[Name of Third-Party Recycling Arranger]])&gt;1,1,0)</f>
        <v>0</v>
      </c>
      <c r="M32" s="79">
        <f>IF(TR_6RecyclingArranger[[#This Row],[ID_EC]]="",0,IFERROR(0*MATCH(TR_6RecyclingArranger[[#This Row],[ID_EC]],TR_5ExemptionClaim[Lookup: for arranger tab],0),1))</f>
        <v>0</v>
      </c>
      <c r="N32" s="79">
        <f>IF(TR_6RecyclingArranger[[#This Row],[ID_EC]]="",0,IF(COUNTA(TR_6RecyclingArranger[[#This Row],[Name of Third-Party Recycling Arranger]],TR_6RecyclingArranger[[#This Row],[Pounds of Producer''s Material Recycled by this Recycling Arranger]:[Recycling Arranger Contact Email]])=7,0,1))</f>
        <v>0</v>
      </c>
      <c r="O32" s="79">
        <f>IF(TR_6RecyclingArranger[[#This Row],[ID_EC]]&lt;&gt;"",0,IF(COUNTA(TR_6RecyclingArranger[[#This Row],[Name of Third-Party Recycling Arranger]],TR_6RecyclingArranger[[#This Row],[Pounds of Producer''s Material Recycled by this Recycling Arranger]:[Recycling Arranger Contact Email]])&gt;0,1,0))</f>
        <v>0</v>
      </c>
      <c r="P32" s="79">
        <f>IF(TR_6RecyclingArranger[[#This Row],[Lookup: pounds (this table)]]&gt;TR_6RecyclingArranger[[#This Row],[Lookup: pounds (5B tab)]],1,0)</f>
        <v>0</v>
      </c>
      <c r="Q32" s="77">
        <f>SUMIFS(TR_6RecyclingArranger[Pounds of Producer''s Material Recycled by this Recycling Arranger],TR_6RecyclingArranger[ID_EC],TR_6RecyclingArranger[[#This Row],[ID_EC]])</f>
        <v>0</v>
      </c>
      <c r="R32" s="77">
        <f>IFERROR(INDEX(TR_5ExemptionClaim[How many of the pounds recycled through this pathway were supplied by this producer?],MATCH(TR_6RecyclingArranger[[#This Row],[ID_EC]],TR_5ExemptionClaim[ID_EC],0)),0)</f>
        <v>0</v>
      </c>
      <c r="S32" s="80" t="str">
        <f t="shared" si="0"/>
        <v/>
      </c>
      <c r="T32" s="40"/>
      <c r="U32" s="58"/>
    </row>
    <row r="33" spans="1:21" ht="30.75" customHeight="1" x14ac:dyDescent="0.2">
      <c r="A33" s="82" t="s">
        <v>417</v>
      </c>
      <c r="B33" s="46"/>
      <c r="C33" s="113"/>
      <c r="D33" s="214" t="str">
        <f>IF(TR_6RecyclingArranger[[#This Row],[ID_EC]]="","",INDEX(TR_5ExemptionClaim[End Market Name],MATCH(TR_6RecyclingArranger[[#This Row],[ID_EC]],TR_5ExemptionClaim[ID_EC],0)))</f>
        <v/>
      </c>
      <c r="E33" s="214" t="str">
        <f>IF(TR_6RecyclingArranger[[#This Row],[ID_EC]]="","",INDEX(TR_5ExemptionClaim[Collection or Transportation Service Provider Name],MATCH(TR_6RecyclingArranger[[#This Row],[ID_EC]],TR_5ExemptionClaim[ID_EC],0)))</f>
        <v/>
      </c>
      <c r="F33" s="214" t="str">
        <f>IF(TR_6RecyclingArranger[[#This Row],[ID_EC]]="","",IF(INDEX(TR_5ExemptionClaim[CRPF name],MATCH(TR_6RecyclingArranger[[#This Row],[ID_EC]],TR_5ExemptionClaim[ID_EC],0))=0,"None",INDEX(TR_5ExemptionClaim[CRPF name],MATCH(TR_6RecyclingArranger[[#This Row],[ID_EC]],TR_5ExemptionClaim[ID_EC],0))))</f>
        <v/>
      </c>
      <c r="G33" s="45"/>
      <c r="H33" s="108"/>
      <c r="I33" s="47"/>
      <c r="J33" s="48"/>
      <c r="K33" s="47"/>
      <c r="L33" s="79">
        <f>IF(COUNTIFS(TR_6RecyclingArranger[ID_EC],TR_6RecyclingArranger[[#This Row],[ID_EC]],TR_6RecyclingArranger[Name of Third-Party Recycling Arranger],TR_6RecyclingArranger[[#This Row],[Name of Third-Party Recycling Arranger]])&gt;1,1,0)</f>
        <v>0</v>
      </c>
      <c r="M33" s="79">
        <f>IF(TR_6RecyclingArranger[[#This Row],[ID_EC]]="",0,IFERROR(0*MATCH(TR_6RecyclingArranger[[#This Row],[ID_EC]],TR_5ExemptionClaim[Lookup: for arranger tab],0),1))</f>
        <v>0</v>
      </c>
      <c r="N33" s="79">
        <f>IF(TR_6RecyclingArranger[[#This Row],[ID_EC]]="",0,IF(COUNTA(TR_6RecyclingArranger[[#This Row],[Name of Third-Party Recycling Arranger]],TR_6RecyclingArranger[[#This Row],[Pounds of Producer''s Material Recycled by this Recycling Arranger]:[Recycling Arranger Contact Email]])=7,0,1))</f>
        <v>0</v>
      </c>
      <c r="O33" s="79">
        <f>IF(TR_6RecyclingArranger[[#This Row],[ID_EC]]&lt;&gt;"",0,IF(COUNTA(TR_6RecyclingArranger[[#This Row],[Name of Third-Party Recycling Arranger]],TR_6RecyclingArranger[[#This Row],[Pounds of Producer''s Material Recycled by this Recycling Arranger]:[Recycling Arranger Contact Email]])&gt;0,1,0))</f>
        <v>0</v>
      </c>
      <c r="P33" s="79">
        <f>IF(TR_6RecyclingArranger[[#This Row],[Lookup: pounds (this table)]]&gt;TR_6RecyclingArranger[[#This Row],[Lookup: pounds (5B tab)]],1,0)</f>
        <v>0</v>
      </c>
      <c r="Q33" s="77">
        <f>SUMIFS(TR_6RecyclingArranger[Pounds of Producer''s Material Recycled by this Recycling Arranger],TR_6RecyclingArranger[ID_EC],TR_6RecyclingArranger[[#This Row],[ID_EC]])</f>
        <v>0</v>
      </c>
      <c r="R33" s="77">
        <f>IFERROR(INDEX(TR_5ExemptionClaim[How many of the pounds recycled through this pathway were supplied by this producer?],MATCH(TR_6RecyclingArranger[[#This Row],[ID_EC]],TR_5ExemptionClaim[ID_EC],0)),0)</f>
        <v>0</v>
      </c>
      <c r="S33" s="80" t="str">
        <f t="shared" si="0"/>
        <v/>
      </c>
      <c r="T33" s="40"/>
      <c r="U33" s="58"/>
    </row>
    <row r="34" spans="1:21" ht="30.75" customHeight="1" x14ac:dyDescent="0.2">
      <c r="A34" s="82" t="s">
        <v>418</v>
      </c>
      <c r="B34" s="46"/>
      <c r="C34" s="113"/>
      <c r="D34" s="214" t="str">
        <f>IF(TR_6RecyclingArranger[[#This Row],[ID_EC]]="","",INDEX(TR_5ExemptionClaim[End Market Name],MATCH(TR_6RecyclingArranger[[#This Row],[ID_EC]],TR_5ExemptionClaim[ID_EC],0)))</f>
        <v/>
      </c>
      <c r="E34" s="214" t="str">
        <f>IF(TR_6RecyclingArranger[[#This Row],[ID_EC]]="","",INDEX(TR_5ExemptionClaim[Collection or Transportation Service Provider Name],MATCH(TR_6RecyclingArranger[[#This Row],[ID_EC]],TR_5ExemptionClaim[ID_EC],0)))</f>
        <v/>
      </c>
      <c r="F34" s="214" t="str">
        <f>IF(TR_6RecyclingArranger[[#This Row],[ID_EC]]="","",IF(INDEX(TR_5ExemptionClaim[CRPF name],MATCH(TR_6RecyclingArranger[[#This Row],[ID_EC]],TR_5ExemptionClaim[ID_EC],0))=0,"None",INDEX(TR_5ExemptionClaim[CRPF name],MATCH(TR_6RecyclingArranger[[#This Row],[ID_EC]],TR_5ExemptionClaim[ID_EC],0))))</f>
        <v/>
      </c>
      <c r="G34" s="45"/>
      <c r="H34" s="108"/>
      <c r="I34" s="47"/>
      <c r="J34" s="48"/>
      <c r="K34" s="47"/>
      <c r="L34" s="79">
        <f>IF(COUNTIFS(TR_6RecyclingArranger[ID_EC],TR_6RecyclingArranger[[#This Row],[ID_EC]],TR_6RecyclingArranger[Name of Third-Party Recycling Arranger],TR_6RecyclingArranger[[#This Row],[Name of Third-Party Recycling Arranger]])&gt;1,1,0)</f>
        <v>0</v>
      </c>
      <c r="M34" s="79">
        <f>IF(TR_6RecyclingArranger[[#This Row],[ID_EC]]="",0,IFERROR(0*MATCH(TR_6RecyclingArranger[[#This Row],[ID_EC]],TR_5ExemptionClaim[Lookup: for arranger tab],0),1))</f>
        <v>0</v>
      </c>
      <c r="N34" s="79">
        <f>IF(TR_6RecyclingArranger[[#This Row],[ID_EC]]="",0,IF(COUNTA(TR_6RecyclingArranger[[#This Row],[Name of Third-Party Recycling Arranger]],TR_6RecyclingArranger[[#This Row],[Pounds of Producer''s Material Recycled by this Recycling Arranger]:[Recycling Arranger Contact Email]])=7,0,1))</f>
        <v>0</v>
      </c>
      <c r="O34" s="79">
        <f>IF(TR_6RecyclingArranger[[#This Row],[ID_EC]]&lt;&gt;"",0,IF(COUNTA(TR_6RecyclingArranger[[#This Row],[Name of Third-Party Recycling Arranger]],TR_6RecyclingArranger[[#This Row],[Pounds of Producer''s Material Recycled by this Recycling Arranger]:[Recycling Arranger Contact Email]])&gt;0,1,0))</f>
        <v>0</v>
      </c>
      <c r="P34" s="79">
        <f>IF(TR_6RecyclingArranger[[#This Row],[Lookup: pounds (this table)]]&gt;TR_6RecyclingArranger[[#This Row],[Lookup: pounds (5B tab)]],1,0)</f>
        <v>0</v>
      </c>
      <c r="Q34" s="77">
        <f>SUMIFS(TR_6RecyclingArranger[Pounds of Producer''s Material Recycled by this Recycling Arranger],TR_6RecyclingArranger[ID_EC],TR_6RecyclingArranger[[#This Row],[ID_EC]])</f>
        <v>0</v>
      </c>
      <c r="R34" s="77">
        <f>IFERROR(INDEX(TR_5ExemptionClaim[How many of the pounds recycled through this pathway were supplied by this producer?],MATCH(TR_6RecyclingArranger[[#This Row],[ID_EC]],TR_5ExemptionClaim[ID_EC],0)),0)</f>
        <v>0</v>
      </c>
      <c r="S34" s="80" t="str">
        <f t="shared" si="0"/>
        <v/>
      </c>
      <c r="T34" s="40"/>
      <c r="U34" s="58"/>
    </row>
    <row r="35" spans="1:21" ht="30.75" customHeight="1" x14ac:dyDescent="0.2">
      <c r="A35" s="82" t="s">
        <v>419</v>
      </c>
      <c r="B35" s="46"/>
      <c r="C35" s="113"/>
      <c r="D35" s="214" t="str">
        <f>IF(TR_6RecyclingArranger[[#This Row],[ID_EC]]="","",INDEX(TR_5ExemptionClaim[End Market Name],MATCH(TR_6RecyclingArranger[[#This Row],[ID_EC]],TR_5ExemptionClaim[ID_EC],0)))</f>
        <v/>
      </c>
      <c r="E35" s="214" t="str">
        <f>IF(TR_6RecyclingArranger[[#This Row],[ID_EC]]="","",INDEX(TR_5ExemptionClaim[Collection or Transportation Service Provider Name],MATCH(TR_6RecyclingArranger[[#This Row],[ID_EC]],TR_5ExemptionClaim[ID_EC],0)))</f>
        <v/>
      </c>
      <c r="F35" s="214" t="str">
        <f>IF(TR_6RecyclingArranger[[#This Row],[ID_EC]]="","",IF(INDEX(TR_5ExemptionClaim[CRPF name],MATCH(TR_6RecyclingArranger[[#This Row],[ID_EC]],TR_5ExemptionClaim[ID_EC],0))=0,"None",INDEX(TR_5ExemptionClaim[CRPF name],MATCH(TR_6RecyclingArranger[[#This Row],[ID_EC]],TR_5ExemptionClaim[ID_EC],0))))</f>
        <v/>
      </c>
      <c r="G35" s="45"/>
      <c r="H35" s="108"/>
      <c r="I35" s="47"/>
      <c r="J35" s="48"/>
      <c r="K35" s="47"/>
      <c r="L35" s="79">
        <f>IF(COUNTIFS(TR_6RecyclingArranger[ID_EC],TR_6RecyclingArranger[[#This Row],[ID_EC]],TR_6RecyclingArranger[Name of Third-Party Recycling Arranger],TR_6RecyclingArranger[[#This Row],[Name of Third-Party Recycling Arranger]])&gt;1,1,0)</f>
        <v>0</v>
      </c>
      <c r="M35" s="79">
        <f>IF(TR_6RecyclingArranger[[#This Row],[ID_EC]]="",0,IFERROR(0*MATCH(TR_6RecyclingArranger[[#This Row],[ID_EC]],TR_5ExemptionClaim[Lookup: for arranger tab],0),1))</f>
        <v>0</v>
      </c>
      <c r="N35" s="79">
        <f>IF(TR_6RecyclingArranger[[#This Row],[ID_EC]]="",0,IF(COUNTA(TR_6RecyclingArranger[[#This Row],[Name of Third-Party Recycling Arranger]],TR_6RecyclingArranger[[#This Row],[Pounds of Producer''s Material Recycled by this Recycling Arranger]:[Recycling Arranger Contact Email]])=7,0,1))</f>
        <v>0</v>
      </c>
      <c r="O35" s="79">
        <f>IF(TR_6RecyclingArranger[[#This Row],[ID_EC]]&lt;&gt;"",0,IF(COUNTA(TR_6RecyclingArranger[[#This Row],[Name of Third-Party Recycling Arranger]],TR_6RecyclingArranger[[#This Row],[Pounds of Producer''s Material Recycled by this Recycling Arranger]:[Recycling Arranger Contact Email]])&gt;0,1,0))</f>
        <v>0</v>
      </c>
      <c r="P35" s="79">
        <f>IF(TR_6RecyclingArranger[[#This Row],[Lookup: pounds (this table)]]&gt;TR_6RecyclingArranger[[#This Row],[Lookup: pounds (5B tab)]],1,0)</f>
        <v>0</v>
      </c>
      <c r="Q35" s="77">
        <f>SUMIFS(TR_6RecyclingArranger[Pounds of Producer''s Material Recycled by this Recycling Arranger],TR_6RecyclingArranger[ID_EC],TR_6RecyclingArranger[[#This Row],[ID_EC]])</f>
        <v>0</v>
      </c>
      <c r="R35" s="77">
        <f>IFERROR(INDEX(TR_5ExemptionClaim[How many of the pounds recycled through this pathway were supplied by this producer?],MATCH(TR_6RecyclingArranger[[#This Row],[ID_EC]],TR_5ExemptionClaim[ID_EC],0)),0)</f>
        <v>0</v>
      </c>
      <c r="S35" s="80" t="str">
        <f t="shared" si="0"/>
        <v/>
      </c>
      <c r="T35" s="40"/>
      <c r="U35" s="58"/>
    </row>
    <row r="36" spans="1:21" ht="30.75" customHeight="1" x14ac:dyDescent="0.2">
      <c r="A36" s="82" t="s">
        <v>420</v>
      </c>
      <c r="B36" s="46"/>
      <c r="C36" s="113"/>
      <c r="D36" s="214" t="str">
        <f>IF(TR_6RecyclingArranger[[#This Row],[ID_EC]]="","",INDEX(TR_5ExemptionClaim[End Market Name],MATCH(TR_6RecyclingArranger[[#This Row],[ID_EC]],TR_5ExemptionClaim[ID_EC],0)))</f>
        <v/>
      </c>
      <c r="E36" s="214" t="str">
        <f>IF(TR_6RecyclingArranger[[#This Row],[ID_EC]]="","",INDEX(TR_5ExemptionClaim[Collection or Transportation Service Provider Name],MATCH(TR_6RecyclingArranger[[#This Row],[ID_EC]],TR_5ExemptionClaim[ID_EC],0)))</f>
        <v/>
      </c>
      <c r="F36" s="214" t="str">
        <f>IF(TR_6RecyclingArranger[[#This Row],[ID_EC]]="","",IF(INDEX(TR_5ExemptionClaim[CRPF name],MATCH(TR_6RecyclingArranger[[#This Row],[ID_EC]],TR_5ExemptionClaim[ID_EC],0))=0,"None",INDEX(TR_5ExemptionClaim[CRPF name],MATCH(TR_6RecyclingArranger[[#This Row],[ID_EC]],TR_5ExemptionClaim[ID_EC],0))))</f>
        <v/>
      </c>
      <c r="G36" s="45"/>
      <c r="H36" s="108"/>
      <c r="I36" s="47"/>
      <c r="J36" s="48"/>
      <c r="K36" s="47"/>
      <c r="L36" s="79">
        <f>IF(COUNTIFS(TR_6RecyclingArranger[ID_EC],TR_6RecyclingArranger[[#This Row],[ID_EC]],TR_6RecyclingArranger[Name of Third-Party Recycling Arranger],TR_6RecyclingArranger[[#This Row],[Name of Third-Party Recycling Arranger]])&gt;1,1,0)</f>
        <v>0</v>
      </c>
      <c r="M36" s="79">
        <f>IF(TR_6RecyclingArranger[[#This Row],[ID_EC]]="",0,IFERROR(0*MATCH(TR_6RecyclingArranger[[#This Row],[ID_EC]],TR_5ExemptionClaim[Lookup: for arranger tab],0),1))</f>
        <v>0</v>
      </c>
      <c r="N36" s="79">
        <f>IF(TR_6RecyclingArranger[[#This Row],[ID_EC]]="",0,IF(COUNTA(TR_6RecyclingArranger[[#This Row],[Name of Third-Party Recycling Arranger]],TR_6RecyclingArranger[[#This Row],[Pounds of Producer''s Material Recycled by this Recycling Arranger]:[Recycling Arranger Contact Email]])=7,0,1))</f>
        <v>0</v>
      </c>
      <c r="O36" s="79">
        <f>IF(TR_6RecyclingArranger[[#This Row],[ID_EC]]&lt;&gt;"",0,IF(COUNTA(TR_6RecyclingArranger[[#This Row],[Name of Third-Party Recycling Arranger]],TR_6RecyclingArranger[[#This Row],[Pounds of Producer''s Material Recycled by this Recycling Arranger]:[Recycling Arranger Contact Email]])&gt;0,1,0))</f>
        <v>0</v>
      </c>
      <c r="P36" s="79">
        <f>IF(TR_6RecyclingArranger[[#This Row],[Lookup: pounds (this table)]]&gt;TR_6RecyclingArranger[[#This Row],[Lookup: pounds (5B tab)]],1,0)</f>
        <v>0</v>
      </c>
      <c r="Q36" s="77">
        <f>SUMIFS(TR_6RecyclingArranger[Pounds of Producer''s Material Recycled by this Recycling Arranger],TR_6RecyclingArranger[ID_EC],TR_6RecyclingArranger[[#This Row],[ID_EC]])</f>
        <v>0</v>
      </c>
      <c r="R36" s="77">
        <f>IFERROR(INDEX(TR_5ExemptionClaim[How many of the pounds recycled through this pathway were supplied by this producer?],MATCH(TR_6RecyclingArranger[[#This Row],[ID_EC]],TR_5ExemptionClaim[ID_EC],0)),0)</f>
        <v>0</v>
      </c>
      <c r="S36" s="80" t="str">
        <f t="shared" si="0"/>
        <v/>
      </c>
      <c r="T36" s="40"/>
      <c r="U36" s="58"/>
    </row>
    <row r="37" spans="1:21" ht="30.75" customHeight="1" x14ac:dyDescent="0.2">
      <c r="A37" s="82" t="s">
        <v>421</v>
      </c>
      <c r="B37" s="46"/>
      <c r="C37" s="113"/>
      <c r="D37" s="214" t="str">
        <f>IF(TR_6RecyclingArranger[[#This Row],[ID_EC]]="","",INDEX(TR_5ExemptionClaim[End Market Name],MATCH(TR_6RecyclingArranger[[#This Row],[ID_EC]],TR_5ExemptionClaim[ID_EC],0)))</f>
        <v/>
      </c>
      <c r="E37" s="214" t="str">
        <f>IF(TR_6RecyclingArranger[[#This Row],[ID_EC]]="","",INDEX(TR_5ExemptionClaim[Collection or Transportation Service Provider Name],MATCH(TR_6RecyclingArranger[[#This Row],[ID_EC]],TR_5ExemptionClaim[ID_EC],0)))</f>
        <v/>
      </c>
      <c r="F37" s="214" t="str">
        <f>IF(TR_6RecyclingArranger[[#This Row],[ID_EC]]="","",IF(INDEX(TR_5ExemptionClaim[CRPF name],MATCH(TR_6RecyclingArranger[[#This Row],[ID_EC]],TR_5ExemptionClaim[ID_EC],0))=0,"None",INDEX(TR_5ExemptionClaim[CRPF name],MATCH(TR_6RecyclingArranger[[#This Row],[ID_EC]],TR_5ExemptionClaim[ID_EC],0))))</f>
        <v/>
      </c>
      <c r="G37" s="45"/>
      <c r="H37" s="108"/>
      <c r="I37" s="47"/>
      <c r="J37" s="48"/>
      <c r="K37" s="47"/>
      <c r="L37" s="79">
        <f>IF(COUNTIFS(TR_6RecyclingArranger[ID_EC],TR_6RecyclingArranger[[#This Row],[ID_EC]],TR_6RecyclingArranger[Name of Third-Party Recycling Arranger],TR_6RecyclingArranger[[#This Row],[Name of Third-Party Recycling Arranger]])&gt;1,1,0)</f>
        <v>0</v>
      </c>
      <c r="M37" s="79">
        <f>IF(TR_6RecyclingArranger[[#This Row],[ID_EC]]="",0,IFERROR(0*MATCH(TR_6RecyclingArranger[[#This Row],[ID_EC]],TR_5ExemptionClaim[Lookup: for arranger tab],0),1))</f>
        <v>0</v>
      </c>
      <c r="N37" s="79">
        <f>IF(TR_6RecyclingArranger[[#This Row],[ID_EC]]="",0,IF(COUNTA(TR_6RecyclingArranger[[#This Row],[Name of Third-Party Recycling Arranger]],TR_6RecyclingArranger[[#This Row],[Pounds of Producer''s Material Recycled by this Recycling Arranger]:[Recycling Arranger Contact Email]])=7,0,1))</f>
        <v>0</v>
      </c>
      <c r="O37" s="79">
        <f>IF(TR_6RecyclingArranger[[#This Row],[ID_EC]]&lt;&gt;"",0,IF(COUNTA(TR_6RecyclingArranger[[#This Row],[Name of Third-Party Recycling Arranger]],TR_6RecyclingArranger[[#This Row],[Pounds of Producer''s Material Recycled by this Recycling Arranger]:[Recycling Arranger Contact Email]])&gt;0,1,0))</f>
        <v>0</v>
      </c>
      <c r="P37" s="79">
        <f>IF(TR_6RecyclingArranger[[#This Row],[Lookup: pounds (this table)]]&gt;TR_6RecyclingArranger[[#This Row],[Lookup: pounds (5B tab)]],1,0)</f>
        <v>0</v>
      </c>
      <c r="Q37" s="77">
        <f>SUMIFS(TR_6RecyclingArranger[Pounds of Producer''s Material Recycled by this Recycling Arranger],TR_6RecyclingArranger[ID_EC],TR_6RecyclingArranger[[#This Row],[ID_EC]])</f>
        <v>0</v>
      </c>
      <c r="R37" s="77">
        <f>IFERROR(INDEX(TR_5ExemptionClaim[How many of the pounds recycled through this pathway were supplied by this producer?],MATCH(TR_6RecyclingArranger[[#This Row],[ID_EC]],TR_5ExemptionClaim[ID_EC],0)),0)</f>
        <v>0</v>
      </c>
      <c r="S37" s="80" t="str">
        <f t="shared" si="0"/>
        <v/>
      </c>
      <c r="T37" s="40"/>
      <c r="U37" s="58"/>
    </row>
    <row r="38" spans="1:21" ht="30.75" customHeight="1" x14ac:dyDescent="0.2">
      <c r="A38" s="82" t="s">
        <v>422</v>
      </c>
      <c r="B38" s="46"/>
      <c r="C38" s="113"/>
      <c r="D38" s="214" t="str">
        <f>IF(TR_6RecyclingArranger[[#This Row],[ID_EC]]="","",INDEX(TR_5ExemptionClaim[End Market Name],MATCH(TR_6RecyclingArranger[[#This Row],[ID_EC]],TR_5ExemptionClaim[ID_EC],0)))</f>
        <v/>
      </c>
      <c r="E38" s="214" t="str">
        <f>IF(TR_6RecyclingArranger[[#This Row],[ID_EC]]="","",INDEX(TR_5ExemptionClaim[Collection or Transportation Service Provider Name],MATCH(TR_6RecyclingArranger[[#This Row],[ID_EC]],TR_5ExemptionClaim[ID_EC],0)))</f>
        <v/>
      </c>
      <c r="F38" s="214" t="str">
        <f>IF(TR_6RecyclingArranger[[#This Row],[ID_EC]]="","",IF(INDEX(TR_5ExemptionClaim[CRPF name],MATCH(TR_6RecyclingArranger[[#This Row],[ID_EC]],TR_5ExemptionClaim[ID_EC],0))=0,"None",INDEX(TR_5ExemptionClaim[CRPF name],MATCH(TR_6RecyclingArranger[[#This Row],[ID_EC]],TR_5ExemptionClaim[ID_EC],0))))</f>
        <v/>
      </c>
      <c r="G38" s="45"/>
      <c r="H38" s="108"/>
      <c r="I38" s="47"/>
      <c r="J38" s="48"/>
      <c r="K38" s="47"/>
      <c r="L38" s="79">
        <f>IF(COUNTIFS(TR_6RecyclingArranger[ID_EC],TR_6RecyclingArranger[[#This Row],[ID_EC]],TR_6RecyclingArranger[Name of Third-Party Recycling Arranger],TR_6RecyclingArranger[[#This Row],[Name of Third-Party Recycling Arranger]])&gt;1,1,0)</f>
        <v>0</v>
      </c>
      <c r="M38" s="79">
        <f>IF(TR_6RecyclingArranger[[#This Row],[ID_EC]]="",0,IFERROR(0*MATCH(TR_6RecyclingArranger[[#This Row],[ID_EC]],TR_5ExemptionClaim[Lookup: for arranger tab],0),1))</f>
        <v>0</v>
      </c>
      <c r="N38" s="79">
        <f>IF(TR_6RecyclingArranger[[#This Row],[ID_EC]]="",0,IF(COUNTA(TR_6RecyclingArranger[[#This Row],[Name of Third-Party Recycling Arranger]],TR_6RecyclingArranger[[#This Row],[Pounds of Producer''s Material Recycled by this Recycling Arranger]:[Recycling Arranger Contact Email]])=7,0,1))</f>
        <v>0</v>
      </c>
      <c r="O38" s="79">
        <f>IF(TR_6RecyclingArranger[[#This Row],[ID_EC]]&lt;&gt;"",0,IF(COUNTA(TR_6RecyclingArranger[[#This Row],[Name of Third-Party Recycling Arranger]],TR_6RecyclingArranger[[#This Row],[Pounds of Producer''s Material Recycled by this Recycling Arranger]:[Recycling Arranger Contact Email]])&gt;0,1,0))</f>
        <v>0</v>
      </c>
      <c r="P38" s="79">
        <f>IF(TR_6RecyclingArranger[[#This Row],[Lookup: pounds (this table)]]&gt;TR_6RecyclingArranger[[#This Row],[Lookup: pounds (5B tab)]],1,0)</f>
        <v>0</v>
      </c>
      <c r="Q38" s="77">
        <f>SUMIFS(TR_6RecyclingArranger[Pounds of Producer''s Material Recycled by this Recycling Arranger],TR_6RecyclingArranger[ID_EC],TR_6RecyclingArranger[[#This Row],[ID_EC]])</f>
        <v>0</v>
      </c>
      <c r="R38" s="77">
        <f>IFERROR(INDEX(TR_5ExemptionClaim[How many of the pounds recycled through this pathway were supplied by this producer?],MATCH(TR_6RecyclingArranger[[#This Row],[ID_EC]],TR_5ExemptionClaim[ID_EC],0)),0)</f>
        <v>0</v>
      </c>
      <c r="S38" s="80" t="str">
        <f t="shared" si="0"/>
        <v/>
      </c>
      <c r="T38" s="40"/>
      <c r="U38" s="58"/>
    </row>
    <row r="39" spans="1:21" ht="30.75" customHeight="1" x14ac:dyDescent="0.2">
      <c r="A39" s="82" t="s">
        <v>423</v>
      </c>
      <c r="B39" s="46"/>
      <c r="C39" s="113"/>
      <c r="D39" s="214" t="str">
        <f>IF(TR_6RecyclingArranger[[#This Row],[ID_EC]]="","",INDEX(TR_5ExemptionClaim[End Market Name],MATCH(TR_6RecyclingArranger[[#This Row],[ID_EC]],TR_5ExemptionClaim[ID_EC],0)))</f>
        <v/>
      </c>
      <c r="E39" s="214" t="str">
        <f>IF(TR_6RecyclingArranger[[#This Row],[ID_EC]]="","",INDEX(TR_5ExemptionClaim[Collection or Transportation Service Provider Name],MATCH(TR_6RecyclingArranger[[#This Row],[ID_EC]],TR_5ExemptionClaim[ID_EC],0)))</f>
        <v/>
      </c>
      <c r="F39" s="214" t="str">
        <f>IF(TR_6RecyclingArranger[[#This Row],[ID_EC]]="","",IF(INDEX(TR_5ExemptionClaim[CRPF name],MATCH(TR_6RecyclingArranger[[#This Row],[ID_EC]],TR_5ExemptionClaim[ID_EC],0))=0,"None",INDEX(TR_5ExemptionClaim[CRPF name],MATCH(TR_6RecyclingArranger[[#This Row],[ID_EC]],TR_5ExemptionClaim[ID_EC],0))))</f>
        <v/>
      </c>
      <c r="G39" s="45"/>
      <c r="H39" s="108"/>
      <c r="I39" s="47"/>
      <c r="J39" s="48"/>
      <c r="K39" s="47"/>
      <c r="L39" s="79">
        <f>IF(COUNTIFS(TR_6RecyclingArranger[ID_EC],TR_6RecyclingArranger[[#This Row],[ID_EC]],TR_6RecyclingArranger[Name of Third-Party Recycling Arranger],TR_6RecyclingArranger[[#This Row],[Name of Third-Party Recycling Arranger]])&gt;1,1,0)</f>
        <v>0</v>
      </c>
      <c r="M39" s="79">
        <f>IF(TR_6RecyclingArranger[[#This Row],[ID_EC]]="",0,IFERROR(0*MATCH(TR_6RecyclingArranger[[#This Row],[ID_EC]],TR_5ExemptionClaim[Lookup: for arranger tab],0),1))</f>
        <v>0</v>
      </c>
      <c r="N39" s="79">
        <f>IF(TR_6RecyclingArranger[[#This Row],[ID_EC]]="",0,IF(COUNTA(TR_6RecyclingArranger[[#This Row],[Name of Third-Party Recycling Arranger]],TR_6RecyclingArranger[[#This Row],[Pounds of Producer''s Material Recycled by this Recycling Arranger]:[Recycling Arranger Contact Email]])=7,0,1))</f>
        <v>0</v>
      </c>
      <c r="O39" s="79">
        <f>IF(TR_6RecyclingArranger[[#This Row],[ID_EC]]&lt;&gt;"",0,IF(COUNTA(TR_6RecyclingArranger[[#This Row],[Name of Third-Party Recycling Arranger]],TR_6RecyclingArranger[[#This Row],[Pounds of Producer''s Material Recycled by this Recycling Arranger]:[Recycling Arranger Contact Email]])&gt;0,1,0))</f>
        <v>0</v>
      </c>
      <c r="P39" s="79">
        <f>IF(TR_6RecyclingArranger[[#This Row],[Lookup: pounds (this table)]]&gt;TR_6RecyclingArranger[[#This Row],[Lookup: pounds (5B tab)]],1,0)</f>
        <v>0</v>
      </c>
      <c r="Q39" s="77">
        <f>SUMIFS(TR_6RecyclingArranger[Pounds of Producer''s Material Recycled by this Recycling Arranger],TR_6RecyclingArranger[ID_EC],TR_6RecyclingArranger[[#This Row],[ID_EC]])</f>
        <v>0</v>
      </c>
      <c r="R39" s="77">
        <f>IFERROR(INDEX(TR_5ExemptionClaim[How many of the pounds recycled through this pathway were supplied by this producer?],MATCH(TR_6RecyclingArranger[[#This Row],[ID_EC]],TR_5ExemptionClaim[ID_EC],0)),0)</f>
        <v>0</v>
      </c>
      <c r="S39" s="80" t="str">
        <f t="shared" si="0"/>
        <v/>
      </c>
      <c r="T39" s="40"/>
      <c r="U39" s="58"/>
    </row>
    <row r="40" spans="1:21" ht="30.75" customHeight="1" x14ac:dyDescent="0.2">
      <c r="A40" s="82" t="s">
        <v>424</v>
      </c>
      <c r="B40" s="46"/>
      <c r="C40" s="113"/>
      <c r="D40" s="214" t="str">
        <f>IF(TR_6RecyclingArranger[[#This Row],[ID_EC]]="","",INDEX(TR_5ExemptionClaim[End Market Name],MATCH(TR_6RecyclingArranger[[#This Row],[ID_EC]],TR_5ExemptionClaim[ID_EC],0)))</f>
        <v/>
      </c>
      <c r="E40" s="214" t="str">
        <f>IF(TR_6RecyclingArranger[[#This Row],[ID_EC]]="","",INDEX(TR_5ExemptionClaim[Collection or Transportation Service Provider Name],MATCH(TR_6RecyclingArranger[[#This Row],[ID_EC]],TR_5ExemptionClaim[ID_EC],0)))</f>
        <v/>
      </c>
      <c r="F40" s="214" t="str">
        <f>IF(TR_6RecyclingArranger[[#This Row],[ID_EC]]="","",IF(INDEX(TR_5ExemptionClaim[CRPF name],MATCH(TR_6RecyclingArranger[[#This Row],[ID_EC]],TR_5ExemptionClaim[ID_EC],0))=0,"None",INDEX(TR_5ExemptionClaim[CRPF name],MATCH(TR_6RecyclingArranger[[#This Row],[ID_EC]],TR_5ExemptionClaim[ID_EC],0))))</f>
        <v/>
      </c>
      <c r="G40" s="45"/>
      <c r="H40" s="108"/>
      <c r="I40" s="47"/>
      <c r="J40" s="48"/>
      <c r="K40" s="47"/>
      <c r="L40" s="79">
        <f>IF(COUNTIFS(TR_6RecyclingArranger[ID_EC],TR_6RecyclingArranger[[#This Row],[ID_EC]],TR_6RecyclingArranger[Name of Third-Party Recycling Arranger],TR_6RecyclingArranger[[#This Row],[Name of Third-Party Recycling Arranger]])&gt;1,1,0)</f>
        <v>0</v>
      </c>
      <c r="M40" s="79">
        <f>IF(TR_6RecyclingArranger[[#This Row],[ID_EC]]="",0,IFERROR(0*MATCH(TR_6RecyclingArranger[[#This Row],[ID_EC]],TR_5ExemptionClaim[Lookup: for arranger tab],0),1))</f>
        <v>0</v>
      </c>
      <c r="N40" s="79">
        <f>IF(TR_6RecyclingArranger[[#This Row],[ID_EC]]="",0,IF(COUNTA(TR_6RecyclingArranger[[#This Row],[Name of Third-Party Recycling Arranger]],TR_6RecyclingArranger[[#This Row],[Pounds of Producer''s Material Recycled by this Recycling Arranger]:[Recycling Arranger Contact Email]])=7,0,1))</f>
        <v>0</v>
      </c>
      <c r="O40" s="79">
        <f>IF(TR_6RecyclingArranger[[#This Row],[ID_EC]]&lt;&gt;"",0,IF(COUNTA(TR_6RecyclingArranger[[#This Row],[Name of Third-Party Recycling Arranger]],TR_6RecyclingArranger[[#This Row],[Pounds of Producer''s Material Recycled by this Recycling Arranger]:[Recycling Arranger Contact Email]])&gt;0,1,0))</f>
        <v>0</v>
      </c>
      <c r="P40" s="79">
        <f>IF(TR_6RecyclingArranger[[#This Row],[Lookup: pounds (this table)]]&gt;TR_6RecyclingArranger[[#This Row],[Lookup: pounds (5B tab)]],1,0)</f>
        <v>0</v>
      </c>
      <c r="Q40" s="77">
        <f>SUMIFS(TR_6RecyclingArranger[Pounds of Producer''s Material Recycled by this Recycling Arranger],TR_6RecyclingArranger[ID_EC],TR_6RecyclingArranger[[#This Row],[ID_EC]])</f>
        <v>0</v>
      </c>
      <c r="R40" s="77">
        <f>IFERROR(INDEX(TR_5ExemptionClaim[How many of the pounds recycled through this pathway were supplied by this producer?],MATCH(TR_6RecyclingArranger[[#This Row],[ID_EC]],TR_5ExemptionClaim[ID_EC],0)),0)</f>
        <v>0</v>
      </c>
      <c r="S40" s="80" t="str">
        <f t="shared" si="0"/>
        <v/>
      </c>
      <c r="T40" s="40"/>
      <c r="U40" s="58"/>
    </row>
    <row r="41" spans="1:21" ht="30.75" customHeight="1" x14ac:dyDescent="0.2">
      <c r="A41" s="82" t="s">
        <v>425</v>
      </c>
      <c r="B41" s="46"/>
      <c r="C41" s="113"/>
      <c r="D41" s="214" t="str">
        <f>IF(TR_6RecyclingArranger[[#This Row],[ID_EC]]="","",INDEX(TR_5ExemptionClaim[End Market Name],MATCH(TR_6RecyclingArranger[[#This Row],[ID_EC]],TR_5ExemptionClaim[ID_EC],0)))</f>
        <v/>
      </c>
      <c r="E41" s="214" t="str">
        <f>IF(TR_6RecyclingArranger[[#This Row],[ID_EC]]="","",INDEX(TR_5ExemptionClaim[Collection or Transportation Service Provider Name],MATCH(TR_6RecyclingArranger[[#This Row],[ID_EC]],TR_5ExemptionClaim[ID_EC],0)))</f>
        <v/>
      </c>
      <c r="F41" s="214" t="str">
        <f>IF(TR_6RecyclingArranger[[#This Row],[ID_EC]]="","",IF(INDEX(TR_5ExemptionClaim[CRPF name],MATCH(TR_6RecyclingArranger[[#This Row],[ID_EC]],TR_5ExemptionClaim[ID_EC],0))=0,"None",INDEX(TR_5ExemptionClaim[CRPF name],MATCH(TR_6RecyclingArranger[[#This Row],[ID_EC]],TR_5ExemptionClaim[ID_EC],0))))</f>
        <v/>
      </c>
      <c r="G41" s="45"/>
      <c r="H41" s="108"/>
      <c r="I41" s="47"/>
      <c r="J41" s="48"/>
      <c r="K41" s="47"/>
      <c r="L41" s="79">
        <f>IF(COUNTIFS(TR_6RecyclingArranger[ID_EC],TR_6RecyclingArranger[[#This Row],[ID_EC]],TR_6RecyclingArranger[Name of Third-Party Recycling Arranger],TR_6RecyclingArranger[[#This Row],[Name of Third-Party Recycling Arranger]])&gt;1,1,0)</f>
        <v>0</v>
      </c>
      <c r="M41" s="79">
        <f>IF(TR_6RecyclingArranger[[#This Row],[ID_EC]]="",0,IFERROR(0*MATCH(TR_6RecyclingArranger[[#This Row],[ID_EC]],TR_5ExemptionClaim[Lookup: for arranger tab],0),1))</f>
        <v>0</v>
      </c>
      <c r="N41" s="79">
        <f>IF(TR_6RecyclingArranger[[#This Row],[ID_EC]]="",0,IF(COUNTA(TR_6RecyclingArranger[[#This Row],[Name of Third-Party Recycling Arranger]],TR_6RecyclingArranger[[#This Row],[Pounds of Producer''s Material Recycled by this Recycling Arranger]:[Recycling Arranger Contact Email]])=7,0,1))</f>
        <v>0</v>
      </c>
      <c r="O41" s="79">
        <f>IF(TR_6RecyclingArranger[[#This Row],[ID_EC]]&lt;&gt;"",0,IF(COUNTA(TR_6RecyclingArranger[[#This Row],[Name of Third-Party Recycling Arranger]],TR_6RecyclingArranger[[#This Row],[Pounds of Producer''s Material Recycled by this Recycling Arranger]:[Recycling Arranger Contact Email]])&gt;0,1,0))</f>
        <v>0</v>
      </c>
      <c r="P41" s="79">
        <f>IF(TR_6RecyclingArranger[[#This Row],[Lookup: pounds (this table)]]&gt;TR_6RecyclingArranger[[#This Row],[Lookup: pounds (5B tab)]],1,0)</f>
        <v>0</v>
      </c>
      <c r="Q41" s="77">
        <f>SUMIFS(TR_6RecyclingArranger[Pounds of Producer''s Material Recycled by this Recycling Arranger],TR_6RecyclingArranger[ID_EC],TR_6RecyclingArranger[[#This Row],[ID_EC]])</f>
        <v>0</v>
      </c>
      <c r="R41" s="77">
        <f>IFERROR(INDEX(TR_5ExemptionClaim[How many of the pounds recycled through this pathway were supplied by this producer?],MATCH(TR_6RecyclingArranger[[#This Row],[ID_EC]],TR_5ExemptionClaim[ID_EC],0)),0)</f>
        <v>0</v>
      </c>
      <c r="S41" s="80" t="str">
        <f t="shared" si="0"/>
        <v/>
      </c>
      <c r="T41" s="40"/>
      <c r="U41" s="58"/>
    </row>
    <row r="42" spans="1:21" ht="30.75" customHeight="1" x14ac:dyDescent="0.2">
      <c r="A42" s="82" t="s">
        <v>426</v>
      </c>
      <c r="B42" s="46"/>
      <c r="C42" s="113"/>
      <c r="D42" s="214" t="str">
        <f>IF(TR_6RecyclingArranger[[#This Row],[ID_EC]]="","",INDEX(TR_5ExemptionClaim[End Market Name],MATCH(TR_6RecyclingArranger[[#This Row],[ID_EC]],TR_5ExemptionClaim[ID_EC],0)))</f>
        <v/>
      </c>
      <c r="E42" s="214" t="str">
        <f>IF(TR_6RecyclingArranger[[#This Row],[ID_EC]]="","",INDEX(TR_5ExemptionClaim[Collection or Transportation Service Provider Name],MATCH(TR_6RecyclingArranger[[#This Row],[ID_EC]],TR_5ExemptionClaim[ID_EC],0)))</f>
        <v/>
      </c>
      <c r="F42" s="214" t="str">
        <f>IF(TR_6RecyclingArranger[[#This Row],[ID_EC]]="","",IF(INDEX(TR_5ExemptionClaim[CRPF name],MATCH(TR_6RecyclingArranger[[#This Row],[ID_EC]],TR_5ExemptionClaim[ID_EC],0))=0,"None",INDEX(TR_5ExemptionClaim[CRPF name],MATCH(TR_6RecyclingArranger[[#This Row],[ID_EC]],TR_5ExemptionClaim[ID_EC],0))))</f>
        <v/>
      </c>
      <c r="G42" s="45"/>
      <c r="H42" s="108"/>
      <c r="I42" s="47"/>
      <c r="J42" s="48"/>
      <c r="K42" s="47"/>
      <c r="L42" s="79">
        <f>IF(COUNTIFS(TR_6RecyclingArranger[ID_EC],TR_6RecyclingArranger[[#This Row],[ID_EC]],TR_6RecyclingArranger[Name of Third-Party Recycling Arranger],TR_6RecyclingArranger[[#This Row],[Name of Third-Party Recycling Arranger]])&gt;1,1,0)</f>
        <v>0</v>
      </c>
      <c r="M42" s="79">
        <f>IF(TR_6RecyclingArranger[[#This Row],[ID_EC]]="",0,IFERROR(0*MATCH(TR_6RecyclingArranger[[#This Row],[ID_EC]],TR_5ExemptionClaim[Lookup: for arranger tab],0),1))</f>
        <v>0</v>
      </c>
      <c r="N42" s="79">
        <f>IF(TR_6RecyclingArranger[[#This Row],[ID_EC]]="",0,IF(COUNTA(TR_6RecyclingArranger[[#This Row],[Name of Third-Party Recycling Arranger]],TR_6RecyclingArranger[[#This Row],[Pounds of Producer''s Material Recycled by this Recycling Arranger]:[Recycling Arranger Contact Email]])=7,0,1))</f>
        <v>0</v>
      </c>
      <c r="O42" s="79">
        <f>IF(TR_6RecyclingArranger[[#This Row],[ID_EC]]&lt;&gt;"",0,IF(COUNTA(TR_6RecyclingArranger[[#This Row],[Name of Third-Party Recycling Arranger]],TR_6RecyclingArranger[[#This Row],[Pounds of Producer''s Material Recycled by this Recycling Arranger]:[Recycling Arranger Contact Email]])&gt;0,1,0))</f>
        <v>0</v>
      </c>
      <c r="P42" s="79">
        <f>IF(TR_6RecyclingArranger[[#This Row],[Lookup: pounds (this table)]]&gt;TR_6RecyclingArranger[[#This Row],[Lookup: pounds (5B tab)]],1,0)</f>
        <v>0</v>
      </c>
      <c r="Q42" s="77">
        <f>SUMIFS(TR_6RecyclingArranger[Pounds of Producer''s Material Recycled by this Recycling Arranger],TR_6RecyclingArranger[ID_EC],TR_6RecyclingArranger[[#This Row],[ID_EC]])</f>
        <v>0</v>
      </c>
      <c r="R42" s="77">
        <f>IFERROR(INDEX(TR_5ExemptionClaim[How many of the pounds recycled through this pathway were supplied by this producer?],MATCH(TR_6RecyclingArranger[[#This Row],[ID_EC]],TR_5ExemptionClaim[ID_EC],0)),0)</f>
        <v>0</v>
      </c>
      <c r="S42" s="80" t="str">
        <f t="shared" si="0"/>
        <v/>
      </c>
      <c r="T42" s="40"/>
      <c r="U42" s="58"/>
    </row>
    <row r="43" spans="1:21" ht="30.75" customHeight="1" x14ac:dyDescent="0.2">
      <c r="A43" s="82" t="s">
        <v>427</v>
      </c>
      <c r="B43" s="46"/>
      <c r="C43" s="113"/>
      <c r="D43" s="214" t="str">
        <f>IF(TR_6RecyclingArranger[[#This Row],[ID_EC]]="","",INDEX(TR_5ExemptionClaim[End Market Name],MATCH(TR_6RecyclingArranger[[#This Row],[ID_EC]],TR_5ExemptionClaim[ID_EC],0)))</f>
        <v/>
      </c>
      <c r="E43" s="214" t="str">
        <f>IF(TR_6RecyclingArranger[[#This Row],[ID_EC]]="","",INDEX(TR_5ExemptionClaim[Collection or Transportation Service Provider Name],MATCH(TR_6RecyclingArranger[[#This Row],[ID_EC]],TR_5ExemptionClaim[ID_EC],0)))</f>
        <v/>
      </c>
      <c r="F43" s="214" t="str">
        <f>IF(TR_6RecyclingArranger[[#This Row],[ID_EC]]="","",IF(INDEX(TR_5ExemptionClaim[CRPF name],MATCH(TR_6RecyclingArranger[[#This Row],[ID_EC]],TR_5ExemptionClaim[ID_EC],0))=0,"None",INDEX(TR_5ExemptionClaim[CRPF name],MATCH(TR_6RecyclingArranger[[#This Row],[ID_EC]],TR_5ExemptionClaim[ID_EC],0))))</f>
        <v/>
      </c>
      <c r="G43" s="45"/>
      <c r="H43" s="108"/>
      <c r="I43" s="47"/>
      <c r="J43" s="48"/>
      <c r="K43" s="47"/>
      <c r="L43" s="79">
        <f>IF(COUNTIFS(TR_6RecyclingArranger[ID_EC],TR_6RecyclingArranger[[#This Row],[ID_EC]],TR_6RecyclingArranger[Name of Third-Party Recycling Arranger],TR_6RecyclingArranger[[#This Row],[Name of Third-Party Recycling Arranger]])&gt;1,1,0)</f>
        <v>0</v>
      </c>
      <c r="M43" s="79">
        <f>IF(TR_6RecyclingArranger[[#This Row],[ID_EC]]="",0,IFERROR(0*MATCH(TR_6RecyclingArranger[[#This Row],[ID_EC]],TR_5ExemptionClaim[Lookup: for arranger tab],0),1))</f>
        <v>0</v>
      </c>
      <c r="N43" s="79">
        <f>IF(TR_6RecyclingArranger[[#This Row],[ID_EC]]="",0,IF(COUNTA(TR_6RecyclingArranger[[#This Row],[Name of Third-Party Recycling Arranger]],TR_6RecyclingArranger[[#This Row],[Pounds of Producer''s Material Recycled by this Recycling Arranger]:[Recycling Arranger Contact Email]])=7,0,1))</f>
        <v>0</v>
      </c>
      <c r="O43" s="79">
        <f>IF(TR_6RecyclingArranger[[#This Row],[ID_EC]]&lt;&gt;"",0,IF(COUNTA(TR_6RecyclingArranger[[#This Row],[Name of Third-Party Recycling Arranger]],TR_6RecyclingArranger[[#This Row],[Pounds of Producer''s Material Recycled by this Recycling Arranger]:[Recycling Arranger Contact Email]])&gt;0,1,0))</f>
        <v>0</v>
      </c>
      <c r="P43" s="79">
        <f>IF(TR_6RecyclingArranger[[#This Row],[Lookup: pounds (this table)]]&gt;TR_6RecyclingArranger[[#This Row],[Lookup: pounds (5B tab)]],1,0)</f>
        <v>0</v>
      </c>
      <c r="Q43" s="77">
        <f>SUMIFS(TR_6RecyclingArranger[Pounds of Producer''s Material Recycled by this Recycling Arranger],TR_6RecyclingArranger[ID_EC],TR_6RecyclingArranger[[#This Row],[ID_EC]])</f>
        <v>0</v>
      </c>
      <c r="R43" s="77">
        <f>IFERROR(INDEX(TR_5ExemptionClaim[How many of the pounds recycled through this pathway were supplied by this producer?],MATCH(TR_6RecyclingArranger[[#This Row],[ID_EC]],TR_5ExemptionClaim[ID_EC],0)),0)</f>
        <v>0</v>
      </c>
      <c r="S43" s="80" t="str">
        <f t="shared" si="0"/>
        <v/>
      </c>
      <c r="T43" s="40"/>
      <c r="U43" s="58"/>
    </row>
    <row r="44" spans="1:21" ht="30.75" customHeight="1" x14ac:dyDescent="0.2">
      <c r="A44" s="82" t="s">
        <v>428</v>
      </c>
      <c r="B44" s="46"/>
      <c r="C44" s="113"/>
      <c r="D44" s="214" t="str">
        <f>IF(TR_6RecyclingArranger[[#This Row],[ID_EC]]="","",INDEX(TR_5ExemptionClaim[End Market Name],MATCH(TR_6RecyclingArranger[[#This Row],[ID_EC]],TR_5ExemptionClaim[ID_EC],0)))</f>
        <v/>
      </c>
      <c r="E44" s="214" t="str">
        <f>IF(TR_6RecyclingArranger[[#This Row],[ID_EC]]="","",INDEX(TR_5ExemptionClaim[Collection or Transportation Service Provider Name],MATCH(TR_6RecyclingArranger[[#This Row],[ID_EC]],TR_5ExemptionClaim[ID_EC],0)))</f>
        <v/>
      </c>
      <c r="F44" s="214" t="str">
        <f>IF(TR_6RecyclingArranger[[#This Row],[ID_EC]]="","",IF(INDEX(TR_5ExemptionClaim[CRPF name],MATCH(TR_6RecyclingArranger[[#This Row],[ID_EC]],TR_5ExemptionClaim[ID_EC],0))=0,"None",INDEX(TR_5ExemptionClaim[CRPF name],MATCH(TR_6RecyclingArranger[[#This Row],[ID_EC]],TR_5ExemptionClaim[ID_EC],0))))</f>
        <v/>
      </c>
      <c r="G44" s="45"/>
      <c r="H44" s="108"/>
      <c r="I44" s="47"/>
      <c r="J44" s="48"/>
      <c r="K44" s="47"/>
      <c r="L44" s="79">
        <f>IF(COUNTIFS(TR_6RecyclingArranger[ID_EC],TR_6RecyclingArranger[[#This Row],[ID_EC]],TR_6RecyclingArranger[Name of Third-Party Recycling Arranger],TR_6RecyclingArranger[[#This Row],[Name of Third-Party Recycling Arranger]])&gt;1,1,0)</f>
        <v>0</v>
      </c>
      <c r="M44" s="79">
        <f>IF(TR_6RecyclingArranger[[#This Row],[ID_EC]]="",0,IFERROR(0*MATCH(TR_6RecyclingArranger[[#This Row],[ID_EC]],TR_5ExemptionClaim[Lookup: for arranger tab],0),1))</f>
        <v>0</v>
      </c>
      <c r="N44" s="79">
        <f>IF(TR_6RecyclingArranger[[#This Row],[ID_EC]]="",0,IF(COUNTA(TR_6RecyclingArranger[[#This Row],[Name of Third-Party Recycling Arranger]],TR_6RecyclingArranger[[#This Row],[Pounds of Producer''s Material Recycled by this Recycling Arranger]:[Recycling Arranger Contact Email]])=7,0,1))</f>
        <v>0</v>
      </c>
      <c r="O44" s="79">
        <f>IF(TR_6RecyclingArranger[[#This Row],[ID_EC]]&lt;&gt;"",0,IF(COUNTA(TR_6RecyclingArranger[[#This Row],[Name of Third-Party Recycling Arranger]],TR_6RecyclingArranger[[#This Row],[Pounds of Producer''s Material Recycled by this Recycling Arranger]:[Recycling Arranger Contact Email]])&gt;0,1,0))</f>
        <v>0</v>
      </c>
      <c r="P44" s="79">
        <f>IF(TR_6RecyclingArranger[[#This Row],[Lookup: pounds (this table)]]&gt;TR_6RecyclingArranger[[#This Row],[Lookup: pounds (5B tab)]],1,0)</f>
        <v>0</v>
      </c>
      <c r="Q44" s="77">
        <f>SUMIFS(TR_6RecyclingArranger[Pounds of Producer''s Material Recycled by this Recycling Arranger],TR_6RecyclingArranger[ID_EC],TR_6RecyclingArranger[[#This Row],[ID_EC]])</f>
        <v>0</v>
      </c>
      <c r="R44" s="77">
        <f>IFERROR(INDEX(TR_5ExemptionClaim[How many of the pounds recycled through this pathway were supplied by this producer?],MATCH(TR_6RecyclingArranger[[#This Row],[ID_EC]],TR_5ExemptionClaim[ID_EC],0)),0)</f>
        <v>0</v>
      </c>
      <c r="S44" s="80" t="str">
        <f t="shared" si="0"/>
        <v/>
      </c>
      <c r="T44" s="40"/>
      <c r="U44" s="58"/>
    </row>
    <row r="45" spans="1:21" ht="30.75" customHeight="1" x14ac:dyDescent="0.2">
      <c r="A45" s="82" t="s">
        <v>429</v>
      </c>
      <c r="B45" s="46"/>
      <c r="C45" s="113"/>
      <c r="D45" s="214" t="str">
        <f>IF(TR_6RecyclingArranger[[#This Row],[ID_EC]]="","",INDEX(TR_5ExemptionClaim[End Market Name],MATCH(TR_6RecyclingArranger[[#This Row],[ID_EC]],TR_5ExemptionClaim[ID_EC],0)))</f>
        <v/>
      </c>
      <c r="E45" s="214" t="str">
        <f>IF(TR_6RecyclingArranger[[#This Row],[ID_EC]]="","",INDEX(TR_5ExemptionClaim[Collection or Transportation Service Provider Name],MATCH(TR_6RecyclingArranger[[#This Row],[ID_EC]],TR_5ExemptionClaim[ID_EC],0)))</f>
        <v/>
      </c>
      <c r="F45" s="214" t="str">
        <f>IF(TR_6RecyclingArranger[[#This Row],[ID_EC]]="","",IF(INDEX(TR_5ExemptionClaim[CRPF name],MATCH(TR_6RecyclingArranger[[#This Row],[ID_EC]],TR_5ExemptionClaim[ID_EC],0))=0,"None",INDEX(TR_5ExemptionClaim[CRPF name],MATCH(TR_6RecyclingArranger[[#This Row],[ID_EC]],TR_5ExemptionClaim[ID_EC],0))))</f>
        <v/>
      </c>
      <c r="G45" s="45"/>
      <c r="H45" s="108"/>
      <c r="I45" s="47"/>
      <c r="J45" s="48"/>
      <c r="K45" s="47"/>
      <c r="L45" s="79">
        <f>IF(COUNTIFS(TR_6RecyclingArranger[ID_EC],TR_6RecyclingArranger[[#This Row],[ID_EC]],TR_6RecyclingArranger[Name of Third-Party Recycling Arranger],TR_6RecyclingArranger[[#This Row],[Name of Third-Party Recycling Arranger]])&gt;1,1,0)</f>
        <v>0</v>
      </c>
      <c r="M45" s="79">
        <f>IF(TR_6RecyclingArranger[[#This Row],[ID_EC]]="",0,IFERROR(0*MATCH(TR_6RecyclingArranger[[#This Row],[ID_EC]],TR_5ExemptionClaim[Lookup: for arranger tab],0),1))</f>
        <v>0</v>
      </c>
      <c r="N45" s="79">
        <f>IF(TR_6RecyclingArranger[[#This Row],[ID_EC]]="",0,IF(COUNTA(TR_6RecyclingArranger[[#This Row],[Name of Third-Party Recycling Arranger]],TR_6RecyclingArranger[[#This Row],[Pounds of Producer''s Material Recycled by this Recycling Arranger]:[Recycling Arranger Contact Email]])=7,0,1))</f>
        <v>0</v>
      </c>
      <c r="O45" s="79">
        <f>IF(TR_6RecyclingArranger[[#This Row],[ID_EC]]&lt;&gt;"",0,IF(COUNTA(TR_6RecyclingArranger[[#This Row],[Name of Third-Party Recycling Arranger]],TR_6RecyclingArranger[[#This Row],[Pounds of Producer''s Material Recycled by this Recycling Arranger]:[Recycling Arranger Contact Email]])&gt;0,1,0))</f>
        <v>0</v>
      </c>
      <c r="P45" s="79">
        <f>IF(TR_6RecyclingArranger[[#This Row],[Lookup: pounds (this table)]]&gt;TR_6RecyclingArranger[[#This Row],[Lookup: pounds (5B tab)]],1,0)</f>
        <v>0</v>
      </c>
      <c r="Q45" s="77">
        <f>SUMIFS(TR_6RecyclingArranger[Pounds of Producer''s Material Recycled by this Recycling Arranger],TR_6RecyclingArranger[ID_EC],TR_6RecyclingArranger[[#This Row],[ID_EC]])</f>
        <v>0</v>
      </c>
      <c r="R45" s="77">
        <f>IFERROR(INDEX(TR_5ExemptionClaim[How many of the pounds recycled through this pathway were supplied by this producer?],MATCH(TR_6RecyclingArranger[[#This Row],[ID_EC]],TR_5ExemptionClaim[ID_EC],0)),0)</f>
        <v>0</v>
      </c>
      <c r="S45" s="80" t="str">
        <f t="shared" si="0"/>
        <v/>
      </c>
      <c r="T45" s="40"/>
      <c r="U45" s="58"/>
    </row>
    <row r="46" spans="1:21" ht="30.75" customHeight="1" x14ac:dyDescent="0.2">
      <c r="A46" s="82" t="s">
        <v>430</v>
      </c>
      <c r="B46" s="46"/>
      <c r="C46" s="113"/>
      <c r="D46" s="214" t="str">
        <f>IF(TR_6RecyclingArranger[[#This Row],[ID_EC]]="","",INDEX(TR_5ExemptionClaim[End Market Name],MATCH(TR_6RecyclingArranger[[#This Row],[ID_EC]],TR_5ExemptionClaim[ID_EC],0)))</f>
        <v/>
      </c>
      <c r="E46" s="214" t="str">
        <f>IF(TR_6RecyclingArranger[[#This Row],[ID_EC]]="","",INDEX(TR_5ExemptionClaim[Collection or Transportation Service Provider Name],MATCH(TR_6RecyclingArranger[[#This Row],[ID_EC]],TR_5ExemptionClaim[ID_EC],0)))</f>
        <v/>
      </c>
      <c r="F46" s="214" t="str">
        <f>IF(TR_6RecyclingArranger[[#This Row],[ID_EC]]="","",IF(INDEX(TR_5ExemptionClaim[CRPF name],MATCH(TR_6RecyclingArranger[[#This Row],[ID_EC]],TR_5ExemptionClaim[ID_EC],0))=0,"None",INDEX(TR_5ExemptionClaim[CRPF name],MATCH(TR_6RecyclingArranger[[#This Row],[ID_EC]],TR_5ExemptionClaim[ID_EC],0))))</f>
        <v/>
      </c>
      <c r="G46" s="45"/>
      <c r="H46" s="108"/>
      <c r="I46" s="47"/>
      <c r="J46" s="48"/>
      <c r="K46" s="47"/>
      <c r="L46" s="79">
        <f>IF(COUNTIFS(TR_6RecyclingArranger[ID_EC],TR_6RecyclingArranger[[#This Row],[ID_EC]],TR_6RecyclingArranger[Name of Third-Party Recycling Arranger],TR_6RecyclingArranger[[#This Row],[Name of Third-Party Recycling Arranger]])&gt;1,1,0)</f>
        <v>0</v>
      </c>
      <c r="M46" s="79">
        <f>IF(TR_6RecyclingArranger[[#This Row],[ID_EC]]="",0,IFERROR(0*MATCH(TR_6RecyclingArranger[[#This Row],[ID_EC]],TR_5ExemptionClaim[Lookup: for arranger tab],0),1))</f>
        <v>0</v>
      </c>
      <c r="N46" s="79">
        <f>IF(TR_6RecyclingArranger[[#This Row],[ID_EC]]="",0,IF(COUNTA(TR_6RecyclingArranger[[#This Row],[Name of Third-Party Recycling Arranger]],TR_6RecyclingArranger[[#This Row],[Pounds of Producer''s Material Recycled by this Recycling Arranger]:[Recycling Arranger Contact Email]])=7,0,1))</f>
        <v>0</v>
      </c>
      <c r="O46" s="79">
        <f>IF(TR_6RecyclingArranger[[#This Row],[ID_EC]]&lt;&gt;"",0,IF(COUNTA(TR_6RecyclingArranger[[#This Row],[Name of Third-Party Recycling Arranger]],TR_6RecyclingArranger[[#This Row],[Pounds of Producer''s Material Recycled by this Recycling Arranger]:[Recycling Arranger Contact Email]])&gt;0,1,0))</f>
        <v>0</v>
      </c>
      <c r="P46" s="79">
        <f>IF(TR_6RecyclingArranger[[#This Row],[Lookup: pounds (this table)]]&gt;TR_6RecyclingArranger[[#This Row],[Lookup: pounds (5B tab)]],1,0)</f>
        <v>0</v>
      </c>
      <c r="Q46" s="77">
        <f>SUMIFS(TR_6RecyclingArranger[Pounds of Producer''s Material Recycled by this Recycling Arranger],TR_6RecyclingArranger[ID_EC],TR_6RecyclingArranger[[#This Row],[ID_EC]])</f>
        <v>0</v>
      </c>
      <c r="R46" s="77">
        <f>IFERROR(INDEX(TR_5ExemptionClaim[How many of the pounds recycled through this pathway were supplied by this producer?],MATCH(TR_6RecyclingArranger[[#This Row],[ID_EC]],TR_5ExemptionClaim[ID_EC],0)),0)</f>
        <v>0</v>
      </c>
      <c r="S46" s="80" t="str">
        <f t="shared" si="0"/>
        <v/>
      </c>
      <c r="T46" s="40"/>
      <c r="U46" s="58"/>
    </row>
    <row r="47" spans="1:21" ht="30.75" customHeight="1" x14ac:dyDescent="0.2">
      <c r="A47" s="82" t="s">
        <v>431</v>
      </c>
      <c r="B47" s="46"/>
      <c r="C47" s="113"/>
      <c r="D47" s="214" t="str">
        <f>IF(TR_6RecyclingArranger[[#This Row],[ID_EC]]="","",INDEX(TR_5ExemptionClaim[End Market Name],MATCH(TR_6RecyclingArranger[[#This Row],[ID_EC]],TR_5ExemptionClaim[ID_EC],0)))</f>
        <v/>
      </c>
      <c r="E47" s="214" t="str">
        <f>IF(TR_6RecyclingArranger[[#This Row],[ID_EC]]="","",INDEX(TR_5ExemptionClaim[Collection or Transportation Service Provider Name],MATCH(TR_6RecyclingArranger[[#This Row],[ID_EC]],TR_5ExemptionClaim[ID_EC],0)))</f>
        <v/>
      </c>
      <c r="F47" s="214" t="str">
        <f>IF(TR_6RecyclingArranger[[#This Row],[ID_EC]]="","",IF(INDEX(TR_5ExemptionClaim[CRPF name],MATCH(TR_6RecyclingArranger[[#This Row],[ID_EC]],TR_5ExemptionClaim[ID_EC],0))=0,"None",INDEX(TR_5ExemptionClaim[CRPF name],MATCH(TR_6RecyclingArranger[[#This Row],[ID_EC]],TR_5ExemptionClaim[ID_EC],0))))</f>
        <v/>
      </c>
      <c r="G47" s="45"/>
      <c r="H47" s="108"/>
      <c r="I47" s="47"/>
      <c r="J47" s="48"/>
      <c r="K47" s="47"/>
      <c r="L47" s="79">
        <f>IF(COUNTIFS(TR_6RecyclingArranger[ID_EC],TR_6RecyclingArranger[[#This Row],[ID_EC]],TR_6RecyclingArranger[Name of Third-Party Recycling Arranger],TR_6RecyclingArranger[[#This Row],[Name of Third-Party Recycling Arranger]])&gt;1,1,0)</f>
        <v>0</v>
      </c>
      <c r="M47" s="79">
        <f>IF(TR_6RecyclingArranger[[#This Row],[ID_EC]]="",0,IFERROR(0*MATCH(TR_6RecyclingArranger[[#This Row],[ID_EC]],TR_5ExemptionClaim[Lookup: for arranger tab],0),1))</f>
        <v>0</v>
      </c>
      <c r="N47" s="79">
        <f>IF(TR_6RecyclingArranger[[#This Row],[ID_EC]]="",0,IF(COUNTA(TR_6RecyclingArranger[[#This Row],[Name of Third-Party Recycling Arranger]],TR_6RecyclingArranger[[#This Row],[Pounds of Producer''s Material Recycled by this Recycling Arranger]:[Recycling Arranger Contact Email]])=7,0,1))</f>
        <v>0</v>
      </c>
      <c r="O47" s="79">
        <f>IF(TR_6RecyclingArranger[[#This Row],[ID_EC]]&lt;&gt;"",0,IF(COUNTA(TR_6RecyclingArranger[[#This Row],[Name of Third-Party Recycling Arranger]],TR_6RecyclingArranger[[#This Row],[Pounds of Producer''s Material Recycled by this Recycling Arranger]:[Recycling Arranger Contact Email]])&gt;0,1,0))</f>
        <v>0</v>
      </c>
      <c r="P47" s="79">
        <f>IF(TR_6RecyclingArranger[[#This Row],[Lookup: pounds (this table)]]&gt;TR_6RecyclingArranger[[#This Row],[Lookup: pounds (5B tab)]],1,0)</f>
        <v>0</v>
      </c>
      <c r="Q47" s="77">
        <f>SUMIFS(TR_6RecyclingArranger[Pounds of Producer''s Material Recycled by this Recycling Arranger],TR_6RecyclingArranger[ID_EC],TR_6RecyclingArranger[[#This Row],[ID_EC]])</f>
        <v>0</v>
      </c>
      <c r="R47" s="77">
        <f>IFERROR(INDEX(TR_5ExemptionClaim[How many of the pounds recycled through this pathway were supplied by this producer?],MATCH(TR_6RecyclingArranger[[#This Row],[ID_EC]],TR_5ExemptionClaim[ID_EC],0)),0)</f>
        <v>0</v>
      </c>
      <c r="S47" s="80" t="str">
        <f t="shared" si="0"/>
        <v/>
      </c>
      <c r="T47" s="40"/>
      <c r="U47" s="58"/>
    </row>
    <row r="48" spans="1:21" ht="30.75" customHeight="1" x14ac:dyDescent="0.2">
      <c r="A48" s="82" t="s">
        <v>432</v>
      </c>
      <c r="B48" s="46"/>
      <c r="C48" s="113"/>
      <c r="D48" s="214" t="str">
        <f>IF(TR_6RecyclingArranger[[#This Row],[ID_EC]]="","",INDEX(TR_5ExemptionClaim[End Market Name],MATCH(TR_6RecyclingArranger[[#This Row],[ID_EC]],TR_5ExemptionClaim[ID_EC],0)))</f>
        <v/>
      </c>
      <c r="E48" s="214" t="str">
        <f>IF(TR_6RecyclingArranger[[#This Row],[ID_EC]]="","",INDEX(TR_5ExemptionClaim[Collection or Transportation Service Provider Name],MATCH(TR_6RecyclingArranger[[#This Row],[ID_EC]],TR_5ExemptionClaim[ID_EC],0)))</f>
        <v/>
      </c>
      <c r="F48" s="214" t="str">
        <f>IF(TR_6RecyclingArranger[[#This Row],[ID_EC]]="","",IF(INDEX(TR_5ExemptionClaim[CRPF name],MATCH(TR_6RecyclingArranger[[#This Row],[ID_EC]],TR_5ExemptionClaim[ID_EC],0))=0,"None",INDEX(TR_5ExemptionClaim[CRPF name],MATCH(TR_6RecyclingArranger[[#This Row],[ID_EC]],TR_5ExemptionClaim[ID_EC],0))))</f>
        <v/>
      </c>
      <c r="G48" s="45"/>
      <c r="H48" s="108"/>
      <c r="I48" s="47"/>
      <c r="J48" s="48"/>
      <c r="K48" s="47"/>
      <c r="L48" s="79">
        <f>IF(COUNTIFS(TR_6RecyclingArranger[ID_EC],TR_6RecyclingArranger[[#This Row],[ID_EC]],TR_6RecyclingArranger[Name of Third-Party Recycling Arranger],TR_6RecyclingArranger[[#This Row],[Name of Third-Party Recycling Arranger]])&gt;1,1,0)</f>
        <v>0</v>
      </c>
      <c r="M48" s="79">
        <f>IF(TR_6RecyclingArranger[[#This Row],[ID_EC]]="",0,IFERROR(0*MATCH(TR_6RecyclingArranger[[#This Row],[ID_EC]],TR_5ExemptionClaim[Lookup: for arranger tab],0),1))</f>
        <v>0</v>
      </c>
      <c r="N48" s="79">
        <f>IF(TR_6RecyclingArranger[[#This Row],[ID_EC]]="",0,IF(COUNTA(TR_6RecyclingArranger[[#This Row],[Name of Third-Party Recycling Arranger]],TR_6RecyclingArranger[[#This Row],[Pounds of Producer''s Material Recycled by this Recycling Arranger]:[Recycling Arranger Contact Email]])=7,0,1))</f>
        <v>0</v>
      </c>
      <c r="O48" s="79">
        <f>IF(TR_6RecyclingArranger[[#This Row],[ID_EC]]&lt;&gt;"",0,IF(COUNTA(TR_6RecyclingArranger[[#This Row],[Name of Third-Party Recycling Arranger]],TR_6RecyclingArranger[[#This Row],[Pounds of Producer''s Material Recycled by this Recycling Arranger]:[Recycling Arranger Contact Email]])&gt;0,1,0))</f>
        <v>0</v>
      </c>
      <c r="P48" s="79">
        <f>IF(TR_6RecyclingArranger[[#This Row],[Lookup: pounds (this table)]]&gt;TR_6RecyclingArranger[[#This Row],[Lookup: pounds (5B tab)]],1,0)</f>
        <v>0</v>
      </c>
      <c r="Q48" s="77">
        <f>SUMIFS(TR_6RecyclingArranger[Pounds of Producer''s Material Recycled by this Recycling Arranger],TR_6RecyclingArranger[ID_EC],TR_6RecyclingArranger[[#This Row],[ID_EC]])</f>
        <v>0</v>
      </c>
      <c r="R48" s="77">
        <f>IFERROR(INDEX(TR_5ExemptionClaim[How many of the pounds recycled through this pathway were supplied by this producer?],MATCH(TR_6RecyclingArranger[[#This Row],[ID_EC]],TR_5ExemptionClaim[ID_EC],0)),0)</f>
        <v>0</v>
      </c>
      <c r="S48" s="80" t="str">
        <f t="shared" si="0"/>
        <v/>
      </c>
      <c r="T48" s="40"/>
      <c r="U48" s="58"/>
    </row>
    <row r="49" spans="1:21" ht="30.75" customHeight="1" x14ac:dyDescent="0.2">
      <c r="A49" s="82" t="s">
        <v>433</v>
      </c>
      <c r="B49" s="46"/>
      <c r="C49" s="113"/>
      <c r="D49" s="214" t="str">
        <f>IF(TR_6RecyclingArranger[[#This Row],[ID_EC]]="","",INDEX(TR_5ExemptionClaim[End Market Name],MATCH(TR_6RecyclingArranger[[#This Row],[ID_EC]],TR_5ExemptionClaim[ID_EC],0)))</f>
        <v/>
      </c>
      <c r="E49" s="214" t="str">
        <f>IF(TR_6RecyclingArranger[[#This Row],[ID_EC]]="","",INDEX(TR_5ExemptionClaim[Collection or Transportation Service Provider Name],MATCH(TR_6RecyclingArranger[[#This Row],[ID_EC]],TR_5ExemptionClaim[ID_EC],0)))</f>
        <v/>
      </c>
      <c r="F49" s="214" t="str">
        <f>IF(TR_6RecyclingArranger[[#This Row],[ID_EC]]="","",IF(INDEX(TR_5ExemptionClaim[CRPF name],MATCH(TR_6RecyclingArranger[[#This Row],[ID_EC]],TR_5ExemptionClaim[ID_EC],0))=0,"None",INDEX(TR_5ExemptionClaim[CRPF name],MATCH(TR_6RecyclingArranger[[#This Row],[ID_EC]],TR_5ExemptionClaim[ID_EC],0))))</f>
        <v/>
      </c>
      <c r="G49" s="45"/>
      <c r="H49" s="108"/>
      <c r="I49" s="47"/>
      <c r="J49" s="48"/>
      <c r="K49" s="47"/>
      <c r="L49" s="79">
        <f>IF(COUNTIFS(TR_6RecyclingArranger[ID_EC],TR_6RecyclingArranger[[#This Row],[ID_EC]],TR_6RecyclingArranger[Name of Third-Party Recycling Arranger],TR_6RecyclingArranger[[#This Row],[Name of Third-Party Recycling Arranger]])&gt;1,1,0)</f>
        <v>0</v>
      </c>
      <c r="M49" s="79">
        <f>IF(TR_6RecyclingArranger[[#This Row],[ID_EC]]="",0,IFERROR(0*MATCH(TR_6RecyclingArranger[[#This Row],[ID_EC]],TR_5ExemptionClaim[Lookup: for arranger tab],0),1))</f>
        <v>0</v>
      </c>
      <c r="N49" s="79">
        <f>IF(TR_6RecyclingArranger[[#This Row],[ID_EC]]="",0,IF(COUNTA(TR_6RecyclingArranger[[#This Row],[Name of Third-Party Recycling Arranger]],TR_6RecyclingArranger[[#This Row],[Pounds of Producer''s Material Recycled by this Recycling Arranger]:[Recycling Arranger Contact Email]])=7,0,1))</f>
        <v>0</v>
      </c>
      <c r="O49" s="79">
        <f>IF(TR_6RecyclingArranger[[#This Row],[ID_EC]]&lt;&gt;"",0,IF(COUNTA(TR_6RecyclingArranger[[#This Row],[Name of Third-Party Recycling Arranger]],TR_6RecyclingArranger[[#This Row],[Pounds of Producer''s Material Recycled by this Recycling Arranger]:[Recycling Arranger Contact Email]])&gt;0,1,0))</f>
        <v>0</v>
      </c>
      <c r="P49" s="79">
        <f>IF(TR_6RecyclingArranger[[#This Row],[Lookup: pounds (this table)]]&gt;TR_6RecyclingArranger[[#This Row],[Lookup: pounds (5B tab)]],1,0)</f>
        <v>0</v>
      </c>
      <c r="Q49" s="77">
        <f>SUMIFS(TR_6RecyclingArranger[Pounds of Producer''s Material Recycled by this Recycling Arranger],TR_6RecyclingArranger[ID_EC],TR_6RecyclingArranger[[#This Row],[ID_EC]])</f>
        <v>0</v>
      </c>
      <c r="R49" s="77">
        <f>IFERROR(INDEX(TR_5ExemptionClaim[How many of the pounds recycled through this pathway were supplied by this producer?],MATCH(TR_6RecyclingArranger[[#This Row],[ID_EC]],TR_5ExemptionClaim[ID_EC],0)),0)</f>
        <v>0</v>
      </c>
      <c r="S49" s="80" t="str">
        <f t="shared" si="0"/>
        <v/>
      </c>
      <c r="T49" s="40"/>
      <c r="U49" s="58"/>
    </row>
    <row r="50" spans="1:21" ht="30.75" customHeight="1" x14ac:dyDescent="0.2">
      <c r="A50" s="82" t="s">
        <v>434</v>
      </c>
      <c r="B50" s="46"/>
      <c r="C50" s="113"/>
      <c r="D50" s="214" t="str">
        <f>IF(TR_6RecyclingArranger[[#This Row],[ID_EC]]="","",INDEX(TR_5ExemptionClaim[End Market Name],MATCH(TR_6RecyclingArranger[[#This Row],[ID_EC]],TR_5ExemptionClaim[ID_EC],0)))</f>
        <v/>
      </c>
      <c r="E50" s="214" t="str">
        <f>IF(TR_6RecyclingArranger[[#This Row],[ID_EC]]="","",INDEX(TR_5ExemptionClaim[Collection or Transportation Service Provider Name],MATCH(TR_6RecyclingArranger[[#This Row],[ID_EC]],TR_5ExemptionClaim[ID_EC],0)))</f>
        <v/>
      </c>
      <c r="F50" s="214" t="str">
        <f>IF(TR_6RecyclingArranger[[#This Row],[ID_EC]]="","",IF(INDEX(TR_5ExemptionClaim[CRPF name],MATCH(TR_6RecyclingArranger[[#This Row],[ID_EC]],TR_5ExemptionClaim[ID_EC],0))=0,"None",INDEX(TR_5ExemptionClaim[CRPF name],MATCH(TR_6RecyclingArranger[[#This Row],[ID_EC]],TR_5ExemptionClaim[ID_EC],0))))</f>
        <v/>
      </c>
      <c r="G50" s="45"/>
      <c r="H50" s="108"/>
      <c r="I50" s="47"/>
      <c r="J50" s="48"/>
      <c r="K50" s="47"/>
      <c r="L50" s="79">
        <f>IF(COUNTIFS(TR_6RecyclingArranger[ID_EC],TR_6RecyclingArranger[[#This Row],[ID_EC]],TR_6RecyclingArranger[Name of Third-Party Recycling Arranger],TR_6RecyclingArranger[[#This Row],[Name of Third-Party Recycling Arranger]])&gt;1,1,0)</f>
        <v>0</v>
      </c>
      <c r="M50" s="79">
        <f>IF(TR_6RecyclingArranger[[#This Row],[ID_EC]]="",0,IFERROR(0*MATCH(TR_6RecyclingArranger[[#This Row],[ID_EC]],TR_5ExemptionClaim[Lookup: for arranger tab],0),1))</f>
        <v>0</v>
      </c>
      <c r="N50" s="79">
        <f>IF(TR_6RecyclingArranger[[#This Row],[ID_EC]]="",0,IF(COUNTA(TR_6RecyclingArranger[[#This Row],[Name of Third-Party Recycling Arranger]],TR_6RecyclingArranger[[#This Row],[Pounds of Producer''s Material Recycled by this Recycling Arranger]:[Recycling Arranger Contact Email]])=7,0,1))</f>
        <v>0</v>
      </c>
      <c r="O50" s="79">
        <f>IF(TR_6RecyclingArranger[[#This Row],[ID_EC]]&lt;&gt;"",0,IF(COUNTA(TR_6RecyclingArranger[[#This Row],[Name of Third-Party Recycling Arranger]],TR_6RecyclingArranger[[#This Row],[Pounds of Producer''s Material Recycled by this Recycling Arranger]:[Recycling Arranger Contact Email]])&gt;0,1,0))</f>
        <v>0</v>
      </c>
      <c r="P50" s="79">
        <f>IF(TR_6RecyclingArranger[[#This Row],[Lookup: pounds (this table)]]&gt;TR_6RecyclingArranger[[#This Row],[Lookup: pounds (5B tab)]],1,0)</f>
        <v>0</v>
      </c>
      <c r="Q50" s="77">
        <f>SUMIFS(TR_6RecyclingArranger[Pounds of Producer''s Material Recycled by this Recycling Arranger],TR_6RecyclingArranger[ID_EC],TR_6RecyclingArranger[[#This Row],[ID_EC]])</f>
        <v>0</v>
      </c>
      <c r="R50" s="77">
        <f>IFERROR(INDEX(TR_5ExemptionClaim[How many of the pounds recycled through this pathway were supplied by this producer?],MATCH(TR_6RecyclingArranger[[#This Row],[ID_EC]],TR_5ExemptionClaim[ID_EC],0)),0)</f>
        <v>0</v>
      </c>
      <c r="S50" s="80" t="str">
        <f t="shared" si="0"/>
        <v/>
      </c>
      <c r="T50" s="40"/>
      <c r="U50" s="58"/>
    </row>
    <row r="51" spans="1:21" ht="30.75" customHeight="1" x14ac:dyDescent="0.2">
      <c r="A51" s="82" t="s">
        <v>435</v>
      </c>
      <c r="B51" s="46"/>
      <c r="C51" s="113"/>
      <c r="D51" s="214" t="str">
        <f>IF(TR_6RecyclingArranger[[#This Row],[ID_EC]]="","",INDEX(TR_5ExemptionClaim[End Market Name],MATCH(TR_6RecyclingArranger[[#This Row],[ID_EC]],TR_5ExemptionClaim[ID_EC],0)))</f>
        <v/>
      </c>
      <c r="E51" s="214" t="str">
        <f>IF(TR_6RecyclingArranger[[#This Row],[ID_EC]]="","",INDEX(TR_5ExemptionClaim[Collection or Transportation Service Provider Name],MATCH(TR_6RecyclingArranger[[#This Row],[ID_EC]],TR_5ExemptionClaim[ID_EC],0)))</f>
        <v/>
      </c>
      <c r="F51" s="214" t="str">
        <f>IF(TR_6RecyclingArranger[[#This Row],[ID_EC]]="","",IF(INDEX(TR_5ExemptionClaim[CRPF name],MATCH(TR_6RecyclingArranger[[#This Row],[ID_EC]],TR_5ExemptionClaim[ID_EC],0))=0,"None",INDEX(TR_5ExemptionClaim[CRPF name],MATCH(TR_6RecyclingArranger[[#This Row],[ID_EC]],TR_5ExemptionClaim[ID_EC],0))))</f>
        <v/>
      </c>
      <c r="G51" s="45"/>
      <c r="H51" s="108"/>
      <c r="I51" s="47"/>
      <c r="J51" s="48"/>
      <c r="K51" s="47"/>
      <c r="L51" s="79">
        <f>IF(COUNTIFS(TR_6RecyclingArranger[ID_EC],TR_6RecyclingArranger[[#This Row],[ID_EC]],TR_6RecyclingArranger[Name of Third-Party Recycling Arranger],TR_6RecyclingArranger[[#This Row],[Name of Third-Party Recycling Arranger]])&gt;1,1,0)</f>
        <v>0</v>
      </c>
      <c r="M51" s="79">
        <f>IF(TR_6RecyclingArranger[[#This Row],[ID_EC]]="",0,IFERROR(0*MATCH(TR_6RecyclingArranger[[#This Row],[ID_EC]],TR_5ExemptionClaim[Lookup: for arranger tab],0),1))</f>
        <v>0</v>
      </c>
      <c r="N51" s="79">
        <f>IF(TR_6RecyclingArranger[[#This Row],[ID_EC]]="",0,IF(COUNTA(TR_6RecyclingArranger[[#This Row],[Name of Third-Party Recycling Arranger]],TR_6RecyclingArranger[[#This Row],[Pounds of Producer''s Material Recycled by this Recycling Arranger]:[Recycling Arranger Contact Email]])=7,0,1))</f>
        <v>0</v>
      </c>
      <c r="O51" s="79">
        <f>IF(TR_6RecyclingArranger[[#This Row],[ID_EC]]&lt;&gt;"",0,IF(COUNTA(TR_6RecyclingArranger[[#This Row],[Name of Third-Party Recycling Arranger]],TR_6RecyclingArranger[[#This Row],[Pounds of Producer''s Material Recycled by this Recycling Arranger]:[Recycling Arranger Contact Email]])&gt;0,1,0))</f>
        <v>0</v>
      </c>
      <c r="P51" s="79">
        <f>IF(TR_6RecyclingArranger[[#This Row],[Lookup: pounds (this table)]]&gt;TR_6RecyclingArranger[[#This Row],[Lookup: pounds (5B tab)]],1,0)</f>
        <v>0</v>
      </c>
      <c r="Q51" s="77">
        <f>SUMIFS(TR_6RecyclingArranger[Pounds of Producer''s Material Recycled by this Recycling Arranger],TR_6RecyclingArranger[ID_EC],TR_6RecyclingArranger[[#This Row],[ID_EC]])</f>
        <v>0</v>
      </c>
      <c r="R51" s="77">
        <f>IFERROR(INDEX(TR_5ExemptionClaim[How many of the pounds recycled through this pathway were supplied by this producer?],MATCH(TR_6RecyclingArranger[[#This Row],[ID_EC]],TR_5ExemptionClaim[ID_EC],0)),0)</f>
        <v>0</v>
      </c>
      <c r="S51" s="80" t="str">
        <f t="shared" si="0"/>
        <v/>
      </c>
      <c r="T51" s="40"/>
      <c r="U51" s="58"/>
    </row>
    <row r="52" spans="1:21" ht="30.75" customHeight="1" x14ac:dyDescent="0.2">
      <c r="A52" s="82" t="s">
        <v>436</v>
      </c>
      <c r="B52" s="46"/>
      <c r="C52" s="113"/>
      <c r="D52" s="214" t="str">
        <f>IF(TR_6RecyclingArranger[[#This Row],[ID_EC]]="","",INDEX(TR_5ExemptionClaim[End Market Name],MATCH(TR_6RecyclingArranger[[#This Row],[ID_EC]],TR_5ExemptionClaim[ID_EC],0)))</f>
        <v/>
      </c>
      <c r="E52" s="214" t="str">
        <f>IF(TR_6RecyclingArranger[[#This Row],[ID_EC]]="","",INDEX(TR_5ExemptionClaim[Collection or Transportation Service Provider Name],MATCH(TR_6RecyclingArranger[[#This Row],[ID_EC]],TR_5ExemptionClaim[ID_EC],0)))</f>
        <v/>
      </c>
      <c r="F52" s="214" t="str">
        <f>IF(TR_6RecyclingArranger[[#This Row],[ID_EC]]="","",IF(INDEX(TR_5ExemptionClaim[CRPF name],MATCH(TR_6RecyclingArranger[[#This Row],[ID_EC]],TR_5ExemptionClaim[ID_EC],0))=0,"None",INDEX(TR_5ExemptionClaim[CRPF name],MATCH(TR_6RecyclingArranger[[#This Row],[ID_EC]],TR_5ExemptionClaim[ID_EC],0))))</f>
        <v/>
      </c>
      <c r="G52" s="45"/>
      <c r="H52" s="108"/>
      <c r="I52" s="47"/>
      <c r="J52" s="48"/>
      <c r="K52" s="47"/>
      <c r="L52" s="79">
        <f>IF(COUNTIFS(TR_6RecyclingArranger[ID_EC],TR_6RecyclingArranger[[#This Row],[ID_EC]],TR_6RecyclingArranger[Name of Third-Party Recycling Arranger],TR_6RecyclingArranger[[#This Row],[Name of Third-Party Recycling Arranger]])&gt;1,1,0)</f>
        <v>0</v>
      </c>
      <c r="M52" s="79">
        <f>IF(TR_6RecyclingArranger[[#This Row],[ID_EC]]="",0,IFERROR(0*MATCH(TR_6RecyclingArranger[[#This Row],[ID_EC]],TR_5ExemptionClaim[Lookup: for arranger tab],0),1))</f>
        <v>0</v>
      </c>
      <c r="N52" s="79">
        <f>IF(TR_6RecyclingArranger[[#This Row],[ID_EC]]="",0,IF(COUNTA(TR_6RecyclingArranger[[#This Row],[Name of Third-Party Recycling Arranger]],TR_6RecyclingArranger[[#This Row],[Pounds of Producer''s Material Recycled by this Recycling Arranger]:[Recycling Arranger Contact Email]])=7,0,1))</f>
        <v>0</v>
      </c>
      <c r="O52" s="79">
        <f>IF(TR_6RecyclingArranger[[#This Row],[ID_EC]]&lt;&gt;"",0,IF(COUNTA(TR_6RecyclingArranger[[#This Row],[Name of Third-Party Recycling Arranger]],TR_6RecyclingArranger[[#This Row],[Pounds of Producer''s Material Recycled by this Recycling Arranger]:[Recycling Arranger Contact Email]])&gt;0,1,0))</f>
        <v>0</v>
      </c>
      <c r="P52" s="79">
        <f>IF(TR_6RecyclingArranger[[#This Row],[Lookup: pounds (this table)]]&gt;TR_6RecyclingArranger[[#This Row],[Lookup: pounds (5B tab)]],1,0)</f>
        <v>0</v>
      </c>
      <c r="Q52" s="77">
        <f>SUMIFS(TR_6RecyclingArranger[Pounds of Producer''s Material Recycled by this Recycling Arranger],TR_6RecyclingArranger[ID_EC],TR_6RecyclingArranger[[#This Row],[ID_EC]])</f>
        <v>0</v>
      </c>
      <c r="R52" s="77">
        <f>IFERROR(INDEX(TR_5ExemptionClaim[How many of the pounds recycled through this pathway were supplied by this producer?],MATCH(TR_6RecyclingArranger[[#This Row],[ID_EC]],TR_5ExemptionClaim[ID_EC],0)),0)</f>
        <v>0</v>
      </c>
      <c r="S52" s="80" t="str">
        <f t="shared" si="0"/>
        <v/>
      </c>
      <c r="T52" s="40"/>
      <c r="U52" s="58"/>
    </row>
    <row r="53" spans="1:21" ht="30.75" customHeight="1" x14ac:dyDescent="0.2">
      <c r="A53" s="82" t="s">
        <v>437</v>
      </c>
      <c r="B53" s="46"/>
      <c r="C53" s="113"/>
      <c r="D53" s="214" t="str">
        <f>IF(TR_6RecyclingArranger[[#This Row],[ID_EC]]="","",INDEX(TR_5ExemptionClaim[End Market Name],MATCH(TR_6RecyclingArranger[[#This Row],[ID_EC]],TR_5ExemptionClaim[ID_EC],0)))</f>
        <v/>
      </c>
      <c r="E53" s="214" t="str">
        <f>IF(TR_6RecyclingArranger[[#This Row],[ID_EC]]="","",INDEX(TR_5ExemptionClaim[Collection or Transportation Service Provider Name],MATCH(TR_6RecyclingArranger[[#This Row],[ID_EC]],TR_5ExemptionClaim[ID_EC],0)))</f>
        <v/>
      </c>
      <c r="F53" s="214" t="str">
        <f>IF(TR_6RecyclingArranger[[#This Row],[ID_EC]]="","",IF(INDEX(TR_5ExemptionClaim[CRPF name],MATCH(TR_6RecyclingArranger[[#This Row],[ID_EC]],TR_5ExemptionClaim[ID_EC],0))=0,"None",INDEX(TR_5ExemptionClaim[CRPF name],MATCH(TR_6RecyclingArranger[[#This Row],[ID_EC]],TR_5ExemptionClaim[ID_EC],0))))</f>
        <v/>
      </c>
      <c r="G53" s="45"/>
      <c r="H53" s="108"/>
      <c r="I53" s="47"/>
      <c r="J53" s="48"/>
      <c r="K53" s="47"/>
      <c r="L53" s="79">
        <f>IF(COUNTIFS(TR_6RecyclingArranger[ID_EC],TR_6RecyclingArranger[[#This Row],[ID_EC]],TR_6RecyclingArranger[Name of Third-Party Recycling Arranger],TR_6RecyclingArranger[[#This Row],[Name of Third-Party Recycling Arranger]])&gt;1,1,0)</f>
        <v>0</v>
      </c>
      <c r="M53" s="79">
        <f>IF(TR_6RecyclingArranger[[#This Row],[ID_EC]]="",0,IFERROR(0*MATCH(TR_6RecyclingArranger[[#This Row],[ID_EC]],TR_5ExemptionClaim[Lookup: for arranger tab],0),1))</f>
        <v>0</v>
      </c>
      <c r="N53" s="79">
        <f>IF(TR_6RecyclingArranger[[#This Row],[ID_EC]]="",0,IF(COUNTA(TR_6RecyclingArranger[[#This Row],[Name of Third-Party Recycling Arranger]],TR_6RecyclingArranger[[#This Row],[Pounds of Producer''s Material Recycled by this Recycling Arranger]:[Recycling Arranger Contact Email]])=7,0,1))</f>
        <v>0</v>
      </c>
      <c r="O53" s="79">
        <f>IF(TR_6RecyclingArranger[[#This Row],[ID_EC]]&lt;&gt;"",0,IF(COUNTA(TR_6RecyclingArranger[[#This Row],[Name of Third-Party Recycling Arranger]],TR_6RecyclingArranger[[#This Row],[Pounds of Producer''s Material Recycled by this Recycling Arranger]:[Recycling Arranger Contact Email]])&gt;0,1,0))</f>
        <v>0</v>
      </c>
      <c r="P53" s="79">
        <f>IF(TR_6RecyclingArranger[[#This Row],[Lookup: pounds (this table)]]&gt;TR_6RecyclingArranger[[#This Row],[Lookup: pounds (5B tab)]],1,0)</f>
        <v>0</v>
      </c>
      <c r="Q53" s="77">
        <f>SUMIFS(TR_6RecyclingArranger[Pounds of Producer''s Material Recycled by this Recycling Arranger],TR_6RecyclingArranger[ID_EC],TR_6RecyclingArranger[[#This Row],[ID_EC]])</f>
        <v>0</v>
      </c>
      <c r="R53" s="77">
        <f>IFERROR(INDEX(TR_5ExemptionClaim[How many of the pounds recycled through this pathway were supplied by this producer?],MATCH(TR_6RecyclingArranger[[#This Row],[ID_EC]],TR_5ExemptionClaim[ID_EC],0)),0)</f>
        <v>0</v>
      </c>
      <c r="S53" s="80" t="str">
        <f t="shared" si="0"/>
        <v/>
      </c>
      <c r="T53" s="40"/>
      <c r="U53" s="58"/>
    </row>
    <row r="54" spans="1:21" ht="30.75" customHeight="1" x14ac:dyDescent="0.2">
      <c r="A54" s="82" t="s">
        <v>438</v>
      </c>
      <c r="B54" s="46"/>
      <c r="C54" s="113"/>
      <c r="D54" s="214" t="str">
        <f>IF(TR_6RecyclingArranger[[#This Row],[ID_EC]]="","",INDEX(TR_5ExemptionClaim[End Market Name],MATCH(TR_6RecyclingArranger[[#This Row],[ID_EC]],TR_5ExemptionClaim[ID_EC],0)))</f>
        <v/>
      </c>
      <c r="E54" s="214" t="str">
        <f>IF(TR_6RecyclingArranger[[#This Row],[ID_EC]]="","",INDEX(TR_5ExemptionClaim[Collection or Transportation Service Provider Name],MATCH(TR_6RecyclingArranger[[#This Row],[ID_EC]],TR_5ExemptionClaim[ID_EC],0)))</f>
        <v/>
      </c>
      <c r="F54" s="214" t="str">
        <f>IF(TR_6RecyclingArranger[[#This Row],[ID_EC]]="","",IF(INDEX(TR_5ExemptionClaim[CRPF name],MATCH(TR_6RecyclingArranger[[#This Row],[ID_EC]],TR_5ExemptionClaim[ID_EC],0))=0,"None",INDEX(TR_5ExemptionClaim[CRPF name],MATCH(TR_6RecyclingArranger[[#This Row],[ID_EC]],TR_5ExemptionClaim[ID_EC],0))))</f>
        <v/>
      </c>
      <c r="G54" s="45"/>
      <c r="H54" s="108"/>
      <c r="I54" s="47"/>
      <c r="J54" s="48"/>
      <c r="K54" s="47"/>
      <c r="L54" s="79">
        <f>IF(COUNTIFS(TR_6RecyclingArranger[ID_EC],TR_6RecyclingArranger[[#This Row],[ID_EC]],TR_6RecyclingArranger[Name of Third-Party Recycling Arranger],TR_6RecyclingArranger[[#This Row],[Name of Third-Party Recycling Arranger]])&gt;1,1,0)</f>
        <v>0</v>
      </c>
      <c r="M54" s="79">
        <f>IF(TR_6RecyclingArranger[[#This Row],[ID_EC]]="",0,IFERROR(0*MATCH(TR_6RecyclingArranger[[#This Row],[ID_EC]],TR_5ExemptionClaim[Lookup: for arranger tab],0),1))</f>
        <v>0</v>
      </c>
      <c r="N54" s="79">
        <f>IF(TR_6RecyclingArranger[[#This Row],[ID_EC]]="",0,IF(COUNTA(TR_6RecyclingArranger[[#This Row],[Name of Third-Party Recycling Arranger]],TR_6RecyclingArranger[[#This Row],[Pounds of Producer''s Material Recycled by this Recycling Arranger]:[Recycling Arranger Contact Email]])=7,0,1))</f>
        <v>0</v>
      </c>
      <c r="O54" s="79">
        <f>IF(TR_6RecyclingArranger[[#This Row],[ID_EC]]&lt;&gt;"",0,IF(COUNTA(TR_6RecyclingArranger[[#This Row],[Name of Third-Party Recycling Arranger]],TR_6RecyclingArranger[[#This Row],[Pounds of Producer''s Material Recycled by this Recycling Arranger]:[Recycling Arranger Contact Email]])&gt;0,1,0))</f>
        <v>0</v>
      </c>
      <c r="P54" s="79">
        <f>IF(TR_6RecyclingArranger[[#This Row],[Lookup: pounds (this table)]]&gt;TR_6RecyclingArranger[[#This Row],[Lookup: pounds (5B tab)]],1,0)</f>
        <v>0</v>
      </c>
      <c r="Q54" s="77">
        <f>SUMIFS(TR_6RecyclingArranger[Pounds of Producer''s Material Recycled by this Recycling Arranger],TR_6RecyclingArranger[ID_EC],TR_6RecyclingArranger[[#This Row],[ID_EC]])</f>
        <v>0</v>
      </c>
      <c r="R54" s="77">
        <f>IFERROR(INDEX(TR_5ExemptionClaim[How many of the pounds recycled through this pathway were supplied by this producer?],MATCH(TR_6RecyclingArranger[[#This Row],[ID_EC]],TR_5ExemptionClaim[ID_EC],0)),0)</f>
        <v>0</v>
      </c>
      <c r="S54" s="80" t="str">
        <f t="shared" si="0"/>
        <v/>
      </c>
      <c r="T54" s="40"/>
      <c r="U54" s="58"/>
    </row>
    <row r="55" spans="1:21" ht="30.75" customHeight="1" x14ac:dyDescent="0.2">
      <c r="A55" s="82" t="s">
        <v>439</v>
      </c>
      <c r="B55" s="46"/>
      <c r="C55" s="113"/>
      <c r="D55" s="214" t="str">
        <f>IF(TR_6RecyclingArranger[[#This Row],[ID_EC]]="","",INDEX(TR_5ExemptionClaim[End Market Name],MATCH(TR_6RecyclingArranger[[#This Row],[ID_EC]],TR_5ExemptionClaim[ID_EC],0)))</f>
        <v/>
      </c>
      <c r="E55" s="214" t="str">
        <f>IF(TR_6RecyclingArranger[[#This Row],[ID_EC]]="","",INDEX(TR_5ExemptionClaim[Collection or Transportation Service Provider Name],MATCH(TR_6RecyclingArranger[[#This Row],[ID_EC]],TR_5ExemptionClaim[ID_EC],0)))</f>
        <v/>
      </c>
      <c r="F55" s="214" t="str">
        <f>IF(TR_6RecyclingArranger[[#This Row],[ID_EC]]="","",IF(INDEX(TR_5ExemptionClaim[CRPF name],MATCH(TR_6RecyclingArranger[[#This Row],[ID_EC]],TR_5ExemptionClaim[ID_EC],0))=0,"None",INDEX(TR_5ExemptionClaim[CRPF name],MATCH(TR_6RecyclingArranger[[#This Row],[ID_EC]],TR_5ExemptionClaim[ID_EC],0))))</f>
        <v/>
      </c>
      <c r="G55" s="45"/>
      <c r="H55" s="108"/>
      <c r="I55" s="47"/>
      <c r="J55" s="48"/>
      <c r="K55" s="47"/>
      <c r="L55" s="79">
        <f>IF(COUNTIFS(TR_6RecyclingArranger[ID_EC],TR_6RecyclingArranger[[#This Row],[ID_EC]],TR_6RecyclingArranger[Name of Third-Party Recycling Arranger],TR_6RecyclingArranger[[#This Row],[Name of Third-Party Recycling Arranger]])&gt;1,1,0)</f>
        <v>0</v>
      </c>
      <c r="M55" s="79">
        <f>IF(TR_6RecyclingArranger[[#This Row],[ID_EC]]="",0,IFERROR(0*MATCH(TR_6RecyclingArranger[[#This Row],[ID_EC]],TR_5ExemptionClaim[Lookup: for arranger tab],0),1))</f>
        <v>0</v>
      </c>
      <c r="N55" s="79">
        <f>IF(TR_6RecyclingArranger[[#This Row],[ID_EC]]="",0,IF(COUNTA(TR_6RecyclingArranger[[#This Row],[Name of Third-Party Recycling Arranger]],TR_6RecyclingArranger[[#This Row],[Pounds of Producer''s Material Recycled by this Recycling Arranger]:[Recycling Arranger Contact Email]])=7,0,1))</f>
        <v>0</v>
      </c>
      <c r="O55" s="79">
        <f>IF(TR_6RecyclingArranger[[#This Row],[ID_EC]]&lt;&gt;"",0,IF(COUNTA(TR_6RecyclingArranger[[#This Row],[Name of Third-Party Recycling Arranger]],TR_6RecyclingArranger[[#This Row],[Pounds of Producer''s Material Recycled by this Recycling Arranger]:[Recycling Arranger Contact Email]])&gt;0,1,0))</f>
        <v>0</v>
      </c>
      <c r="P55" s="79">
        <f>IF(TR_6RecyclingArranger[[#This Row],[Lookup: pounds (this table)]]&gt;TR_6RecyclingArranger[[#This Row],[Lookup: pounds (5B tab)]],1,0)</f>
        <v>0</v>
      </c>
      <c r="Q55" s="77">
        <f>SUMIFS(TR_6RecyclingArranger[Pounds of Producer''s Material Recycled by this Recycling Arranger],TR_6RecyclingArranger[ID_EC],TR_6RecyclingArranger[[#This Row],[ID_EC]])</f>
        <v>0</v>
      </c>
      <c r="R55" s="77">
        <f>IFERROR(INDEX(TR_5ExemptionClaim[How many of the pounds recycled through this pathway were supplied by this producer?],MATCH(TR_6RecyclingArranger[[#This Row],[ID_EC]],TR_5ExemptionClaim[ID_EC],0)),0)</f>
        <v>0</v>
      </c>
      <c r="S55" s="80" t="str">
        <f t="shared" si="0"/>
        <v/>
      </c>
      <c r="T55" s="40"/>
      <c r="U55" s="58"/>
    </row>
    <row r="56" spans="1:21" ht="30.75" customHeight="1" x14ac:dyDescent="0.2">
      <c r="A56" s="82" t="s">
        <v>440</v>
      </c>
      <c r="B56" s="46"/>
      <c r="C56" s="113"/>
      <c r="D56" s="214" t="str">
        <f>IF(TR_6RecyclingArranger[[#This Row],[ID_EC]]="","",INDEX(TR_5ExemptionClaim[End Market Name],MATCH(TR_6RecyclingArranger[[#This Row],[ID_EC]],TR_5ExemptionClaim[ID_EC],0)))</f>
        <v/>
      </c>
      <c r="E56" s="214" t="str">
        <f>IF(TR_6RecyclingArranger[[#This Row],[ID_EC]]="","",INDEX(TR_5ExemptionClaim[Collection or Transportation Service Provider Name],MATCH(TR_6RecyclingArranger[[#This Row],[ID_EC]],TR_5ExemptionClaim[ID_EC],0)))</f>
        <v/>
      </c>
      <c r="F56" s="214" t="str">
        <f>IF(TR_6RecyclingArranger[[#This Row],[ID_EC]]="","",IF(INDEX(TR_5ExemptionClaim[CRPF name],MATCH(TR_6RecyclingArranger[[#This Row],[ID_EC]],TR_5ExemptionClaim[ID_EC],0))=0,"None",INDEX(TR_5ExemptionClaim[CRPF name],MATCH(TR_6RecyclingArranger[[#This Row],[ID_EC]],TR_5ExemptionClaim[ID_EC],0))))</f>
        <v/>
      </c>
      <c r="G56" s="45"/>
      <c r="H56" s="108"/>
      <c r="I56" s="47"/>
      <c r="J56" s="48"/>
      <c r="K56" s="47"/>
      <c r="L56" s="79">
        <f>IF(COUNTIFS(TR_6RecyclingArranger[ID_EC],TR_6RecyclingArranger[[#This Row],[ID_EC]],TR_6RecyclingArranger[Name of Third-Party Recycling Arranger],TR_6RecyclingArranger[[#This Row],[Name of Third-Party Recycling Arranger]])&gt;1,1,0)</f>
        <v>0</v>
      </c>
      <c r="M56" s="79">
        <f>IF(TR_6RecyclingArranger[[#This Row],[ID_EC]]="",0,IFERROR(0*MATCH(TR_6RecyclingArranger[[#This Row],[ID_EC]],TR_5ExemptionClaim[Lookup: for arranger tab],0),1))</f>
        <v>0</v>
      </c>
      <c r="N56" s="79">
        <f>IF(TR_6RecyclingArranger[[#This Row],[ID_EC]]="",0,IF(COUNTA(TR_6RecyclingArranger[[#This Row],[Name of Third-Party Recycling Arranger]],TR_6RecyclingArranger[[#This Row],[Pounds of Producer''s Material Recycled by this Recycling Arranger]:[Recycling Arranger Contact Email]])=7,0,1))</f>
        <v>0</v>
      </c>
      <c r="O56" s="79">
        <f>IF(TR_6RecyclingArranger[[#This Row],[ID_EC]]&lt;&gt;"",0,IF(COUNTA(TR_6RecyclingArranger[[#This Row],[Name of Third-Party Recycling Arranger]],TR_6RecyclingArranger[[#This Row],[Pounds of Producer''s Material Recycled by this Recycling Arranger]:[Recycling Arranger Contact Email]])&gt;0,1,0))</f>
        <v>0</v>
      </c>
      <c r="P56" s="79">
        <f>IF(TR_6RecyclingArranger[[#This Row],[Lookup: pounds (this table)]]&gt;TR_6RecyclingArranger[[#This Row],[Lookup: pounds (5B tab)]],1,0)</f>
        <v>0</v>
      </c>
      <c r="Q56" s="77">
        <f>SUMIFS(TR_6RecyclingArranger[Pounds of Producer''s Material Recycled by this Recycling Arranger],TR_6RecyclingArranger[ID_EC],TR_6RecyclingArranger[[#This Row],[ID_EC]])</f>
        <v>0</v>
      </c>
      <c r="R56" s="77">
        <f>IFERROR(INDEX(TR_5ExemptionClaim[How many of the pounds recycled through this pathway were supplied by this producer?],MATCH(TR_6RecyclingArranger[[#This Row],[ID_EC]],TR_5ExemptionClaim[ID_EC],0)),0)</f>
        <v>0</v>
      </c>
      <c r="S56" s="80" t="str">
        <f t="shared" si="0"/>
        <v/>
      </c>
      <c r="T56" s="40"/>
      <c r="U56" s="58"/>
    </row>
    <row r="57" spans="1:21" ht="30.75" customHeight="1" x14ac:dyDescent="0.2">
      <c r="A57" s="82" t="s">
        <v>441</v>
      </c>
      <c r="B57" s="46"/>
      <c r="C57" s="113"/>
      <c r="D57" s="214" t="str">
        <f>IF(TR_6RecyclingArranger[[#This Row],[ID_EC]]="","",INDEX(TR_5ExemptionClaim[End Market Name],MATCH(TR_6RecyclingArranger[[#This Row],[ID_EC]],TR_5ExemptionClaim[ID_EC],0)))</f>
        <v/>
      </c>
      <c r="E57" s="214" t="str">
        <f>IF(TR_6RecyclingArranger[[#This Row],[ID_EC]]="","",INDEX(TR_5ExemptionClaim[Collection or Transportation Service Provider Name],MATCH(TR_6RecyclingArranger[[#This Row],[ID_EC]],TR_5ExemptionClaim[ID_EC],0)))</f>
        <v/>
      </c>
      <c r="F57" s="214" t="str">
        <f>IF(TR_6RecyclingArranger[[#This Row],[ID_EC]]="","",IF(INDEX(TR_5ExemptionClaim[CRPF name],MATCH(TR_6RecyclingArranger[[#This Row],[ID_EC]],TR_5ExemptionClaim[ID_EC],0))=0,"None",INDEX(TR_5ExemptionClaim[CRPF name],MATCH(TR_6RecyclingArranger[[#This Row],[ID_EC]],TR_5ExemptionClaim[ID_EC],0))))</f>
        <v/>
      </c>
      <c r="G57" s="45"/>
      <c r="H57" s="108"/>
      <c r="I57" s="47"/>
      <c r="J57" s="48"/>
      <c r="K57" s="47"/>
      <c r="L57" s="79">
        <f>IF(COUNTIFS(TR_6RecyclingArranger[ID_EC],TR_6RecyclingArranger[[#This Row],[ID_EC]],TR_6RecyclingArranger[Name of Third-Party Recycling Arranger],TR_6RecyclingArranger[[#This Row],[Name of Third-Party Recycling Arranger]])&gt;1,1,0)</f>
        <v>0</v>
      </c>
      <c r="M57" s="79">
        <f>IF(TR_6RecyclingArranger[[#This Row],[ID_EC]]="",0,IFERROR(0*MATCH(TR_6RecyclingArranger[[#This Row],[ID_EC]],TR_5ExemptionClaim[Lookup: for arranger tab],0),1))</f>
        <v>0</v>
      </c>
      <c r="N57" s="79">
        <f>IF(TR_6RecyclingArranger[[#This Row],[ID_EC]]="",0,IF(COUNTA(TR_6RecyclingArranger[[#This Row],[Name of Third-Party Recycling Arranger]],TR_6RecyclingArranger[[#This Row],[Pounds of Producer''s Material Recycled by this Recycling Arranger]:[Recycling Arranger Contact Email]])=7,0,1))</f>
        <v>0</v>
      </c>
      <c r="O57" s="79">
        <f>IF(TR_6RecyclingArranger[[#This Row],[ID_EC]]&lt;&gt;"",0,IF(COUNTA(TR_6RecyclingArranger[[#This Row],[Name of Third-Party Recycling Arranger]],TR_6RecyclingArranger[[#This Row],[Pounds of Producer''s Material Recycled by this Recycling Arranger]:[Recycling Arranger Contact Email]])&gt;0,1,0))</f>
        <v>0</v>
      </c>
      <c r="P57" s="79">
        <f>IF(TR_6RecyclingArranger[[#This Row],[Lookup: pounds (this table)]]&gt;TR_6RecyclingArranger[[#This Row],[Lookup: pounds (5B tab)]],1,0)</f>
        <v>0</v>
      </c>
      <c r="Q57" s="77">
        <f>SUMIFS(TR_6RecyclingArranger[Pounds of Producer''s Material Recycled by this Recycling Arranger],TR_6RecyclingArranger[ID_EC],TR_6RecyclingArranger[[#This Row],[ID_EC]])</f>
        <v>0</v>
      </c>
      <c r="R57" s="77">
        <f>IFERROR(INDEX(TR_5ExemptionClaim[How many of the pounds recycled through this pathway were supplied by this producer?],MATCH(TR_6RecyclingArranger[[#This Row],[ID_EC]],TR_5ExemptionClaim[ID_EC],0)),0)</f>
        <v>0</v>
      </c>
      <c r="S57" s="80" t="str">
        <f t="shared" si="0"/>
        <v/>
      </c>
      <c r="T57" s="40"/>
      <c r="U57" s="58"/>
    </row>
    <row r="58" spans="1:21" ht="30.75" customHeight="1" x14ac:dyDescent="0.2">
      <c r="A58" s="82" t="s">
        <v>442</v>
      </c>
      <c r="B58" s="46"/>
      <c r="C58" s="113"/>
      <c r="D58" s="214" t="str">
        <f>IF(TR_6RecyclingArranger[[#This Row],[ID_EC]]="","",INDEX(TR_5ExemptionClaim[End Market Name],MATCH(TR_6RecyclingArranger[[#This Row],[ID_EC]],TR_5ExemptionClaim[ID_EC],0)))</f>
        <v/>
      </c>
      <c r="E58" s="214" t="str">
        <f>IF(TR_6RecyclingArranger[[#This Row],[ID_EC]]="","",INDEX(TR_5ExemptionClaim[Collection or Transportation Service Provider Name],MATCH(TR_6RecyclingArranger[[#This Row],[ID_EC]],TR_5ExemptionClaim[ID_EC],0)))</f>
        <v/>
      </c>
      <c r="F58" s="214" t="str">
        <f>IF(TR_6RecyclingArranger[[#This Row],[ID_EC]]="","",IF(INDEX(TR_5ExemptionClaim[CRPF name],MATCH(TR_6RecyclingArranger[[#This Row],[ID_EC]],TR_5ExemptionClaim[ID_EC],0))=0,"None",INDEX(TR_5ExemptionClaim[CRPF name],MATCH(TR_6RecyclingArranger[[#This Row],[ID_EC]],TR_5ExemptionClaim[ID_EC],0))))</f>
        <v/>
      </c>
      <c r="G58" s="45"/>
      <c r="H58" s="108"/>
      <c r="I58" s="47"/>
      <c r="J58" s="48"/>
      <c r="K58" s="47"/>
      <c r="L58" s="79">
        <f>IF(COUNTIFS(TR_6RecyclingArranger[ID_EC],TR_6RecyclingArranger[[#This Row],[ID_EC]],TR_6RecyclingArranger[Name of Third-Party Recycling Arranger],TR_6RecyclingArranger[[#This Row],[Name of Third-Party Recycling Arranger]])&gt;1,1,0)</f>
        <v>0</v>
      </c>
      <c r="M58" s="79">
        <f>IF(TR_6RecyclingArranger[[#This Row],[ID_EC]]="",0,IFERROR(0*MATCH(TR_6RecyclingArranger[[#This Row],[ID_EC]],TR_5ExemptionClaim[Lookup: for arranger tab],0),1))</f>
        <v>0</v>
      </c>
      <c r="N58" s="79">
        <f>IF(TR_6RecyclingArranger[[#This Row],[ID_EC]]="",0,IF(COUNTA(TR_6RecyclingArranger[[#This Row],[Name of Third-Party Recycling Arranger]],TR_6RecyclingArranger[[#This Row],[Pounds of Producer''s Material Recycled by this Recycling Arranger]:[Recycling Arranger Contact Email]])=7,0,1))</f>
        <v>0</v>
      </c>
      <c r="O58" s="79">
        <f>IF(TR_6RecyclingArranger[[#This Row],[ID_EC]]&lt;&gt;"",0,IF(COUNTA(TR_6RecyclingArranger[[#This Row],[Name of Third-Party Recycling Arranger]],TR_6RecyclingArranger[[#This Row],[Pounds of Producer''s Material Recycled by this Recycling Arranger]:[Recycling Arranger Contact Email]])&gt;0,1,0))</f>
        <v>0</v>
      </c>
      <c r="P58" s="79">
        <f>IF(TR_6RecyclingArranger[[#This Row],[Lookup: pounds (this table)]]&gt;TR_6RecyclingArranger[[#This Row],[Lookup: pounds (5B tab)]],1,0)</f>
        <v>0</v>
      </c>
      <c r="Q58" s="77">
        <f>SUMIFS(TR_6RecyclingArranger[Pounds of Producer''s Material Recycled by this Recycling Arranger],TR_6RecyclingArranger[ID_EC],TR_6RecyclingArranger[[#This Row],[ID_EC]])</f>
        <v>0</v>
      </c>
      <c r="R58" s="77">
        <f>IFERROR(INDEX(TR_5ExemptionClaim[How many of the pounds recycled through this pathway were supplied by this producer?],MATCH(TR_6RecyclingArranger[[#This Row],[ID_EC]],TR_5ExemptionClaim[ID_EC],0)),0)</f>
        <v>0</v>
      </c>
      <c r="S58" s="80" t="str">
        <f t="shared" si="0"/>
        <v/>
      </c>
      <c r="T58" s="40"/>
      <c r="U58" s="58"/>
    </row>
    <row r="59" spans="1:21" ht="30.75" customHeight="1" x14ac:dyDescent="0.2">
      <c r="A59" s="82" t="s">
        <v>443</v>
      </c>
      <c r="B59" s="46"/>
      <c r="C59" s="113"/>
      <c r="D59" s="214" t="str">
        <f>IF(TR_6RecyclingArranger[[#This Row],[ID_EC]]="","",INDEX(TR_5ExemptionClaim[End Market Name],MATCH(TR_6RecyclingArranger[[#This Row],[ID_EC]],TR_5ExemptionClaim[ID_EC],0)))</f>
        <v/>
      </c>
      <c r="E59" s="214" t="str">
        <f>IF(TR_6RecyclingArranger[[#This Row],[ID_EC]]="","",INDEX(TR_5ExemptionClaim[Collection or Transportation Service Provider Name],MATCH(TR_6RecyclingArranger[[#This Row],[ID_EC]],TR_5ExemptionClaim[ID_EC],0)))</f>
        <v/>
      </c>
      <c r="F59" s="214" t="str">
        <f>IF(TR_6RecyclingArranger[[#This Row],[ID_EC]]="","",IF(INDEX(TR_5ExemptionClaim[CRPF name],MATCH(TR_6RecyclingArranger[[#This Row],[ID_EC]],TR_5ExemptionClaim[ID_EC],0))=0,"None",INDEX(TR_5ExemptionClaim[CRPF name],MATCH(TR_6RecyclingArranger[[#This Row],[ID_EC]],TR_5ExemptionClaim[ID_EC],0))))</f>
        <v/>
      </c>
      <c r="G59" s="45"/>
      <c r="H59" s="108"/>
      <c r="I59" s="47"/>
      <c r="J59" s="48"/>
      <c r="K59" s="47"/>
      <c r="L59" s="79">
        <f>IF(COUNTIFS(TR_6RecyclingArranger[ID_EC],TR_6RecyclingArranger[[#This Row],[ID_EC]],TR_6RecyclingArranger[Name of Third-Party Recycling Arranger],TR_6RecyclingArranger[[#This Row],[Name of Third-Party Recycling Arranger]])&gt;1,1,0)</f>
        <v>0</v>
      </c>
      <c r="M59" s="79">
        <f>IF(TR_6RecyclingArranger[[#This Row],[ID_EC]]="",0,IFERROR(0*MATCH(TR_6RecyclingArranger[[#This Row],[ID_EC]],TR_5ExemptionClaim[Lookup: for arranger tab],0),1))</f>
        <v>0</v>
      </c>
      <c r="N59" s="79">
        <f>IF(TR_6RecyclingArranger[[#This Row],[ID_EC]]="",0,IF(COUNTA(TR_6RecyclingArranger[[#This Row],[Name of Third-Party Recycling Arranger]],TR_6RecyclingArranger[[#This Row],[Pounds of Producer''s Material Recycled by this Recycling Arranger]:[Recycling Arranger Contact Email]])=7,0,1))</f>
        <v>0</v>
      </c>
      <c r="O59" s="79">
        <f>IF(TR_6RecyclingArranger[[#This Row],[ID_EC]]&lt;&gt;"",0,IF(COUNTA(TR_6RecyclingArranger[[#This Row],[Name of Third-Party Recycling Arranger]],TR_6RecyclingArranger[[#This Row],[Pounds of Producer''s Material Recycled by this Recycling Arranger]:[Recycling Arranger Contact Email]])&gt;0,1,0))</f>
        <v>0</v>
      </c>
      <c r="P59" s="79">
        <f>IF(TR_6RecyclingArranger[[#This Row],[Lookup: pounds (this table)]]&gt;TR_6RecyclingArranger[[#This Row],[Lookup: pounds (5B tab)]],1,0)</f>
        <v>0</v>
      </c>
      <c r="Q59" s="77">
        <f>SUMIFS(TR_6RecyclingArranger[Pounds of Producer''s Material Recycled by this Recycling Arranger],TR_6RecyclingArranger[ID_EC],TR_6RecyclingArranger[[#This Row],[ID_EC]])</f>
        <v>0</v>
      </c>
      <c r="R59" s="77">
        <f>IFERROR(INDEX(TR_5ExemptionClaim[How many of the pounds recycled through this pathway were supplied by this producer?],MATCH(TR_6RecyclingArranger[[#This Row],[ID_EC]],TR_5ExemptionClaim[ID_EC],0)),0)</f>
        <v>0</v>
      </c>
      <c r="S59" s="80" t="str">
        <f t="shared" si="0"/>
        <v/>
      </c>
      <c r="T59" s="40"/>
      <c r="U59" s="58"/>
    </row>
    <row r="60" spans="1:21" ht="30.75" customHeight="1" x14ac:dyDescent="0.2">
      <c r="A60" s="82" t="s">
        <v>444</v>
      </c>
      <c r="B60" s="46"/>
      <c r="C60" s="113"/>
      <c r="D60" s="214" t="str">
        <f>IF(TR_6RecyclingArranger[[#This Row],[ID_EC]]="","",INDEX(TR_5ExemptionClaim[End Market Name],MATCH(TR_6RecyclingArranger[[#This Row],[ID_EC]],TR_5ExemptionClaim[ID_EC],0)))</f>
        <v/>
      </c>
      <c r="E60" s="214" t="str">
        <f>IF(TR_6RecyclingArranger[[#This Row],[ID_EC]]="","",INDEX(TR_5ExemptionClaim[Collection or Transportation Service Provider Name],MATCH(TR_6RecyclingArranger[[#This Row],[ID_EC]],TR_5ExemptionClaim[ID_EC],0)))</f>
        <v/>
      </c>
      <c r="F60" s="214" t="str">
        <f>IF(TR_6RecyclingArranger[[#This Row],[ID_EC]]="","",IF(INDEX(TR_5ExemptionClaim[CRPF name],MATCH(TR_6RecyclingArranger[[#This Row],[ID_EC]],TR_5ExemptionClaim[ID_EC],0))=0,"None",INDEX(TR_5ExemptionClaim[CRPF name],MATCH(TR_6RecyclingArranger[[#This Row],[ID_EC]],TR_5ExemptionClaim[ID_EC],0))))</f>
        <v/>
      </c>
      <c r="G60" s="45"/>
      <c r="H60" s="108"/>
      <c r="I60" s="47"/>
      <c r="J60" s="48"/>
      <c r="K60" s="47"/>
      <c r="L60" s="79">
        <f>IF(COUNTIFS(TR_6RecyclingArranger[ID_EC],TR_6RecyclingArranger[[#This Row],[ID_EC]],TR_6RecyclingArranger[Name of Third-Party Recycling Arranger],TR_6RecyclingArranger[[#This Row],[Name of Third-Party Recycling Arranger]])&gt;1,1,0)</f>
        <v>0</v>
      </c>
      <c r="M60" s="79">
        <f>IF(TR_6RecyclingArranger[[#This Row],[ID_EC]]="",0,IFERROR(0*MATCH(TR_6RecyclingArranger[[#This Row],[ID_EC]],TR_5ExemptionClaim[Lookup: for arranger tab],0),1))</f>
        <v>0</v>
      </c>
      <c r="N60" s="79">
        <f>IF(TR_6RecyclingArranger[[#This Row],[ID_EC]]="",0,IF(COUNTA(TR_6RecyclingArranger[[#This Row],[Name of Third-Party Recycling Arranger]],TR_6RecyclingArranger[[#This Row],[Pounds of Producer''s Material Recycled by this Recycling Arranger]:[Recycling Arranger Contact Email]])=7,0,1))</f>
        <v>0</v>
      </c>
      <c r="O60" s="79">
        <f>IF(TR_6RecyclingArranger[[#This Row],[ID_EC]]&lt;&gt;"",0,IF(COUNTA(TR_6RecyclingArranger[[#This Row],[Name of Third-Party Recycling Arranger]],TR_6RecyclingArranger[[#This Row],[Pounds of Producer''s Material Recycled by this Recycling Arranger]:[Recycling Arranger Contact Email]])&gt;0,1,0))</f>
        <v>0</v>
      </c>
      <c r="P60" s="79">
        <f>IF(TR_6RecyclingArranger[[#This Row],[Lookup: pounds (this table)]]&gt;TR_6RecyclingArranger[[#This Row],[Lookup: pounds (5B tab)]],1,0)</f>
        <v>0</v>
      </c>
      <c r="Q60" s="77">
        <f>SUMIFS(TR_6RecyclingArranger[Pounds of Producer''s Material Recycled by this Recycling Arranger],TR_6RecyclingArranger[ID_EC],TR_6RecyclingArranger[[#This Row],[ID_EC]])</f>
        <v>0</v>
      </c>
      <c r="R60" s="77">
        <f>IFERROR(INDEX(TR_5ExemptionClaim[How many of the pounds recycled through this pathway were supplied by this producer?],MATCH(TR_6RecyclingArranger[[#This Row],[ID_EC]],TR_5ExemptionClaim[ID_EC],0)),0)</f>
        <v>0</v>
      </c>
      <c r="S60" s="80" t="str">
        <f t="shared" si="0"/>
        <v/>
      </c>
      <c r="T60" s="40"/>
      <c r="U60" s="58"/>
    </row>
    <row r="61" spans="1:21" ht="30.75" customHeight="1" x14ac:dyDescent="0.2">
      <c r="A61" s="82" t="s">
        <v>445</v>
      </c>
      <c r="B61" s="46"/>
      <c r="C61" s="113"/>
      <c r="D61" s="214" t="str">
        <f>IF(TR_6RecyclingArranger[[#This Row],[ID_EC]]="","",INDEX(TR_5ExemptionClaim[End Market Name],MATCH(TR_6RecyclingArranger[[#This Row],[ID_EC]],TR_5ExemptionClaim[ID_EC],0)))</f>
        <v/>
      </c>
      <c r="E61" s="214" t="str">
        <f>IF(TR_6RecyclingArranger[[#This Row],[ID_EC]]="","",INDEX(TR_5ExemptionClaim[Collection or Transportation Service Provider Name],MATCH(TR_6RecyclingArranger[[#This Row],[ID_EC]],TR_5ExemptionClaim[ID_EC],0)))</f>
        <v/>
      </c>
      <c r="F61" s="214" t="str">
        <f>IF(TR_6RecyclingArranger[[#This Row],[ID_EC]]="","",IF(INDEX(TR_5ExemptionClaim[CRPF name],MATCH(TR_6RecyclingArranger[[#This Row],[ID_EC]],TR_5ExemptionClaim[ID_EC],0))=0,"None",INDEX(TR_5ExemptionClaim[CRPF name],MATCH(TR_6RecyclingArranger[[#This Row],[ID_EC]],TR_5ExemptionClaim[ID_EC],0))))</f>
        <v/>
      </c>
      <c r="G61" s="45"/>
      <c r="H61" s="108"/>
      <c r="I61" s="47"/>
      <c r="J61" s="48"/>
      <c r="K61" s="47"/>
      <c r="L61" s="79">
        <f>IF(COUNTIFS(TR_6RecyclingArranger[ID_EC],TR_6RecyclingArranger[[#This Row],[ID_EC]],TR_6RecyclingArranger[Name of Third-Party Recycling Arranger],TR_6RecyclingArranger[[#This Row],[Name of Third-Party Recycling Arranger]])&gt;1,1,0)</f>
        <v>0</v>
      </c>
      <c r="M61" s="79">
        <f>IF(TR_6RecyclingArranger[[#This Row],[ID_EC]]="",0,IFERROR(0*MATCH(TR_6RecyclingArranger[[#This Row],[ID_EC]],TR_5ExemptionClaim[Lookup: for arranger tab],0),1))</f>
        <v>0</v>
      </c>
      <c r="N61" s="79">
        <f>IF(TR_6RecyclingArranger[[#This Row],[ID_EC]]="",0,IF(COUNTA(TR_6RecyclingArranger[[#This Row],[Name of Third-Party Recycling Arranger]],TR_6RecyclingArranger[[#This Row],[Pounds of Producer''s Material Recycled by this Recycling Arranger]:[Recycling Arranger Contact Email]])=7,0,1))</f>
        <v>0</v>
      </c>
      <c r="O61" s="79">
        <f>IF(TR_6RecyclingArranger[[#This Row],[ID_EC]]&lt;&gt;"",0,IF(COUNTA(TR_6RecyclingArranger[[#This Row],[Name of Third-Party Recycling Arranger]],TR_6RecyclingArranger[[#This Row],[Pounds of Producer''s Material Recycled by this Recycling Arranger]:[Recycling Arranger Contact Email]])&gt;0,1,0))</f>
        <v>0</v>
      </c>
      <c r="P61" s="79">
        <f>IF(TR_6RecyclingArranger[[#This Row],[Lookup: pounds (this table)]]&gt;TR_6RecyclingArranger[[#This Row],[Lookup: pounds (5B tab)]],1,0)</f>
        <v>0</v>
      </c>
      <c r="Q61" s="77">
        <f>SUMIFS(TR_6RecyclingArranger[Pounds of Producer''s Material Recycled by this Recycling Arranger],TR_6RecyclingArranger[ID_EC],TR_6RecyclingArranger[[#This Row],[ID_EC]])</f>
        <v>0</v>
      </c>
      <c r="R61" s="77">
        <f>IFERROR(INDEX(TR_5ExemptionClaim[How many of the pounds recycled through this pathway were supplied by this producer?],MATCH(TR_6RecyclingArranger[[#This Row],[ID_EC]],TR_5ExemptionClaim[ID_EC],0)),0)</f>
        <v>0</v>
      </c>
      <c r="S61" s="80" t="str">
        <f t="shared" si="0"/>
        <v/>
      </c>
      <c r="T61" s="40"/>
      <c r="U61" s="58"/>
    </row>
    <row r="62" spans="1:21" ht="30.75" customHeight="1" x14ac:dyDescent="0.2">
      <c r="A62" s="82" t="s">
        <v>446</v>
      </c>
      <c r="B62" s="46"/>
      <c r="C62" s="113"/>
      <c r="D62" s="214" t="str">
        <f>IF(TR_6RecyclingArranger[[#This Row],[ID_EC]]="","",INDEX(TR_5ExemptionClaim[End Market Name],MATCH(TR_6RecyclingArranger[[#This Row],[ID_EC]],TR_5ExemptionClaim[ID_EC],0)))</f>
        <v/>
      </c>
      <c r="E62" s="214" t="str">
        <f>IF(TR_6RecyclingArranger[[#This Row],[ID_EC]]="","",INDEX(TR_5ExemptionClaim[Collection or Transportation Service Provider Name],MATCH(TR_6RecyclingArranger[[#This Row],[ID_EC]],TR_5ExemptionClaim[ID_EC],0)))</f>
        <v/>
      </c>
      <c r="F62" s="214" t="str">
        <f>IF(TR_6RecyclingArranger[[#This Row],[ID_EC]]="","",IF(INDEX(TR_5ExemptionClaim[CRPF name],MATCH(TR_6RecyclingArranger[[#This Row],[ID_EC]],TR_5ExemptionClaim[ID_EC],0))=0,"None",INDEX(TR_5ExemptionClaim[CRPF name],MATCH(TR_6RecyclingArranger[[#This Row],[ID_EC]],TR_5ExemptionClaim[ID_EC],0))))</f>
        <v/>
      </c>
      <c r="G62" s="45"/>
      <c r="H62" s="108"/>
      <c r="I62" s="47"/>
      <c r="J62" s="48"/>
      <c r="K62" s="47"/>
      <c r="L62" s="79">
        <f>IF(COUNTIFS(TR_6RecyclingArranger[ID_EC],TR_6RecyclingArranger[[#This Row],[ID_EC]],TR_6RecyclingArranger[Name of Third-Party Recycling Arranger],TR_6RecyclingArranger[[#This Row],[Name of Third-Party Recycling Arranger]])&gt;1,1,0)</f>
        <v>0</v>
      </c>
      <c r="M62" s="79">
        <f>IF(TR_6RecyclingArranger[[#This Row],[ID_EC]]="",0,IFERROR(0*MATCH(TR_6RecyclingArranger[[#This Row],[ID_EC]],TR_5ExemptionClaim[Lookup: for arranger tab],0),1))</f>
        <v>0</v>
      </c>
      <c r="N62" s="79">
        <f>IF(TR_6RecyclingArranger[[#This Row],[ID_EC]]="",0,IF(COUNTA(TR_6RecyclingArranger[[#This Row],[Name of Third-Party Recycling Arranger]],TR_6RecyclingArranger[[#This Row],[Pounds of Producer''s Material Recycled by this Recycling Arranger]:[Recycling Arranger Contact Email]])=7,0,1))</f>
        <v>0</v>
      </c>
      <c r="O62" s="79">
        <f>IF(TR_6RecyclingArranger[[#This Row],[ID_EC]]&lt;&gt;"",0,IF(COUNTA(TR_6RecyclingArranger[[#This Row],[Name of Third-Party Recycling Arranger]],TR_6RecyclingArranger[[#This Row],[Pounds of Producer''s Material Recycled by this Recycling Arranger]:[Recycling Arranger Contact Email]])&gt;0,1,0))</f>
        <v>0</v>
      </c>
      <c r="P62" s="79">
        <f>IF(TR_6RecyclingArranger[[#This Row],[Lookup: pounds (this table)]]&gt;TR_6RecyclingArranger[[#This Row],[Lookup: pounds (5B tab)]],1,0)</f>
        <v>0</v>
      </c>
      <c r="Q62" s="77">
        <f>SUMIFS(TR_6RecyclingArranger[Pounds of Producer''s Material Recycled by this Recycling Arranger],TR_6RecyclingArranger[ID_EC],TR_6RecyclingArranger[[#This Row],[ID_EC]])</f>
        <v>0</v>
      </c>
      <c r="R62" s="77">
        <f>IFERROR(INDEX(TR_5ExemptionClaim[How many of the pounds recycled through this pathway were supplied by this producer?],MATCH(TR_6RecyclingArranger[[#This Row],[ID_EC]],TR_5ExemptionClaim[ID_EC],0)),0)</f>
        <v>0</v>
      </c>
      <c r="S62" s="80" t="str">
        <f t="shared" si="0"/>
        <v/>
      </c>
      <c r="T62" s="40"/>
      <c r="U62" s="58"/>
    </row>
    <row r="63" spans="1:21" ht="30.75" customHeight="1" x14ac:dyDescent="0.2">
      <c r="A63" s="82" t="s">
        <v>447</v>
      </c>
      <c r="B63" s="46"/>
      <c r="C63" s="113"/>
      <c r="D63" s="214" t="str">
        <f>IF(TR_6RecyclingArranger[[#This Row],[ID_EC]]="","",INDEX(TR_5ExemptionClaim[End Market Name],MATCH(TR_6RecyclingArranger[[#This Row],[ID_EC]],TR_5ExemptionClaim[ID_EC],0)))</f>
        <v/>
      </c>
      <c r="E63" s="214" t="str">
        <f>IF(TR_6RecyclingArranger[[#This Row],[ID_EC]]="","",INDEX(TR_5ExemptionClaim[Collection or Transportation Service Provider Name],MATCH(TR_6RecyclingArranger[[#This Row],[ID_EC]],TR_5ExemptionClaim[ID_EC],0)))</f>
        <v/>
      </c>
      <c r="F63" s="214" t="str">
        <f>IF(TR_6RecyclingArranger[[#This Row],[ID_EC]]="","",IF(INDEX(TR_5ExemptionClaim[CRPF name],MATCH(TR_6RecyclingArranger[[#This Row],[ID_EC]],TR_5ExemptionClaim[ID_EC],0))=0,"None",INDEX(TR_5ExemptionClaim[CRPF name],MATCH(TR_6RecyclingArranger[[#This Row],[ID_EC]],TR_5ExemptionClaim[ID_EC],0))))</f>
        <v/>
      </c>
      <c r="G63" s="45"/>
      <c r="H63" s="108"/>
      <c r="I63" s="47"/>
      <c r="J63" s="48"/>
      <c r="K63" s="47"/>
      <c r="L63" s="79">
        <f>IF(COUNTIFS(TR_6RecyclingArranger[ID_EC],TR_6RecyclingArranger[[#This Row],[ID_EC]],TR_6RecyclingArranger[Name of Third-Party Recycling Arranger],TR_6RecyclingArranger[[#This Row],[Name of Third-Party Recycling Arranger]])&gt;1,1,0)</f>
        <v>0</v>
      </c>
      <c r="M63" s="79">
        <f>IF(TR_6RecyclingArranger[[#This Row],[ID_EC]]="",0,IFERROR(0*MATCH(TR_6RecyclingArranger[[#This Row],[ID_EC]],TR_5ExemptionClaim[Lookup: for arranger tab],0),1))</f>
        <v>0</v>
      </c>
      <c r="N63" s="79">
        <f>IF(TR_6RecyclingArranger[[#This Row],[ID_EC]]="",0,IF(COUNTA(TR_6RecyclingArranger[[#This Row],[Name of Third-Party Recycling Arranger]],TR_6RecyclingArranger[[#This Row],[Pounds of Producer''s Material Recycled by this Recycling Arranger]:[Recycling Arranger Contact Email]])=7,0,1))</f>
        <v>0</v>
      </c>
      <c r="O63" s="79">
        <f>IF(TR_6RecyclingArranger[[#This Row],[ID_EC]]&lt;&gt;"",0,IF(COUNTA(TR_6RecyclingArranger[[#This Row],[Name of Third-Party Recycling Arranger]],TR_6RecyclingArranger[[#This Row],[Pounds of Producer''s Material Recycled by this Recycling Arranger]:[Recycling Arranger Contact Email]])&gt;0,1,0))</f>
        <v>0</v>
      </c>
      <c r="P63" s="79">
        <f>IF(TR_6RecyclingArranger[[#This Row],[Lookup: pounds (this table)]]&gt;TR_6RecyclingArranger[[#This Row],[Lookup: pounds (5B tab)]],1,0)</f>
        <v>0</v>
      </c>
      <c r="Q63" s="77">
        <f>SUMIFS(TR_6RecyclingArranger[Pounds of Producer''s Material Recycled by this Recycling Arranger],TR_6RecyclingArranger[ID_EC],TR_6RecyclingArranger[[#This Row],[ID_EC]])</f>
        <v>0</v>
      </c>
      <c r="R63" s="77">
        <f>IFERROR(INDEX(TR_5ExemptionClaim[How many of the pounds recycled through this pathway were supplied by this producer?],MATCH(TR_6RecyclingArranger[[#This Row],[ID_EC]],TR_5ExemptionClaim[ID_EC],0)),0)</f>
        <v>0</v>
      </c>
      <c r="S63" s="80" t="str">
        <f t="shared" si="0"/>
        <v/>
      </c>
      <c r="T63" s="40"/>
      <c r="U63" s="58"/>
    </row>
    <row r="64" spans="1:21" ht="30.75" customHeight="1" x14ac:dyDescent="0.2">
      <c r="A64" s="82" t="s">
        <v>448</v>
      </c>
      <c r="B64" s="46"/>
      <c r="C64" s="113"/>
      <c r="D64" s="214" t="str">
        <f>IF(TR_6RecyclingArranger[[#This Row],[ID_EC]]="","",INDEX(TR_5ExemptionClaim[End Market Name],MATCH(TR_6RecyclingArranger[[#This Row],[ID_EC]],TR_5ExemptionClaim[ID_EC],0)))</f>
        <v/>
      </c>
      <c r="E64" s="214" t="str">
        <f>IF(TR_6RecyclingArranger[[#This Row],[ID_EC]]="","",INDEX(TR_5ExemptionClaim[Collection or Transportation Service Provider Name],MATCH(TR_6RecyclingArranger[[#This Row],[ID_EC]],TR_5ExemptionClaim[ID_EC],0)))</f>
        <v/>
      </c>
      <c r="F64" s="214" t="str">
        <f>IF(TR_6RecyclingArranger[[#This Row],[ID_EC]]="","",IF(INDEX(TR_5ExemptionClaim[CRPF name],MATCH(TR_6RecyclingArranger[[#This Row],[ID_EC]],TR_5ExemptionClaim[ID_EC],0))=0,"None",INDEX(TR_5ExemptionClaim[CRPF name],MATCH(TR_6RecyclingArranger[[#This Row],[ID_EC]],TR_5ExemptionClaim[ID_EC],0))))</f>
        <v/>
      </c>
      <c r="G64" s="45"/>
      <c r="H64" s="108"/>
      <c r="I64" s="47"/>
      <c r="J64" s="48"/>
      <c r="K64" s="47"/>
      <c r="L64" s="79">
        <f>IF(COUNTIFS(TR_6RecyclingArranger[ID_EC],TR_6RecyclingArranger[[#This Row],[ID_EC]],TR_6RecyclingArranger[Name of Third-Party Recycling Arranger],TR_6RecyclingArranger[[#This Row],[Name of Third-Party Recycling Arranger]])&gt;1,1,0)</f>
        <v>0</v>
      </c>
      <c r="M64" s="79">
        <f>IF(TR_6RecyclingArranger[[#This Row],[ID_EC]]="",0,IFERROR(0*MATCH(TR_6RecyclingArranger[[#This Row],[ID_EC]],TR_5ExemptionClaim[Lookup: for arranger tab],0),1))</f>
        <v>0</v>
      </c>
      <c r="N64" s="79">
        <f>IF(TR_6RecyclingArranger[[#This Row],[ID_EC]]="",0,IF(COUNTA(TR_6RecyclingArranger[[#This Row],[Name of Third-Party Recycling Arranger]],TR_6RecyclingArranger[[#This Row],[Pounds of Producer''s Material Recycled by this Recycling Arranger]:[Recycling Arranger Contact Email]])=7,0,1))</f>
        <v>0</v>
      </c>
      <c r="O64" s="79">
        <f>IF(TR_6RecyclingArranger[[#This Row],[ID_EC]]&lt;&gt;"",0,IF(COUNTA(TR_6RecyclingArranger[[#This Row],[Name of Third-Party Recycling Arranger]],TR_6RecyclingArranger[[#This Row],[Pounds of Producer''s Material Recycled by this Recycling Arranger]:[Recycling Arranger Contact Email]])&gt;0,1,0))</f>
        <v>0</v>
      </c>
      <c r="P64" s="79">
        <f>IF(TR_6RecyclingArranger[[#This Row],[Lookup: pounds (this table)]]&gt;TR_6RecyclingArranger[[#This Row],[Lookup: pounds (5B tab)]],1,0)</f>
        <v>0</v>
      </c>
      <c r="Q64" s="77">
        <f>SUMIFS(TR_6RecyclingArranger[Pounds of Producer''s Material Recycled by this Recycling Arranger],TR_6RecyclingArranger[ID_EC],TR_6RecyclingArranger[[#This Row],[ID_EC]])</f>
        <v>0</v>
      </c>
      <c r="R64" s="77">
        <f>IFERROR(INDEX(TR_5ExemptionClaim[How many of the pounds recycled through this pathway were supplied by this producer?],MATCH(TR_6RecyclingArranger[[#This Row],[ID_EC]],TR_5ExemptionClaim[ID_EC],0)),0)</f>
        <v>0</v>
      </c>
      <c r="S64" s="80" t="str">
        <f t="shared" si="0"/>
        <v/>
      </c>
      <c r="T64" s="40"/>
      <c r="U64" s="58"/>
    </row>
    <row r="65" spans="1:21" ht="30.75" customHeight="1" x14ac:dyDescent="0.2">
      <c r="A65" s="82" t="s">
        <v>449</v>
      </c>
      <c r="B65" s="46"/>
      <c r="C65" s="113"/>
      <c r="D65" s="214" t="str">
        <f>IF(TR_6RecyclingArranger[[#This Row],[ID_EC]]="","",INDEX(TR_5ExemptionClaim[End Market Name],MATCH(TR_6RecyclingArranger[[#This Row],[ID_EC]],TR_5ExemptionClaim[ID_EC],0)))</f>
        <v/>
      </c>
      <c r="E65" s="214" t="str">
        <f>IF(TR_6RecyclingArranger[[#This Row],[ID_EC]]="","",INDEX(TR_5ExemptionClaim[Collection or Transportation Service Provider Name],MATCH(TR_6RecyclingArranger[[#This Row],[ID_EC]],TR_5ExemptionClaim[ID_EC],0)))</f>
        <v/>
      </c>
      <c r="F65" s="214" t="str">
        <f>IF(TR_6RecyclingArranger[[#This Row],[ID_EC]]="","",IF(INDEX(TR_5ExemptionClaim[CRPF name],MATCH(TR_6RecyclingArranger[[#This Row],[ID_EC]],TR_5ExemptionClaim[ID_EC],0))=0,"None",INDEX(TR_5ExemptionClaim[CRPF name],MATCH(TR_6RecyclingArranger[[#This Row],[ID_EC]],TR_5ExemptionClaim[ID_EC],0))))</f>
        <v/>
      </c>
      <c r="G65" s="45"/>
      <c r="H65" s="108"/>
      <c r="I65" s="47"/>
      <c r="J65" s="48"/>
      <c r="K65" s="47"/>
      <c r="L65" s="79">
        <f>IF(COUNTIFS(TR_6RecyclingArranger[ID_EC],TR_6RecyclingArranger[[#This Row],[ID_EC]],TR_6RecyclingArranger[Name of Third-Party Recycling Arranger],TR_6RecyclingArranger[[#This Row],[Name of Third-Party Recycling Arranger]])&gt;1,1,0)</f>
        <v>0</v>
      </c>
      <c r="M65" s="79">
        <f>IF(TR_6RecyclingArranger[[#This Row],[ID_EC]]="",0,IFERROR(0*MATCH(TR_6RecyclingArranger[[#This Row],[ID_EC]],TR_5ExemptionClaim[Lookup: for arranger tab],0),1))</f>
        <v>0</v>
      </c>
      <c r="N65" s="79">
        <f>IF(TR_6RecyclingArranger[[#This Row],[ID_EC]]="",0,IF(COUNTA(TR_6RecyclingArranger[[#This Row],[Name of Third-Party Recycling Arranger]],TR_6RecyclingArranger[[#This Row],[Pounds of Producer''s Material Recycled by this Recycling Arranger]:[Recycling Arranger Contact Email]])=7,0,1))</f>
        <v>0</v>
      </c>
      <c r="O65" s="79">
        <f>IF(TR_6RecyclingArranger[[#This Row],[ID_EC]]&lt;&gt;"",0,IF(COUNTA(TR_6RecyclingArranger[[#This Row],[Name of Third-Party Recycling Arranger]],TR_6RecyclingArranger[[#This Row],[Pounds of Producer''s Material Recycled by this Recycling Arranger]:[Recycling Arranger Contact Email]])&gt;0,1,0))</f>
        <v>0</v>
      </c>
      <c r="P65" s="79">
        <f>IF(TR_6RecyclingArranger[[#This Row],[Lookup: pounds (this table)]]&gt;TR_6RecyclingArranger[[#This Row],[Lookup: pounds (5B tab)]],1,0)</f>
        <v>0</v>
      </c>
      <c r="Q65" s="77">
        <f>SUMIFS(TR_6RecyclingArranger[Pounds of Producer''s Material Recycled by this Recycling Arranger],TR_6RecyclingArranger[ID_EC],TR_6RecyclingArranger[[#This Row],[ID_EC]])</f>
        <v>0</v>
      </c>
      <c r="R65" s="77">
        <f>IFERROR(INDEX(TR_5ExemptionClaim[How many of the pounds recycled through this pathway were supplied by this producer?],MATCH(TR_6RecyclingArranger[[#This Row],[ID_EC]],TR_5ExemptionClaim[ID_EC],0)),0)</f>
        <v>0</v>
      </c>
      <c r="S65" s="80" t="str">
        <f t="shared" si="0"/>
        <v/>
      </c>
      <c r="T65" s="40"/>
      <c r="U65" s="58"/>
    </row>
    <row r="66" spans="1:21" ht="30.75" customHeight="1" x14ac:dyDescent="0.2">
      <c r="A66" s="82" t="s">
        <v>450</v>
      </c>
      <c r="B66" s="46"/>
      <c r="C66" s="113"/>
      <c r="D66" s="214" t="str">
        <f>IF(TR_6RecyclingArranger[[#This Row],[ID_EC]]="","",INDEX(TR_5ExemptionClaim[End Market Name],MATCH(TR_6RecyclingArranger[[#This Row],[ID_EC]],TR_5ExemptionClaim[ID_EC],0)))</f>
        <v/>
      </c>
      <c r="E66" s="214" t="str">
        <f>IF(TR_6RecyclingArranger[[#This Row],[ID_EC]]="","",INDEX(TR_5ExemptionClaim[Collection or Transportation Service Provider Name],MATCH(TR_6RecyclingArranger[[#This Row],[ID_EC]],TR_5ExemptionClaim[ID_EC],0)))</f>
        <v/>
      </c>
      <c r="F66" s="214" t="str">
        <f>IF(TR_6RecyclingArranger[[#This Row],[ID_EC]]="","",IF(INDEX(TR_5ExemptionClaim[CRPF name],MATCH(TR_6RecyclingArranger[[#This Row],[ID_EC]],TR_5ExemptionClaim[ID_EC],0))=0,"None",INDEX(TR_5ExemptionClaim[CRPF name],MATCH(TR_6RecyclingArranger[[#This Row],[ID_EC]],TR_5ExemptionClaim[ID_EC],0))))</f>
        <v/>
      </c>
      <c r="G66" s="45"/>
      <c r="H66" s="108"/>
      <c r="I66" s="47"/>
      <c r="J66" s="48"/>
      <c r="K66" s="47"/>
      <c r="L66" s="79">
        <f>IF(COUNTIFS(TR_6RecyclingArranger[ID_EC],TR_6RecyclingArranger[[#This Row],[ID_EC]],TR_6RecyclingArranger[Name of Third-Party Recycling Arranger],TR_6RecyclingArranger[[#This Row],[Name of Third-Party Recycling Arranger]])&gt;1,1,0)</f>
        <v>0</v>
      </c>
      <c r="M66" s="79">
        <f>IF(TR_6RecyclingArranger[[#This Row],[ID_EC]]="",0,IFERROR(0*MATCH(TR_6RecyclingArranger[[#This Row],[ID_EC]],TR_5ExemptionClaim[Lookup: for arranger tab],0),1))</f>
        <v>0</v>
      </c>
      <c r="N66" s="79">
        <f>IF(TR_6RecyclingArranger[[#This Row],[ID_EC]]="",0,IF(COUNTA(TR_6RecyclingArranger[[#This Row],[Name of Third-Party Recycling Arranger]],TR_6RecyclingArranger[[#This Row],[Pounds of Producer''s Material Recycled by this Recycling Arranger]:[Recycling Arranger Contact Email]])=7,0,1))</f>
        <v>0</v>
      </c>
      <c r="O66" s="79">
        <f>IF(TR_6RecyclingArranger[[#This Row],[ID_EC]]&lt;&gt;"",0,IF(COUNTA(TR_6RecyclingArranger[[#This Row],[Name of Third-Party Recycling Arranger]],TR_6RecyclingArranger[[#This Row],[Pounds of Producer''s Material Recycled by this Recycling Arranger]:[Recycling Arranger Contact Email]])&gt;0,1,0))</f>
        <v>0</v>
      </c>
      <c r="P66" s="79">
        <f>IF(TR_6RecyclingArranger[[#This Row],[Lookup: pounds (this table)]]&gt;TR_6RecyclingArranger[[#This Row],[Lookup: pounds (5B tab)]],1,0)</f>
        <v>0</v>
      </c>
      <c r="Q66" s="77">
        <f>SUMIFS(TR_6RecyclingArranger[Pounds of Producer''s Material Recycled by this Recycling Arranger],TR_6RecyclingArranger[ID_EC],TR_6RecyclingArranger[[#This Row],[ID_EC]])</f>
        <v>0</v>
      </c>
      <c r="R66" s="77">
        <f>IFERROR(INDEX(TR_5ExemptionClaim[How many of the pounds recycled through this pathway were supplied by this producer?],MATCH(TR_6RecyclingArranger[[#This Row],[ID_EC]],TR_5ExemptionClaim[ID_EC],0)),0)</f>
        <v>0</v>
      </c>
      <c r="S66" s="80" t="str">
        <f t="shared" si="0"/>
        <v/>
      </c>
      <c r="T66" s="40"/>
      <c r="U66" s="58"/>
    </row>
    <row r="67" spans="1:21" ht="30.75" customHeight="1" x14ac:dyDescent="0.2">
      <c r="A67" s="82" t="s">
        <v>451</v>
      </c>
      <c r="B67" s="46"/>
      <c r="C67" s="113"/>
      <c r="D67" s="214" t="str">
        <f>IF(TR_6RecyclingArranger[[#This Row],[ID_EC]]="","",INDEX(TR_5ExemptionClaim[End Market Name],MATCH(TR_6RecyclingArranger[[#This Row],[ID_EC]],TR_5ExemptionClaim[ID_EC],0)))</f>
        <v/>
      </c>
      <c r="E67" s="214" t="str">
        <f>IF(TR_6RecyclingArranger[[#This Row],[ID_EC]]="","",INDEX(TR_5ExemptionClaim[Collection or Transportation Service Provider Name],MATCH(TR_6RecyclingArranger[[#This Row],[ID_EC]],TR_5ExemptionClaim[ID_EC],0)))</f>
        <v/>
      </c>
      <c r="F67" s="214" t="str">
        <f>IF(TR_6RecyclingArranger[[#This Row],[ID_EC]]="","",IF(INDEX(TR_5ExemptionClaim[CRPF name],MATCH(TR_6RecyclingArranger[[#This Row],[ID_EC]],TR_5ExemptionClaim[ID_EC],0))=0,"None",INDEX(TR_5ExemptionClaim[CRPF name],MATCH(TR_6RecyclingArranger[[#This Row],[ID_EC]],TR_5ExemptionClaim[ID_EC],0))))</f>
        <v/>
      </c>
      <c r="G67" s="45"/>
      <c r="H67" s="108"/>
      <c r="I67" s="47"/>
      <c r="J67" s="48"/>
      <c r="K67" s="47"/>
      <c r="L67" s="79">
        <f>IF(COUNTIFS(TR_6RecyclingArranger[ID_EC],TR_6RecyclingArranger[[#This Row],[ID_EC]],TR_6RecyclingArranger[Name of Third-Party Recycling Arranger],TR_6RecyclingArranger[[#This Row],[Name of Third-Party Recycling Arranger]])&gt;1,1,0)</f>
        <v>0</v>
      </c>
      <c r="M67" s="79">
        <f>IF(TR_6RecyclingArranger[[#This Row],[ID_EC]]="",0,IFERROR(0*MATCH(TR_6RecyclingArranger[[#This Row],[ID_EC]],TR_5ExemptionClaim[Lookup: for arranger tab],0),1))</f>
        <v>0</v>
      </c>
      <c r="N67" s="79">
        <f>IF(TR_6RecyclingArranger[[#This Row],[ID_EC]]="",0,IF(COUNTA(TR_6RecyclingArranger[[#This Row],[Name of Third-Party Recycling Arranger]],TR_6RecyclingArranger[[#This Row],[Pounds of Producer''s Material Recycled by this Recycling Arranger]:[Recycling Arranger Contact Email]])=7,0,1))</f>
        <v>0</v>
      </c>
      <c r="O67" s="79">
        <f>IF(TR_6RecyclingArranger[[#This Row],[ID_EC]]&lt;&gt;"",0,IF(COUNTA(TR_6RecyclingArranger[[#This Row],[Name of Third-Party Recycling Arranger]],TR_6RecyclingArranger[[#This Row],[Pounds of Producer''s Material Recycled by this Recycling Arranger]:[Recycling Arranger Contact Email]])&gt;0,1,0))</f>
        <v>0</v>
      </c>
      <c r="P67" s="79">
        <f>IF(TR_6RecyclingArranger[[#This Row],[Lookup: pounds (this table)]]&gt;TR_6RecyclingArranger[[#This Row],[Lookup: pounds (5B tab)]],1,0)</f>
        <v>0</v>
      </c>
      <c r="Q67" s="77">
        <f>SUMIFS(TR_6RecyclingArranger[Pounds of Producer''s Material Recycled by this Recycling Arranger],TR_6RecyclingArranger[ID_EC],TR_6RecyclingArranger[[#This Row],[ID_EC]])</f>
        <v>0</v>
      </c>
      <c r="R67" s="77">
        <f>IFERROR(INDEX(TR_5ExemptionClaim[How many of the pounds recycled through this pathway were supplied by this producer?],MATCH(TR_6RecyclingArranger[[#This Row],[ID_EC]],TR_5ExemptionClaim[ID_EC],0)),0)</f>
        <v>0</v>
      </c>
      <c r="S67" s="80" t="str">
        <f t="shared" si="0"/>
        <v/>
      </c>
      <c r="T67" s="40"/>
      <c r="U67" s="58"/>
    </row>
    <row r="68" spans="1:21" ht="30.75" customHeight="1" x14ac:dyDescent="0.2">
      <c r="A68" s="82" t="s">
        <v>452</v>
      </c>
      <c r="B68" s="46"/>
      <c r="C68" s="113"/>
      <c r="D68" s="214" t="str">
        <f>IF(TR_6RecyclingArranger[[#This Row],[ID_EC]]="","",INDEX(TR_5ExemptionClaim[End Market Name],MATCH(TR_6RecyclingArranger[[#This Row],[ID_EC]],TR_5ExemptionClaim[ID_EC],0)))</f>
        <v/>
      </c>
      <c r="E68" s="214" t="str">
        <f>IF(TR_6RecyclingArranger[[#This Row],[ID_EC]]="","",INDEX(TR_5ExemptionClaim[Collection or Transportation Service Provider Name],MATCH(TR_6RecyclingArranger[[#This Row],[ID_EC]],TR_5ExemptionClaim[ID_EC],0)))</f>
        <v/>
      </c>
      <c r="F68" s="214" t="str">
        <f>IF(TR_6RecyclingArranger[[#This Row],[ID_EC]]="","",IF(INDEX(TR_5ExemptionClaim[CRPF name],MATCH(TR_6RecyclingArranger[[#This Row],[ID_EC]],TR_5ExemptionClaim[ID_EC],0))=0,"None",INDEX(TR_5ExemptionClaim[CRPF name],MATCH(TR_6RecyclingArranger[[#This Row],[ID_EC]],TR_5ExemptionClaim[ID_EC],0))))</f>
        <v/>
      </c>
      <c r="G68" s="45"/>
      <c r="H68" s="108"/>
      <c r="I68" s="47"/>
      <c r="J68" s="48"/>
      <c r="K68" s="47"/>
      <c r="L68" s="79">
        <f>IF(COUNTIFS(TR_6RecyclingArranger[ID_EC],TR_6RecyclingArranger[[#This Row],[ID_EC]],TR_6RecyclingArranger[Name of Third-Party Recycling Arranger],TR_6RecyclingArranger[[#This Row],[Name of Third-Party Recycling Arranger]])&gt;1,1,0)</f>
        <v>0</v>
      </c>
      <c r="M68" s="79">
        <f>IF(TR_6RecyclingArranger[[#This Row],[ID_EC]]="",0,IFERROR(0*MATCH(TR_6RecyclingArranger[[#This Row],[ID_EC]],TR_5ExemptionClaim[Lookup: for arranger tab],0),1))</f>
        <v>0</v>
      </c>
      <c r="N68" s="79">
        <f>IF(TR_6RecyclingArranger[[#This Row],[ID_EC]]="",0,IF(COUNTA(TR_6RecyclingArranger[[#This Row],[Name of Third-Party Recycling Arranger]],TR_6RecyclingArranger[[#This Row],[Pounds of Producer''s Material Recycled by this Recycling Arranger]:[Recycling Arranger Contact Email]])=7,0,1))</f>
        <v>0</v>
      </c>
      <c r="O68" s="79">
        <f>IF(TR_6RecyclingArranger[[#This Row],[ID_EC]]&lt;&gt;"",0,IF(COUNTA(TR_6RecyclingArranger[[#This Row],[Name of Third-Party Recycling Arranger]],TR_6RecyclingArranger[[#This Row],[Pounds of Producer''s Material Recycled by this Recycling Arranger]:[Recycling Arranger Contact Email]])&gt;0,1,0))</f>
        <v>0</v>
      </c>
      <c r="P68" s="79">
        <f>IF(TR_6RecyclingArranger[[#This Row],[Lookup: pounds (this table)]]&gt;TR_6RecyclingArranger[[#This Row],[Lookup: pounds (5B tab)]],1,0)</f>
        <v>0</v>
      </c>
      <c r="Q68" s="77">
        <f>SUMIFS(TR_6RecyclingArranger[Pounds of Producer''s Material Recycled by this Recycling Arranger],TR_6RecyclingArranger[ID_EC],TR_6RecyclingArranger[[#This Row],[ID_EC]])</f>
        <v>0</v>
      </c>
      <c r="R68" s="77">
        <f>IFERROR(INDEX(TR_5ExemptionClaim[How many of the pounds recycled through this pathway were supplied by this producer?],MATCH(TR_6RecyclingArranger[[#This Row],[ID_EC]],TR_5ExemptionClaim[ID_EC],0)),0)</f>
        <v>0</v>
      </c>
      <c r="S68" s="80" t="str">
        <f t="shared" si="0"/>
        <v/>
      </c>
      <c r="T68" s="40"/>
      <c r="U68" s="58"/>
    </row>
    <row r="69" spans="1:21" ht="30.75" customHeight="1" x14ac:dyDescent="0.2">
      <c r="A69" s="82" t="s">
        <v>453</v>
      </c>
      <c r="B69" s="46"/>
      <c r="C69" s="113"/>
      <c r="D69" s="214" t="str">
        <f>IF(TR_6RecyclingArranger[[#This Row],[ID_EC]]="","",INDEX(TR_5ExemptionClaim[End Market Name],MATCH(TR_6RecyclingArranger[[#This Row],[ID_EC]],TR_5ExemptionClaim[ID_EC],0)))</f>
        <v/>
      </c>
      <c r="E69" s="214" t="str">
        <f>IF(TR_6RecyclingArranger[[#This Row],[ID_EC]]="","",INDEX(TR_5ExemptionClaim[Collection or Transportation Service Provider Name],MATCH(TR_6RecyclingArranger[[#This Row],[ID_EC]],TR_5ExemptionClaim[ID_EC],0)))</f>
        <v/>
      </c>
      <c r="F69" s="214" t="str">
        <f>IF(TR_6RecyclingArranger[[#This Row],[ID_EC]]="","",IF(INDEX(TR_5ExemptionClaim[CRPF name],MATCH(TR_6RecyclingArranger[[#This Row],[ID_EC]],TR_5ExemptionClaim[ID_EC],0))=0,"None",INDEX(TR_5ExemptionClaim[CRPF name],MATCH(TR_6RecyclingArranger[[#This Row],[ID_EC]],TR_5ExemptionClaim[ID_EC],0))))</f>
        <v/>
      </c>
      <c r="G69" s="45"/>
      <c r="H69" s="108"/>
      <c r="I69" s="47"/>
      <c r="J69" s="48"/>
      <c r="K69" s="47"/>
      <c r="L69" s="79">
        <f>IF(COUNTIFS(TR_6RecyclingArranger[ID_EC],TR_6RecyclingArranger[[#This Row],[ID_EC]],TR_6RecyclingArranger[Name of Third-Party Recycling Arranger],TR_6RecyclingArranger[[#This Row],[Name of Third-Party Recycling Arranger]])&gt;1,1,0)</f>
        <v>0</v>
      </c>
      <c r="M69" s="79">
        <f>IF(TR_6RecyclingArranger[[#This Row],[ID_EC]]="",0,IFERROR(0*MATCH(TR_6RecyclingArranger[[#This Row],[ID_EC]],TR_5ExemptionClaim[Lookup: for arranger tab],0),1))</f>
        <v>0</v>
      </c>
      <c r="N69" s="79">
        <f>IF(TR_6RecyclingArranger[[#This Row],[ID_EC]]="",0,IF(COUNTA(TR_6RecyclingArranger[[#This Row],[Name of Third-Party Recycling Arranger]],TR_6RecyclingArranger[[#This Row],[Pounds of Producer''s Material Recycled by this Recycling Arranger]:[Recycling Arranger Contact Email]])=7,0,1))</f>
        <v>0</v>
      </c>
      <c r="O69" s="79">
        <f>IF(TR_6RecyclingArranger[[#This Row],[ID_EC]]&lt;&gt;"",0,IF(COUNTA(TR_6RecyclingArranger[[#This Row],[Name of Third-Party Recycling Arranger]],TR_6RecyclingArranger[[#This Row],[Pounds of Producer''s Material Recycled by this Recycling Arranger]:[Recycling Arranger Contact Email]])&gt;0,1,0))</f>
        <v>0</v>
      </c>
      <c r="P69" s="79">
        <f>IF(TR_6RecyclingArranger[[#This Row],[Lookup: pounds (this table)]]&gt;TR_6RecyclingArranger[[#This Row],[Lookup: pounds (5B tab)]],1,0)</f>
        <v>0</v>
      </c>
      <c r="Q69" s="77">
        <f>SUMIFS(TR_6RecyclingArranger[Pounds of Producer''s Material Recycled by this Recycling Arranger],TR_6RecyclingArranger[ID_EC],TR_6RecyclingArranger[[#This Row],[ID_EC]])</f>
        <v>0</v>
      </c>
      <c r="R69" s="77">
        <f>IFERROR(INDEX(TR_5ExemptionClaim[How many of the pounds recycled through this pathway were supplied by this producer?],MATCH(TR_6RecyclingArranger[[#This Row],[ID_EC]],TR_5ExemptionClaim[ID_EC],0)),0)</f>
        <v>0</v>
      </c>
      <c r="S69" s="80" t="str">
        <f t="shared" si="0"/>
        <v/>
      </c>
      <c r="T69" s="40"/>
      <c r="U69" s="58"/>
    </row>
    <row r="70" spans="1:21" ht="30.75" customHeight="1" x14ac:dyDescent="0.2">
      <c r="A70" s="82" t="s">
        <v>454</v>
      </c>
      <c r="B70" s="46"/>
      <c r="C70" s="113"/>
      <c r="D70" s="214" t="str">
        <f>IF(TR_6RecyclingArranger[[#This Row],[ID_EC]]="","",INDEX(TR_5ExemptionClaim[End Market Name],MATCH(TR_6RecyclingArranger[[#This Row],[ID_EC]],TR_5ExemptionClaim[ID_EC],0)))</f>
        <v/>
      </c>
      <c r="E70" s="214" t="str">
        <f>IF(TR_6RecyclingArranger[[#This Row],[ID_EC]]="","",INDEX(TR_5ExemptionClaim[Collection or Transportation Service Provider Name],MATCH(TR_6RecyclingArranger[[#This Row],[ID_EC]],TR_5ExemptionClaim[ID_EC],0)))</f>
        <v/>
      </c>
      <c r="F70" s="214" t="str">
        <f>IF(TR_6RecyclingArranger[[#This Row],[ID_EC]]="","",IF(INDEX(TR_5ExemptionClaim[CRPF name],MATCH(TR_6RecyclingArranger[[#This Row],[ID_EC]],TR_5ExemptionClaim[ID_EC],0))=0,"None",INDEX(TR_5ExemptionClaim[CRPF name],MATCH(TR_6RecyclingArranger[[#This Row],[ID_EC]],TR_5ExemptionClaim[ID_EC],0))))</f>
        <v/>
      </c>
      <c r="G70" s="45"/>
      <c r="H70" s="108"/>
      <c r="I70" s="47"/>
      <c r="J70" s="48"/>
      <c r="K70" s="47"/>
      <c r="L70" s="79">
        <f>IF(COUNTIFS(TR_6RecyclingArranger[ID_EC],TR_6RecyclingArranger[[#This Row],[ID_EC]],TR_6RecyclingArranger[Name of Third-Party Recycling Arranger],TR_6RecyclingArranger[[#This Row],[Name of Third-Party Recycling Arranger]])&gt;1,1,0)</f>
        <v>0</v>
      </c>
      <c r="M70" s="79">
        <f>IF(TR_6RecyclingArranger[[#This Row],[ID_EC]]="",0,IFERROR(0*MATCH(TR_6RecyclingArranger[[#This Row],[ID_EC]],TR_5ExemptionClaim[Lookup: for arranger tab],0),1))</f>
        <v>0</v>
      </c>
      <c r="N70" s="79">
        <f>IF(TR_6RecyclingArranger[[#This Row],[ID_EC]]="",0,IF(COUNTA(TR_6RecyclingArranger[[#This Row],[Name of Third-Party Recycling Arranger]],TR_6RecyclingArranger[[#This Row],[Pounds of Producer''s Material Recycled by this Recycling Arranger]:[Recycling Arranger Contact Email]])=7,0,1))</f>
        <v>0</v>
      </c>
      <c r="O70" s="79">
        <f>IF(TR_6RecyclingArranger[[#This Row],[ID_EC]]&lt;&gt;"",0,IF(COUNTA(TR_6RecyclingArranger[[#This Row],[Name of Third-Party Recycling Arranger]],TR_6RecyclingArranger[[#This Row],[Pounds of Producer''s Material Recycled by this Recycling Arranger]:[Recycling Arranger Contact Email]])&gt;0,1,0))</f>
        <v>0</v>
      </c>
      <c r="P70" s="79">
        <f>IF(TR_6RecyclingArranger[[#This Row],[Lookup: pounds (this table)]]&gt;TR_6RecyclingArranger[[#This Row],[Lookup: pounds (5B tab)]],1,0)</f>
        <v>0</v>
      </c>
      <c r="Q70" s="77">
        <f>SUMIFS(TR_6RecyclingArranger[Pounds of Producer''s Material Recycled by this Recycling Arranger],TR_6RecyclingArranger[ID_EC],TR_6RecyclingArranger[[#This Row],[ID_EC]])</f>
        <v>0</v>
      </c>
      <c r="R70" s="77">
        <f>IFERROR(INDEX(TR_5ExemptionClaim[How many of the pounds recycled through this pathway were supplied by this producer?],MATCH(TR_6RecyclingArranger[[#This Row],[ID_EC]],TR_5ExemptionClaim[ID_EC],0)),0)</f>
        <v>0</v>
      </c>
      <c r="S70" s="80" t="str">
        <f t="shared" ref="S70:S133" si="1">IF(DR_ProducerID=0,"",DR_ProducerID)</f>
        <v/>
      </c>
      <c r="T70" s="40"/>
      <c r="U70" s="58"/>
    </row>
    <row r="71" spans="1:21" ht="30.75" customHeight="1" x14ac:dyDescent="0.2">
      <c r="A71" s="82" t="s">
        <v>455</v>
      </c>
      <c r="B71" s="46"/>
      <c r="C71" s="113"/>
      <c r="D71" s="214" t="str">
        <f>IF(TR_6RecyclingArranger[[#This Row],[ID_EC]]="","",INDEX(TR_5ExemptionClaim[End Market Name],MATCH(TR_6RecyclingArranger[[#This Row],[ID_EC]],TR_5ExemptionClaim[ID_EC],0)))</f>
        <v/>
      </c>
      <c r="E71" s="214" t="str">
        <f>IF(TR_6RecyclingArranger[[#This Row],[ID_EC]]="","",INDEX(TR_5ExemptionClaim[Collection or Transportation Service Provider Name],MATCH(TR_6RecyclingArranger[[#This Row],[ID_EC]],TR_5ExemptionClaim[ID_EC],0)))</f>
        <v/>
      </c>
      <c r="F71" s="214" t="str">
        <f>IF(TR_6RecyclingArranger[[#This Row],[ID_EC]]="","",IF(INDEX(TR_5ExemptionClaim[CRPF name],MATCH(TR_6RecyclingArranger[[#This Row],[ID_EC]],TR_5ExemptionClaim[ID_EC],0))=0,"None",INDEX(TR_5ExemptionClaim[CRPF name],MATCH(TR_6RecyclingArranger[[#This Row],[ID_EC]],TR_5ExemptionClaim[ID_EC],0))))</f>
        <v/>
      </c>
      <c r="G71" s="45"/>
      <c r="H71" s="108"/>
      <c r="I71" s="47"/>
      <c r="J71" s="48"/>
      <c r="K71" s="47"/>
      <c r="L71" s="79">
        <f>IF(COUNTIFS(TR_6RecyclingArranger[ID_EC],TR_6RecyclingArranger[[#This Row],[ID_EC]],TR_6RecyclingArranger[Name of Third-Party Recycling Arranger],TR_6RecyclingArranger[[#This Row],[Name of Third-Party Recycling Arranger]])&gt;1,1,0)</f>
        <v>0</v>
      </c>
      <c r="M71" s="79">
        <f>IF(TR_6RecyclingArranger[[#This Row],[ID_EC]]="",0,IFERROR(0*MATCH(TR_6RecyclingArranger[[#This Row],[ID_EC]],TR_5ExemptionClaim[Lookup: for arranger tab],0),1))</f>
        <v>0</v>
      </c>
      <c r="N71" s="79">
        <f>IF(TR_6RecyclingArranger[[#This Row],[ID_EC]]="",0,IF(COUNTA(TR_6RecyclingArranger[[#This Row],[Name of Third-Party Recycling Arranger]],TR_6RecyclingArranger[[#This Row],[Pounds of Producer''s Material Recycled by this Recycling Arranger]:[Recycling Arranger Contact Email]])=7,0,1))</f>
        <v>0</v>
      </c>
      <c r="O71" s="79">
        <f>IF(TR_6RecyclingArranger[[#This Row],[ID_EC]]&lt;&gt;"",0,IF(COUNTA(TR_6RecyclingArranger[[#This Row],[Name of Third-Party Recycling Arranger]],TR_6RecyclingArranger[[#This Row],[Pounds of Producer''s Material Recycled by this Recycling Arranger]:[Recycling Arranger Contact Email]])&gt;0,1,0))</f>
        <v>0</v>
      </c>
      <c r="P71" s="79">
        <f>IF(TR_6RecyclingArranger[[#This Row],[Lookup: pounds (this table)]]&gt;TR_6RecyclingArranger[[#This Row],[Lookup: pounds (5B tab)]],1,0)</f>
        <v>0</v>
      </c>
      <c r="Q71" s="77">
        <f>SUMIFS(TR_6RecyclingArranger[Pounds of Producer''s Material Recycled by this Recycling Arranger],TR_6RecyclingArranger[ID_EC],TR_6RecyclingArranger[[#This Row],[ID_EC]])</f>
        <v>0</v>
      </c>
      <c r="R71" s="77">
        <f>IFERROR(INDEX(TR_5ExemptionClaim[How many of the pounds recycled through this pathway were supplied by this producer?],MATCH(TR_6RecyclingArranger[[#This Row],[ID_EC]],TR_5ExemptionClaim[ID_EC],0)),0)</f>
        <v>0</v>
      </c>
      <c r="S71" s="80" t="str">
        <f t="shared" si="1"/>
        <v/>
      </c>
      <c r="T71" s="40"/>
      <c r="U71" s="58"/>
    </row>
    <row r="72" spans="1:21" ht="30.75" customHeight="1" x14ac:dyDescent="0.2">
      <c r="A72" s="82" t="s">
        <v>456</v>
      </c>
      <c r="B72" s="46"/>
      <c r="C72" s="113"/>
      <c r="D72" s="214" t="str">
        <f>IF(TR_6RecyclingArranger[[#This Row],[ID_EC]]="","",INDEX(TR_5ExemptionClaim[End Market Name],MATCH(TR_6RecyclingArranger[[#This Row],[ID_EC]],TR_5ExemptionClaim[ID_EC],0)))</f>
        <v/>
      </c>
      <c r="E72" s="214" t="str">
        <f>IF(TR_6RecyclingArranger[[#This Row],[ID_EC]]="","",INDEX(TR_5ExemptionClaim[Collection or Transportation Service Provider Name],MATCH(TR_6RecyclingArranger[[#This Row],[ID_EC]],TR_5ExemptionClaim[ID_EC],0)))</f>
        <v/>
      </c>
      <c r="F72" s="214" t="str">
        <f>IF(TR_6RecyclingArranger[[#This Row],[ID_EC]]="","",IF(INDEX(TR_5ExemptionClaim[CRPF name],MATCH(TR_6RecyclingArranger[[#This Row],[ID_EC]],TR_5ExemptionClaim[ID_EC],0))=0,"None",INDEX(TR_5ExemptionClaim[CRPF name],MATCH(TR_6RecyclingArranger[[#This Row],[ID_EC]],TR_5ExemptionClaim[ID_EC],0))))</f>
        <v/>
      </c>
      <c r="G72" s="45"/>
      <c r="H72" s="108"/>
      <c r="I72" s="47"/>
      <c r="J72" s="48"/>
      <c r="K72" s="47"/>
      <c r="L72" s="79">
        <f>IF(COUNTIFS(TR_6RecyclingArranger[ID_EC],TR_6RecyclingArranger[[#This Row],[ID_EC]],TR_6RecyclingArranger[Name of Third-Party Recycling Arranger],TR_6RecyclingArranger[[#This Row],[Name of Third-Party Recycling Arranger]])&gt;1,1,0)</f>
        <v>0</v>
      </c>
      <c r="M72" s="79">
        <f>IF(TR_6RecyclingArranger[[#This Row],[ID_EC]]="",0,IFERROR(0*MATCH(TR_6RecyclingArranger[[#This Row],[ID_EC]],TR_5ExemptionClaim[Lookup: for arranger tab],0),1))</f>
        <v>0</v>
      </c>
      <c r="N72" s="79">
        <f>IF(TR_6RecyclingArranger[[#This Row],[ID_EC]]="",0,IF(COUNTA(TR_6RecyclingArranger[[#This Row],[Name of Third-Party Recycling Arranger]],TR_6RecyclingArranger[[#This Row],[Pounds of Producer''s Material Recycled by this Recycling Arranger]:[Recycling Arranger Contact Email]])=7,0,1))</f>
        <v>0</v>
      </c>
      <c r="O72" s="79">
        <f>IF(TR_6RecyclingArranger[[#This Row],[ID_EC]]&lt;&gt;"",0,IF(COUNTA(TR_6RecyclingArranger[[#This Row],[Name of Third-Party Recycling Arranger]],TR_6RecyclingArranger[[#This Row],[Pounds of Producer''s Material Recycled by this Recycling Arranger]:[Recycling Arranger Contact Email]])&gt;0,1,0))</f>
        <v>0</v>
      </c>
      <c r="P72" s="79">
        <f>IF(TR_6RecyclingArranger[[#This Row],[Lookup: pounds (this table)]]&gt;TR_6RecyclingArranger[[#This Row],[Lookup: pounds (5B tab)]],1,0)</f>
        <v>0</v>
      </c>
      <c r="Q72" s="77">
        <f>SUMIFS(TR_6RecyclingArranger[Pounds of Producer''s Material Recycled by this Recycling Arranger],TR_6RecyclingArranger[ID_EC],TR_6RecyclingArranger[[#This Row],[ID_EC]])</f>
        <v>0</v>
      </c>
      <c r="R72" s="77">
        <f>IFERROR(INDEX(TR_5ExemptionClaim[How many of the pounds recycled through this pathway were supplied by this producer?],MATCH(TR_6RecyclingArranger[[#This Row],[ID_EC]],TR_5ExemptionClaim[ID_EC],0)),0)</f>
        <v>0</v>
      </c>
      <c r="S72" s="80" t="str">
        <f t="shared" si="1"/>
        <v/>
      </c>
      <c r="T72" s="40"/>
      <c r="U72" s="58"/>
    </row>
    <row r="73" spans="1:21" ht="30.75" customHeight="1" x14ac:dyDescent="0.2">
      <c r="A73" s="82" t="s">
        <v>457</v>
      </c>
      <c r="B73" s="46"/>
      <c r="C73" s="113"/>
      <c r="D73" s="214" t="str">
        <f>IF(TR_6RecyclingArranger[[#This Row],[ID_EC]]="","",INDEX(TR_5ExemptionClaim[End Market Name],MATCH(TR_6RecyclingArranger[[#This Row],[ID_EC]],TR_5ExemptionClaim[ID_EC],0)))</f>
        <v/>
      </c>
      <c r="E73" s="214" t="str">
        <f>IF(TR_6RecyclingArranger[[#This Row],[ID_EC]]="","",INDEX(TR_5ExemptionClaim[Collection or Transportation Service Provider Name],MATCH(TR_6RecyclingArranger[[#This Row],[ID_EC]],TR_5ExemptionClaim[ID_EC],0)))</f>
        <v/>
      </c>
      <c r="F73" s="214" t="str">
        <f>IF(TR_6RecyclingArranger[[#This Row],[ID_EC]]="","",IF(INDEX(TR_5ExemptionClaim[CRPF name],MATCH(TR_6RecyclingArranger[[#This Row],[ID_EC]],TR_5ExemptionClaim[ID_EC],0))=0,"None",INDEX(TR_5ExemptionClaim[CRPF name],MATCH(TR_6RecyclingArranger[[#This Row],[ID_EC]],TR_5ExemptionClaim[ID_EC],0))))</f>
        <v/>
      </c>
      <c r="G73" s="45"/>
      <c r="H73" s="108"/>
      <c r="I73" s="47"/>
      <c r="J73" s="48"/>
      <c r="K73" s="47"/>
      <c r="L73" s="79">
        <f>IF(COUNTIFS(TR_6RecyclingArranger[ID_EC],TR_6RecyclingArranger[[#This Row],[ID_EC]],TR_6RecyclingArranger[Name of Third-Party Recycling Arranger],TR_6RecyclingArranger[[#This Row],[Name of Third-Party Recycling Arranger]])&gt;1,1,0)</f>
        <v>0</v>
      </c>
      <c r="M73" s="79">
        <f>IF(TR_6RecyclingArranger[[#This Row],[ID_EC]]="",0,IFERROR(0*MATCH(TR_6RecyclingArranger[[#This Row],[ID_EC]],TR_5ExemptionClaim[Lookup: for arranger tab],0),1))</f>
        <v>0</v>
      </c>
      <c r="N73" s="79">
        <f>IF(TR_6RecyclingArranger[[#This Row],[ID_EC]]="",0,IF(COUNTA(TR_6RecyclingArranger[[#This Row],[Name of Third-Party Recycling Arranger]],TR_6RecyclingArranger[[#This Row],[Pounds of Producer''s Material Recycled by this Recycling Arranger]:[Recycling Arranger Contact Email]])=7,0,1))</f>
        <v>0</v>
      </c>
      <c r="O73" s="79">
        <f>IF(TR_6RecyclingArranger[[#This Row],[ID_EC]]&lt;&gt;"",0,IF(COUNTA(TR_6RecyclingArranger[[#This Row],[Name of Third-Party Recycling Arranger]],TR_6RecyclingArranger[[#This Row],[Pounds of Producer''s Material Recycled by this Recycling Arranger]:[Recycling Arranger Contact Email]])&gt;0,1,0))</f>
        <v>0</v>
      </c>
      <c r="P73" s="79">
        <f>IF(TR_6RecyclingArranger[[#This Row],[Lookup: pounds (this table)]]&gt;TR_6RecyclingArranger[[#This Row],[Lookup: pounds (5B tab)]],1,0)</f>
        <v>0</v>
      </c>
      <c r="Q73" s="77">
        <f>SUMIFS(TR_6RecyclingArranger[Pounds of Producer''s Material Recycled by this Recycling Arranger],TR_6RecyclingArranger[ID_EC],TR_6RecyclingArranger[[#This Row],[ID_EC]])</f>
        <v>0</v>
      </c>
      <c r="R73" s="77">
        <f>IFERROR(INDEX(TR_5ExemptionClaim[How many of the pounds recycled through this pathway were supplied by this producer?],MATCH(TR_6RecyclingArranger[[#This Row],[ID_EC]],TR_5ExemptionClaim[ID_EC],0)),0)</f>
        <v>0</v>
      </c>
      <c r="S73" s="80" t="str">
        <f t="shared" si="1"/>
        <v/>
      </c>
      <c r="T73" s="40"/>
      <c r="U73" s="58"/>
    </row>
    <row r="74" spans="1:21" ht="30.75" customHeight="1" x14ac:dyDescent="0.2">
      <c r="A74" s="82" t="s">
        <v>458</v>
      </c>
      <c r="B74" s="46"/>
      <c r="C74" s="113"/>
      <c r="D74" s="214" t="str">
        <f>IF(TR_6RecyclingArranger[[#This Row],[ID_EC]]="","",INDEX(TR_5ExemptionClaim[End Market Name],MATCH(TR_6RecyclingArranger[[#This Row],[ID_EC]],TR_5ExemptionClaim[ID_EC],0)))</f>
        <v/>
      </c>
      <c r="E74" s="214" t="str">
        <f>IF(TR_6RecyclingArranger[[#This Row],[ID_EC]]="","",INDEX(TR_5ExemptionClaim[Collection or Transportation Service Provider Name],MATCH(TR_6RecyclingArranger[[#This Row],[ID_EC]],TR_5ExemptionClaim[ID_EC],0)))</f>
        <v/>
      </c>
      <c r="F74" s="214" t="str">
        <f>IF(TR_6RecyclingArranger[[#This Row],[ID_EC]]="","",IF(INDEX(TR_5ExemptionClaim[CRPF name],MATCH(TR_6RecyclingArranger[[#This Row],[ID_EC]],TR_5ExemptionClaim[ID_EC],0))=0,"None",INDEX(TR_5ExemptionClaim[CRPF name],MATCH(TR_6RecyclingArranger[[#This Row],[ID_EC]],TR_5ExemptionClaim[ID_EC],0))))</f>
        <v/>
      </c>
      <c r="G74" s="45"/>
      <c r="H74" s="108"/>
      <c r="I74" s="47"/>
      <c r="J74" s="48"/>
      <c r="K74" s="47"/>
      <c r="L74" s="79">
        <f>IF(COUNTIFS(TR_6RecyclingArranger[ID_EC],TR_6RecyclingArranger[[#This Row],[ID_EC]],TR_6RecyclingArranger[Name of Third-Party Recycling Arranger],TR_6RecyclingArranger[[#This Row],[Name of Third-Party Recycling Arranger]])&gt;1,1,0)</f>
        <v>0</v>
      </c>
      <c r="M74" s="79">
        <f>IF(TR_6RecyclingArranger[[#This Row],[ID_EC]]="",0,IFERROR(0*MATCH(TR_6RecyclingArranger[[#This Row],[ID_EC]],TR_5ExemptionClaim[Lookup: for arranger tab],0),1))</f>
        <v>0</v>
      </c>
      <c r="N74" s="79">
        <f>IF(TR_6RecyclingArranger[[#This Row],[ID_EC]]="",0,IF(COUNTA(TR_6RecyclingArranger[[#This Row],[Name of Third-Party Recycling Arranger]],TR_6RecyclingArranger[[#This Row],[Pounds of Producer''s Material Recycled by this Recycling Arranger]:[Recycling Arranger Contact Email]])=7,0,1))</f>
        <v>0</v>
      </c>
      <c r="O74" s="79">
        <f>IF(TR_6RecyclingArranger[[#This Row],[ID_EC]]&lt;&gt;"",0,IF(COUNTA(TR_6RecyclingArranger[[#This Row],[Name of Third-Party Recycling Arranger]],TR_6RecyclingArranger[[#This Row],[Pounds of Producer''s Material Recycled by this Recycling Arranger]:[Recycling Arranger Contact Email]])&gt;0,1,0))</f>
        <v>0</v>
      </c>
      <c r="P74" s="79">
        <f>IF(TR_6RecyclingArranger[[#This Row],[Lookup: pounds (this table)]]&gt;TR_6RecyclingArranger[[#This Row],[Lookup: pounds (5B tab)]],1,0)</f>
        <v>0</v>
      </c>
      <c r="Q74" s="77">
        <f>SUMIFS(TR_6RecyclingArranger[Pounds of Producer''s Material Recycled by this Recycling Arranger],TR_6RecyclingArranger[ID_EC],TR_6RecyclingArranger[[#This Row],[ID_EC]])</f>
        <v>0</v>
      </c>
      <c r="R74" s="77">
        <f>IFERROR(INDEX(TR_5ExemptionClaim[How many of the pounds recycled through this pathway were supplied by this producer?],MATCH(TR_6RecyclingArranger[[#This Row],[ID_EC]],TR_5ExemptionClaim[ID_EC],0)),0)</f>
        <v>0</v>
      </c>
      <c r="S74" s="80" t="str">
        <f t="shared" si="1"/>
        <v/>
      </c>
      <c r="T74" s="40"/>
      <c r="U74" s="58"/>
    </row>
    <row r="75" spans="1:21" ht="30.75" customHeight="1" x14ac:dyDescent="0.2">
      <c r="A75" s="82" t="s">
        <v>459</v>
      </c>
      <c r="B75" s="46"/>
      <c r="C75" s="113"/>
      <c r="D75" s="214" t="str">
        <f>IF(TR_6RecyclingArranger[[#This Row],[ID_EC]]="","",INDEX(TR_5ExemptionClaim[End Market Name],MATCH(TR_6RecyclingArranger[[#This Row],[ID_EC]],TR_5ExemptionClaim[ID_EC],0)))</f>
        <v/>
      </c>
      <c r="E75" s="214" t="str">
        <f>IF(TR_6RecyclingArranger[[#This Row],[ID_EC]]="","",INDEX(TR_5ExemptionClaim[Collection or Transportation Service Provider Name],MATCH(TR_6RecyclingArranger[[#This Row],[ID_EC]],TR_5ExemptionClaim[ID_EC],0)))</f>
        <v/>
      </c>
      <c r="F75" s="214" t="str">
        <f>IF(TR_6RecyclingArranger[[#This Row],[ID_EC]]="","",IF(INDEX(TR_5ExemptionClaim[CRPF name],MATCH(TR_6RecyclingArranger[[#This Row],[ID_EC]],TR_5ExemptionClaim[ID_EC],0))=0,"None",INDEX(TR_5ExemptionClaim[CRPF name],MATCH(TR_6RecyclingArranger[[#This Row],[ID_EC]],TR_5ExemptionClaim[ID_EC],0))))</f>
        <v/>
      </c>
      <c r="G75" s="45"/>
      <c r="H75" s="108"/>
      <c r="I75" s="47"/>
      <c r="J75" s="48"/>
      <c r="K75" s="47"/>
      <c r="L75" s="79">
        <f>IF(COUNTIFS(TR_6RecyclingArranger[ID_EC],TR_6RecyclingArranger[[#This Row],[ID_EC]],TR_6RecyclingArranger[Name of Third-Party Recycling Arranger],TR_6RecyclingArranger[[#This Row],[Name of Third-Party Recycling Arranger]])&gt;1,1,0)</f>
        <v>0</v>
      </c>
      <c r="M75" s="79">
        <f>IF(TR_6RecyclingArranger[[#This Row],[ID_EC]]="",0,IFERROR(0*MATCH(TR_6RecyclingArranger[[#This Row],[ID_EC]],TR_5ExemptionClaim[Lookup: for arranger tab],0),1))</f>
        <v>0</v>
      </c>
      <c r="N75" s="79">
        <f>IF(TR_6RecyclingArranger[[#This Row],[ID_EC]]="",0,IF(COUNTA(TR_6RecyclingArranger[[#This Row],[Name of Third-Party Recycling Arranger]],TR_6RecyclingArranger[[#This Row],[Pounds of Producer''s Material Recycled by this Recycling Arranger]:[Recycling Arranger Contact Email]])=7,0,1))</f>
        <v>0</v>
      </c>
      <c r="O75" s="79">
        <f>IF(TR_6RecyclingArranger[[#This Row],[ID_EC]]&lt;&gt;"",0,IF(COUNTA(TR_6RecyclingArranger[[#This Row],[Name of Third-Party Recycling Arranger]],TR_6RecyclingArranger[[#This Row],[Pounds of Producer''s Material Recycled by this Recycling Arranger]:[Recycling Arranger Contact Email]])&gt;0,1,0))</f>
        <v>0</v>
      </c>
      <c r="P75" s="79">
        <f>IF(TR_6RecyclingArranger[[#This Row],[Lookup: pounds (this table)]]&gt;TR_6RecyclingArranger[[#This Row],[Lookup: pounds (5B tab)]],1,0)</f>
        <v>0</v>
      </c>
      <c r="Q75" s="77">
        <f>SUMIFS(TR_6RecyclingArranger[Pounds of Producer''s Material Recycled by this Recycling Arranger],TR_6RecyclingArranger[ID_EC],TR_6RecyclingArranger[[#This Row],[ID_EC]])</f>
        <v>0</v>
      </c>
      <c r="R75" s="77">
        <f>IFERROR(INDEX(TR_5ExemptionClaim[How many of the pounds recycled through this pathway were supplied by this producer?],MATCH(TR_6RecyclingArranger[[#This Row],[ID_EC]],TR_5ExemptionClaim[ID_EC],0)),0)</f>
        <v>0</v>
      </c>
      <c r="S75" s="80" t="str">
        <f t="shared" si="1"/>
        <v/>
      </c>
      <c r="T75" s="40"/>
      <c r="U75" s="58"/>
    </row>
    <row r="76" spans="1:21" ht="30.75" customHeight="1" x14ac:dyDescent="0.2">
      <c r="A76" s="82" t="s">
        <v>460</v>
      </c>
      <c r="B76" s="46"/>
      <c r="C76" s="113"/>
      <c r="D76" s="214" t="str">
        <f>IF(TR_6RecyclingArranger[[#This Row],[ID_EC]]="","",INDEX(TR_5ExemptionClaim[End Market Name],MATCH(TR_6RecyclingArranger[[#This Row],[ID_EC]],TR_5ExemptionClaim[ID_EC],0)))</f>
        <v/>
      </c>
      <c r="E76" s="214" t="str">
        <f>IF(TR_6RecyclingArranger[[#This Row],[ID_EC]]="","",INDEX(TR_5ExemptionClaim[Collection or Transportation Service Provider Name],MATCH(TR_6RecyclingArranger[[#This Row],[ID_EC]],TR_5ExemptionClaim[ID_EC],0)))</f>
        <v/>
      </c>
      <c r="F76" s="214" t="str">
        <f>IF(TR_6RecyclingArranger[[#This Row],[ID_EC]]="","",IF(INDEX(TR_5ExemptionClaim[CRPF name],MATCH(TR_6RecyclingArranger[[#This Row],[ID_EC]],TR_5ExemptionClaim[ID_EC],0))=0,"None",INDEX(TR_5ExemptionClaim[CRPF name],MATCH(TR_6RecyclingArranger[[#This Row],[ID_EC]],TR_5ExemptionClaim[ID_EC],0))))</f>
        <v/>
      </c>
      <c r="G76" s="45"/>
      <c r="H76" s="108"/>
      <c r="I76" s="47"/>
      <c r="J76" s="48"/>
      <c r="K76" s="47"/>
      <c r="L76" s="79">
        <f>IF(COUNTIFS(TR_6RecyclingArranger[ID_EC],TR_6RecyclingArranger[[#This Row],[ID_EC]],TR_6RecyclingArranger[Name of Third-Party Recycling Arranger],TR_6RecyclingArranger[[#This Row],[Name of Third-Party Recycling Arranger]])&gt;1,1,0)</f>
        <v>0</v>
      </c>
      <c r="M76" s="79">
        <f>IF(TR_6RecyclingArranger[[#This Row],[ID_EC]]="",0,IFERROR(0*MATCH(TR_6RecyclingArranger[[#This Row],[ID_EC]],TR_5ExemptionClaim[Lookup: for arranger tab],0),1))</f>
        <v>0</v>
      </c>
      <c r="N76" s="79">
        <f>IF(TR_6RecyclingArranger[[#This Row],[ID_EC]]="",0,IF(COUNTA(TR_6RecyclingArranger[[#This Row],[Name of Third-Party Recycling Arranger]],TR_6RecyclingArranger[[#This Row],[Pounds of Producer''s Material Recycled by this Recycling Arranger]:[Recycling Arranger Contact Email]])=7,0,1))</f>
        <v>0</v>
      </c>
      <c r="O76" s="79">
        <f>IF(TR_6RecyclingArranger[[#This Row],[ID_EC]]&lt;&gt;"",0,IF(COUNTA(TR_6RecyclingArranger[[#This Row],[Name of Third-Party Recycling Arranger]],TR_6RecyclingArranger[[#This Row],[Pounds of Producer''s Material Recycled by this Recycling Arranger]:[Recycling Arranger Contact Email]])&gt;0,1,0))</f>
        <v>0</v>
      </c>
      <c r="P76" s="79">
        <f>IF(TR_6RecyclingArranger[[#This Row],[Lookup: pounds (this table)]]&gt;TR_6RecyclingArranger[[#This Row],[Lookup: pounds (5B tab)]],1,0)</f>
        <v>0</v>
      </c>
      <c r="Q76" s="77">
        <f>SUMIFS(TR_6RecyclingArranger[Pounds of Producer''s Material Recycled by this Recycling Arranger],TR_6RecyclingArranger[ID_EC],TR_6RecyclingArranger[[#This Row],[ID_EC]])</f>
        <v>0</v>
      </c>
      <c r="R76" s="77">
        <f>IFERROR(INDEX(TR_5ExemptionClaim[How many of the pounds recycled through this pathway were supplied by this producer?],MATCH(TR_6RecyclingArranger[[#This Row],[ID_EC]],TR_5ExemptionClaim[ID_EC],0)),0)</f>
        <v>0</v>
      </c>
      <c r="S76" s="80" t="str">
        <f t="shared" si="1"/>
        <v/>
      </c>
      <c r="T76" s="40"/>
      <c r="U76" s="58"/>
    </row>
    <row r="77" spans="1:21" ht="30.75" customHeight="1" x14ac:dyDescent="0.2">
      <c r="A77" s="82" t="s">
        <v>461</v>
      </c>
      <c r="B77" s="46"/>
      <c r="C77" s="113"/>
      <c r="D77" s="214" t="str">
        <f>IF(TR_6RecyclingArranger[[#This Row],[ID_EC]]="","",INDEX(TR_5ExemptionClaim[End Market Name],MATCH(TR_6RecyclingArranger[[#This Row],[ID_EC]],TR_5ExemptionClaim[ID_EC],0)))</f>
        <v/>
      </c>
      <c r="E77" s="214" t="str">
        <f>IF(TR_6RecyclingArranger[[#This Row],[ID_EC]]="","",INDEX(TR_5ExemptionClaim[Collection or Transportation Service Provider Name],MATCH(TR_6RecyclingArranger[[#This Row],[ID_EC]],TR_5ExemptionClaim[ID_EC],0)))</f>
        <v/>
      </c>
      <c r="F77" s="214" t="str">
        <f>IF(TR_6RecyclingArranger[[#This Row],[ID_EC]]="","",IF(INDEX(TR_5ExemptionClaim[CRPF name],MATCH(TR_6RecyclingArranger[[#This Row],[ID_EC]],TR_5ExemptionClaim[ID_EC],0))=0,"None",INDEX(TR_5ExemptionClaim[CRPF name],MATCH(TR_6RecyclingArranger[[#This Row],[ID_EC]],TR_5ExemptionClaim[ID_EC],0))))</f>
        <v/>
      </c>
      <c r="G77" s="45"/>
      <c r="H77" s="108"/>
      <c r="I77" s="47"/>
      <c r="J77" s="48"/>
      <c r="K77" s="47"/>
      <c r="L77" s="79">
        <f>IF(COUNTIFS(TR_6RecyclingArranger[ID_EC],TR_6RecyclingArranger[[#This Row],[ID_EC]],TR_6RecyclingArranger[Name of Third-Party Recycling Arranger],TR_6RecyclingArranger[[#This Row],[Name of Third-Party Recycling Arranger]])&gt;1,1,0)</f>
        <v>0</v>
      </c>
      <c r="M77" s="79">
        <f>IF(TR_6RecyclingArranger[[#This Row],[ID_EC]]="",0,IFERROR(0*MATCH(TR_6RecyclingArranger[[#This Row],[ID_EC]],TR_5ExemptionClaim[Lookup: for arranger tab],0),1))</f>
        <v>0</v>
      </c>
      <c r="N77" s="79">
        <f>IF(TR_6RecyclingArranger[[#This Row],[ID_EC]]="",0,IF(COUNTA(TR_6RecyclingArranger[[#This Row],[Name of Third-Party Recycling Arranger]],TR_6RecyclingArranger[[#This Row],[Pounds of Producer''s Material Recycled by this Recycling Arranger]:[Recycling Arranger Contact Email]])=7,0,1))</f>
        <v>0</v>
      </c>
      <c r="O77" s="79">
        <f>IF(TR_6RecyclingArranger[[#This Row],[ID_EC]]&lt;&gt;"",0,IF(COUNTA(TR_6RecyclingArranger[[#This Row],[Name of Third-Party Recycling Arranger]],TR_6RecyclingArranger[[#This Row],[Pounds of Producer''s Material Recycled by this Recycling Arranger]:[Recycling Arranger Contact Email]])&gt;0,1,0))</f>
        <v>0</v>
      </c>
      <c r="P77" s="79">
        <f>IF(TR_6RecyclingArranger[[#This Row],[Lookup: pounds (this table)]]&gt;TR_6RecyclingArranger[[#This Row],[Lookup: pounds (5B tab)]],1,0)</f>
        <v>0</v>
      </c>
      <c r="Q77" s="77">
        <f>SUMIFS(TR_6RecyclingArranger[Pounds of Producer''s Material Recycled by this Recycling Arranger],TR_6RecyclingArranger[ID_EC],TR_6RecyclingArranger[[#This Row],[ID_EC]])</f>
        <v>0</v>
      </c>
      <c r="R77" s="77">
        <f>IFERROR(INDEX(TR_5ExemptionClaim[How many of the pounds recycled through this pathway were supplied by this producer?],MATCH(TR_6RecyclingArranger[[#This Row],[ID_EC]],TR_5ExemptionClaim[ID_EC],0)),0)</f>
        <v>0</v>
      </c>
      <c r="S77" s="80" t="str">
        <f t="shared" si="1"/>
        <v/>
      </c>
      <c r="T77" s="40"/>
      <c r="U77" s="58"/>
    </row>
    <row r="78" spans="1:21" ht="30.75" customHeight="1" x14ac:dyDescent="0.2">
      <c r="A78" s="82" t="s">
        <v>462</v>
      </c>
      <c r="B78" s="46"/>
      <c r="C78" s="113"/>
      <c r="D78" s="214" t="str">
        <f>IF(TR_6RecyclingArranger[[#This Row],[ID_EC]]="","",INDEX(TR_5ExemptionClaim[End Market Name],MATCH(TR_6RecyclingArranger[[#This Row],[ID_EC]],TR_5ExemptionClaim[ID_EC],0)))</f>
        <v/>
      </c>
      <c r="E78" s="214" t="str">
        <f>IF(TR_6RecyclingArranger[[#This Row],[ID_EC]]="","",INDEX(TR_5ExemptionClaim[Collection or Transportation Service Provider Name],MATCH(TR_6RecyclingArranger[[#This Row],[ID_EC]],TR_5ExemptionClaim[ID_EC],0)))</f>
        <v/>
      </c>
      <c r="F78" s="214" t="str">
        <f>IF(TR_6RecyclingArranger[[#This Row],[ID_EC]]="","",IF(INDEX(TR_5ExemptionClaim[CRPF name],MATCH(TR_6RecyclingArranger[[#This Row],[ID_EC]],TR_5ExemptionClaim[ID_EC],0))=0,"None",INDEX(TR_5ExemptionClaim[CRPF name],MATCH(TR_6RecyclingArranger[[#This Row],[ID_EC]],TR_5ExemptionClaim[ID_EC],0))))</f>
        <v/>
      </c>
      <c r="G78" s="45"/>
      <c r="H78" s="108"/>
      <c r="I78" s="47"/>
      <c r="J78" s="48"/>
      <c r="K78" s="47"/>
      <c r="L78" s="79">
        <f>IF(COUNTIFS(TR_6RecyclingArranger[ID_EC],TR_6RecyclingArranger[[#This Row],[ID_EC]],TR_6RecyclingArranger[Name of Third-Party Recycling Arranger],TR_6RecyclingArranger[[#This Row],[Name of Third-Party Recycling Arranger]])&gt;1,1,0)</f>
        <v>0</v>
      </c>
      <c r="M78" s="79">
        <f>IF(TR_6RecyclingArranger[[#This Row],[ID_EC]]="",0,IFERROR(0*MATCH(TR_6RecyclingArranger[[#This Row],[ID_EC]],TR_5ExemptionClaim[Lookup: for arranger tab],0),1))</f>
        <v>0</v>
      </c>
      <c r="N78" s="79">
        <f>IF(TR_6RecyclingArranger[[#This Row],[ID_EC]]="",0,IF(COUNTA(TR_6RecyclingArranger[[#This Row],[Name of Third-Party Recycling Arranger]],TR_6RecyclingArranger[[#This Row],[Pounds of Producer''s Material Recycled by this Recycling Arranger]:[Recycling Arranger Contact Email]])=7,0,1))</f>
        <v>0</v>
      </c>
      <c r="O78" s="79">
        <f>IF(TR_6RecyclingArranger[[#This Row],[ID_EC]]&lt;&gt;"",0,IF(COUNTA(TR_6RecyclingArranger[[#This Row],[Name of Third-Party Recycling Arranger]],TR_6RecyclingArranger[[#This Row],[Pounds of Producer''s Material Recycled by this Recycling Arranger]:[Recycling Arranger Contact Email]])&gt;0,1,0))</f>
        <v>0</v>
      </c>
      <c r="P78" s="79">
        <f>IF(TR_6RecyclingArranger[[#This Row],[Lookup: pounds (this table)]]&gt;TR_6RecyclingArranger[[#This Row],[Lookup: pounds (5B tab)]],1,0)</f>
        <v>0</v>
      </c>
      <c r="Q78" s="77">
        <f>SUMIFS(TR_6RecyclingArranger[Pounds of Producer''s Material Recycled by this Recycling Arranger],TR_6RecyclingArranger[ID_EC],TR_6RecyclingArranger[[#This Row],[ID_EC]])</f>
        <v>0</v>
      </c>
      <c r="R78" s="77">
        <f>IFERROR(INDEX(TR_5ExemptionClaim[How many of the pounds recycled through this pathway were supplied by this producer?],MATCH(TR_6RecyclingArranger[[#This Row],[ID_EC]],TR_5ExemptionClaim[ID_EC],0)),0)</f>
        <v>0</v>
      </c>
      <c r="S78" s="80" t="str">
        <f t="shared" si="1"/>
        <v/>
      </c>
      <c r="T78" s="40"/>
      <c r="U78" s="58"/>
    </row>
    <row r="79" spans="1:21" ht="30.75" customHeight="1" x14ac:dyDescent="0.2">
      <c r="A79" s="82" t="s">
        <v>463</v>
      </c>
      <c r="B79" s="46"/>
      <c r="C79" s="113"/>
      <c r="D79" s="214" t="str">
        <f>IF(TR_6RecyclingArranger[[#This Row],[ID_EC]]="","",INDEX(TR_5ExemptionClaim[End Market Name],MATCH(TR_6RecyclingArranger[[#This Row],[ID_EC]],TR_5ExemptionClaim[ID_EC],0)))</f>
        <v/>
      </c>
      <c r="E79" s="214" t="str">
        <f>IF(TR_6RecyclingArranger[[#This Row],[ID_EC]]="","",INDEX(TR_5ExemptionClaim[Collection or Transportation Service Provider Name],MATCH(TR_6RecyclingArranger[[#This Row],[ID_EC]],TR_5ExemptionClaim[ID_EC],0)))</f>
        <v/>
      </c>
      <c r="F79" s="214" t="str">
        <f>IF(TR_6RecyclingArranger[[#This Row],[ID_EC]]="","",IF(INDEX(TR_5ExemptionClaim[CRPF name],MATCH(TR_6RecyclingArranger[[#This Row],[ID_EC]],TR_5ExemptionClaim[ID_EC],0))=0,"None",INDEX(TR_5ExemptionClaim[CRPF name],MATCH(TR_6RecyclingArranger[[#This Row],[ID_EC]],TR_5ExemptionClaim[ID_EC],0))))</f>
        <v/>
      </c>
      <c r="G79" s="45"/>
      <c r="H79" s="108"/>
      <c r="I79" s="47"/>
      <c r="J79" s="48"/>
      <c r="K79" s="47"/>
      <c r="L79" s="79">
        <f>IF(COUNTIFS(TR_6RecyclingArranger[ID_EC],TR_6RecyclingArranger[[#This Row],[ID_EC]],TR_6RecyclingArranger[Name of Third-Party Recycling Arranger],TR_6RecyclingArranger[[#This Row],[Name of Third-Party Recycling Arranger]])&gt;1,1,0)</f>
        <v>0</v>
      </c>
      <c r="M79" s="79">
        <f>IF(TR_6RecyclingArranger[[#This Row],[ID_EC]]="",0,IFERROR(0*MATCH(TR_6RecyclingArranger[[#This Row],[ID_EC]],TR_5ExemptionClaim[Lookup: for arranger tab],0),1))</f>
        <v>0</v>
      </c>
      <c r="N79" s="79">
        <f>IF(TR_6RecyclingArranger[[#This Row],[ID_EC]]="",0,IF(COUNTA(TR_6RecyclingArranger[[#This Row],[Name of Third-Party Recycling Arranger]],TR_6RecyclingArranger[[#This Row],[Pounds of Producer''s Material Recycled by this Recycling Arranger]:[Recycling Arranger Contact Email]])=7,0,1))</f>
        <v>0</v>
      </c>
      <c r="O79" s="79">
        <f>IF(TR_6RecyclingArranger[[#This Row],[ID_EC]]&lt;&gt;"",0,IF(COUNTA(TR_6RecyclingArranger[[#This Row],[Name of Third-Party Recycling Arranger]],TR_6RecyclingArranger[[#This Row],[Pounds of Producer''s Material Recycled by this Recycling Arranger]:[Recycling Arranger Contact Email]])&gt;0,1,0))</f>
        <v>0</v>
      </c>
      <c r="P79" s="79">
        <f>IF(TR_6RecyclingArranger[[#This Row],[Lookup: pounds (this table)]]&gt;TR_6RecyclingArranger[[#This Row],[Lookup: pounds (5B tab)]],1,0)</f>
        <v>0</v>
      </c>
      <c r="Q79" s="77">
        <f>SUMIFS(TR_6RecyclingArranger[Pounds of Producer''s Material Recycled by this Recycling Arranger],TR_6RecyclingArranger[ID_EC],TR_6RecyclingArranger[[#This Row],[ID_EC]])</f>
        <v>0</v>
      </c>
      <c r="R79" s="77">
        <f>IFERROR(INDEX(TR_5ExemptionClaim[How many of the pounds recycled through this pathway were supplied by this producer?],MATCH(TR_6RecyclingArranger[[#This Row],[ID_EC]],TR_5ExemptionClaim[ID_EC],0)),0)</f>
        <v>0</v>
      </c>
      <c r="S79" s="80" t="str">
        <f t="shared" si="1"/>
        <v/>
      </c>
      <c r="T79" s="40"/>
      <c r="U79" s="58"/>
    </row>
    <row r="80" spans="1:21" ht="30.75" customHeight="1" x14ac:dyDescent="0.2">
      <c r="A80" s="82" t="s">
        <v>464</v>
      </c>
      <c r="B80" s="46"/>
      <c r="C80" s="113"/>
      <c r="D80" s="214" t="str">
        <f>IF(TR_6RecyclingArranger[[#This Row],[ID_EC]]="","",INDEX(TR_5ExemptionClaim[End Market Name],MATCH(TR_6RecyclingArranger[[#This Row],[ID_EC]],TR_5ExemptionClaim[ID_EC],0)))</f>
        <v/>
      </c>
      <c r="E80" s="214" t="str">
        <f>IF(TR_6RecyclingArranger[[#This Row],[ID_EC]]="","",INDEX(TR_5ExemptionClaim[Collection or Transportation Service Provider Name],MATCH(TR_6RecyclingArranger[[#This Row],[ID_EC]],TR_5ExemptionClaim[ID_EC],0)))</f>
        <v/>
      </c>
      <c r="F80" s="214" t="str">
        <f>IF(TR_6RecyclingArranger[[#This Row],[ID_EC]]="","",IF(INDEX(TR_5ExemptionClaim[CRPF name],MATCH(TR_6RecyclingArranger[[#This Row],[ID_EC]],TR_5ExemptionClaim[ID_EC],0))=0,"None",INDEX(TR_5ExemptionClaim[CRPF name],MATCH(TR_6RecyclingArranger[[#This Row],[ID_EC]],TR_5ExemptionClaim[ID_EC],0))))</f>
        <v/>
      </c>
      <c r="G80" s="45"/>
      <c r="H80" s="108"/>
      <c r="I80" s="47"/>
      <c r="J80" s="48"/>
      <c r="K80" s="47"/>
      <c r="L80" s="79">
        <f>IF(COUNTIFS(TR_6RecyclingArranger[ID_EC],TR_6RecyclingArranger[[#This Row],[ID_EC]],TR_6RecyclingArranger[Name of Third-Party Recycling Arranger],TR_6RecyclingArranger[[#This Row],[Name of Third-Party Recycling Arranger]])&gt;1,1,0)</f>
        <v>0</v>
      </c>
      <c r="M80" s="79">
        <f>IF(TR_6RecyclingArranger[[#This Row],[ID_EC]]="",0,IFERROR(0*MATCH(TR_6RecyclingArranger[[#This Row],[ID_EC]],TR_5ExemptionClaim[Lookup: for arranger tab],0),1))</f>
        <v>0</v>
      </c>
      <c r="N80" s="79">
        <f>IF(TR_6RecyclingArranger[[#This Row],[ID_EC]]="",0,IF(COUNTA(TR_6RecyclingArranger[[#This Row],[Name of Third-Party Recycling Arranger]],TR_6RecyclingArranger[[#This Row],[Pounds of Producer''s Material Recycled by this Recycling Arranger]:[Recycling Arranger Contact Email]])=7,0,1))</f>
        <v>0</v>
      </c>
      <c r="O80" s="79">
        <f>IF(TR_6RecyclingArranger[[#This Row],[ID_EC]]&lt;&gt;"",0,IF(COUNTA(TR_6RecyclingArranger[[#This Row],[Name of Third-Party Recycling Arranger]],TR_6RecyclingArranger[[#This Row],[Pounds of Producer''s Material Recycled by this Recycling Arranger]:[Recycling Arranger Contact Email]])&gt;0,1,0))</f>
        <v>0</v>
      </c>
      <c r="P80" s="79">
        <f>IF(TR_6RecyclingArranger[[#This Row],[Lookup: pounds (this table)]]&gt;TR_6RecyclingArranger[[#This Row],[Lookup: pounds (5B tab)]],1,0)</f>
        <v>0</v>
      </c>
      <c r="Q80" s="77">
        <f>SUMIFS(TR_6RecyclingArranger[Pounds of Producer''s Material Recycled by this Recycling Arranger],TR_6RecyclingArranger[ID_EC],TR_6RecyclingArranger[[#This Row],[ID_EC]])</f>
        <v>0</v>
      </c>
      <c r="R80" s="77">
        <f>IFERROR(INDEX(TR_5ExemptionClaim[How many of the pounds recycled through this pathway were supplied by this producer?],MATCH(TR_6RecyclingArranger[[#This Row],[ID_EC]],TR_5ExemptionClaim[ID_EC],0)),0)</f>
        <v>0</v>
      </c>
      <c r="S80" s="80" t="str">
        <f t="shared" si="1"/>
        <v/>
      </c>
      <c r="T80" s="40"/>
      <c r="U80" s="58"/>
    </row>
    <row r="81" spans="1:21" ht="30.75" customHeight="1" x14ac:dyDescent="0.2">
      <c r="A81" s="82" t="s">
        <v>465</v>
      </c>
      <c r="B81" s="46"/>
      <c r="C81" s="113"/>
      <c r="D81" s="214" t="str">
        <f>IF(TR_6RecyclingArranger[[#This Row],[ID_EC]]="","",INDEX(TR_5ExemptionClaim[End Market Name],MATCH(TR_6RecyclingArranger[[#This Row],[ID_EC]],TR_5ExemptionClaim[ID_EC],0)))</f>
        <v/>
      </c>
      <c r="E81" s="214" t="str">
        <f>IF(TR_6RecyclingArranger[[#This Row],[ID_EC]]="","",INDEX(TR_5ExemptionClaim[Collection or Transportation Service Provider Name],MATCH(TR_6RecyclingArranger[[#This Row],[ID_EC]],TR_5ExemptionClaim[ID_EC],0)))</f>
        <v/>
      </c>
      <c r="F81" s="214" t="str">
        <f>IF(TR_6RecyclingArranger[[#This Row],[ID_EC]]="","",IF(INDEX(TR_5ExemptionClaim[CRPF name],MATCH(TR_6RecyclingArranger[[#This Row],[ID_EC]],TR_5ExemptionClaim[ID_EC],0))=0,"None",INDEX(TR_5ExemptionClaim[CRPF name],MATCH(TR_6RecyclingArranger[[#This Row],[ID_EC]],TR_5ExemptionClaim[ID_EC],0))))</f>
        <v/>
      </c>
      <c r="G81" s="45"/>
      <c r="H81" s="108"/>
      <c r="I81" s="47"/>
      <c r="J81" s="48"/>
      <c r="K81" s="47"/>
      <c r="L81" s="79">
        <f>IF(COUNTIFS(TR_6RecyclingArranger[ID_EC],TR_6RecyclingArranger[[#This Row],[ID_EC]],TR_6RecyclingArranger[Name of Third-Party Recycling Arranger],TR_6RecyclingArranger[[#This Row],[Name of Third-Party Recycling Arranger]])&gt;1,1,0)</f>
        <v>0</v>
      </c>
      <c r="M81" s="79">
        <f>IF(TR_6RecyclingArranger[[#This Row],[ID_EC]]="",0,IFERROR(0*MATCH(TR_6RecyclingArranger[[#This Row],[ID_EC]],TR_5ExemptionClaim[Lookup: for arranger tab],0),1))</f>
        <v>0</v>
      </c>
      <c r="N81" s="79">
        <f>IF(TR_6RecyclingArranger[[#This Row],[ID_EC]]="",0,IF(COUNTA(TR_6RecyclingArranger[[#This Row],[Name of Third-Party Recycling Arranger]],TR_6RecyclingArranger[[#This Row],[Pounds of Producer''s Material Recycled by this Recycling Arranger]:[Recycling Arranger Contact Email]])=7,0,1))</f>
        <v>0</v>
      </c>
      <c r="O81" s="79">
        <f>IF(TR_6RecyclingArranger[[#This Row],[ID_EC]]&lt;&gt;"",0,IF(COUNTA(TR_6RecyclingArranger[[#This Row],[Name of Third-Party Recycling Arranger]],TR_6RecyclingArranger[[#This Row],[Pounds of Producer''s Material Recycled by this Recycling Arranger]:[Recycling Arranger Contact Email]])&gt;0,1,0))</f>
        <v>0</v>
      </c>
      <c r="P81" s="79">
        <f>IF(TR_6RecyclingArranger[[#This Row],[Lookup: pounds (this table)]]&gt;TR_6RecyclingArranger[[#This Row],[Lookup: pounds (5B tab)]],1,0)</f>
        <v>0</v>
      </c>
      <c r="Q81" s="77">
        <f>SUMIFS(TR_6RecyclingArranger[Pounds of Producer''s Material Recycled by this Recycling Arranger],TR_6RecyclingArranger[ID_EC],TR_6RecyclingArranger[[#This Row],[ID_EC]])</f>
        <v>0</v>
      </c>
      <c r="R81" s="77">
        <f>IFERROR(INDEX(TR_5ExemptionClaim[How many of the pounds recycled through this pathway were supplied by this producer?],MATCH(TR_6RecyclingArranger[[#This Row],[ID_EC]],TR_5ExemptionClaim[ID_EC],0)),0)</f>
        <v>0</v>
      </c>
      <c r="S81" s="80" t="str">
        <f t="shared" si="1"/>
        <v/>
      </c>
      <c r="T81" s="40"/>
      <c r="U81" s="58"/>
    </row>
    <row r="82" spans="1:21" ht="30.75" customHeight="1" x14ac:dyDescent="0.2">
      <c r="A82" s="82" t="s">
        <v>466</v>
      </c>
      <c r="B82" s="46"/>
      <c r="C82" s="113"/>
      <c r="D82" s="214" t="str">
        <f>IF(TR_6RecyclingArranger[[#This Row],[ID_EC]]="","",INDEX(TR_5ExemptionClaim[End Market Name],MATCH(TR_6RecyclingArranger[[#This Row],[ID_EC]],TR_5ExemptionClaim[ID_EC],0)))</f>
        <v/>
      </c>
      <c r="E82" s="214" t="str">
        <f>IF(TR_6RecyclingArranger[[#This Row],[ID_EC]]="","",INDEX(TR_5ExemptionClaim[Collection or Transportation Service Provider Name],MATCH(TR_6RecyclingArranger[[#This Row],[ID_EC]],TR_5ExemptionClaim[ID_EC],0)))</f>
        <v/>
      </c>
      <c r="F82" s="214" t="str">
        <f>IF(TR_6RecyclingArranger[[#This Row],[ID_EC]]="","",IF(INDEX(TR_5ExemptionClaim[CRPF name],MATCH(TR_6RecyclingArranger[[#This Row],[ID_EC]],TR_5ExemptionClaim[ID_EC],0))=0,"None",INDEX(TR_5ExemptionClaim[CRPF name],MATCH(TR_6RecyclingArranger[[#This Row],[ID_EC]],TR_5ExemptionClaim[ID_EC],0))))</f>
        <v/>
      </c>
      <c r="G82" s="45"/>
      <c r="H82" s="108"/>
      <c r="I82" s="47"/>
      <c r="J82" s="48"/>
      <c r="K82" s="47"/>
      <c r="L82" s="79">
        <f>IF(COUNTIFS(TR_6RecyclingArranger[ID_EC],TR_6RecyclingArranger[[#This Row],[ID_EC]],TR_6RecyclingArranger[Name of Third-Party Recycling Arranger],TR_6RecyclingArranger[[#This Row],[Name of Third-Party Recycling Arranger]])&gt;1,1,0)</f>
        <v>0</v>
      </c>
      <c r="M82" s="79">
        <f>IF(TR_6RecyclingArranger[[#This Row],[ID_EC]]="",0,IFERROR(0*MATCH(TR_6RecyclingArranger[[#This Row],[ID_EC]],TR_5ExemptionClaim[Lookup: for arranger tab],0),1))</f>
        <v>0</v>
      </c>
      <c r="N82" s="79">
        <f>IF(TR_6RecyclingArranger[[#This Row],[ID_EC]]="",0,IF(COUNTA(TR_6RecyclingArranger[[#This Row],[Name of Third-Party Recycling Arranger]],TR_6RecyclingArranger[[#This Row],[Pounds of Producer''s Material Recycled by this Recycling Arranger]:[Recycling Arranger Contact Email]])=7,0,1))</f>
        <v>0</v>
      </c>
      <c r="O82" s="79">
        <f>IF(TR_6RecyclingArranger[[#This Row],[ID_EC]]&lt;&gt;"",0,IF(COUNTA(TR_6RecyclingArranger[[#This Row],[Name of Third-Party Recycling Arranger]],TR_6RecyclingArranger[[#This Row],[Pounds of Producer''s Material Recycled by this Recycling Arranger]:[Recycling Arranger Contact Email]])&gt;0,1,0))</f>
        <v>0</v>
      </c>
      <c r="P82" s="79">
        <f>IF(TR_6RecyclingArranger[[#This Row],[Lookup: pounds (this table)]]&gt;TR_6RecyclingArranger[[#This Row],[Lookup: pounds (5B tab)]],1,0)</f>
        <v>0</v>
      </c>
      <c r="Q82" s="77">
        <f>SUMIFS(TR_6RecyclingArranger[Pounds of Producer''s Material Recycled by this Recycling Arranger],TR_6RecyclingArranger[ID_EC],TR_6RecyclingArranger[[#This Row],[ID_EC]])</f>
        <v>0</v>
      </c>
      <c r="R82" s="77">
        <f>IFERROR(INDEX(TR_5ExemptionClaim[How many of the pounds recycled through this pathway were supplied by this producer?],MATCH(TR_6RecyclingArranger[[#This Row],[ID_EC]],TR_5ExemptionClaim[ID_EC],0)),0)</f>
        <v>0</v>
      </c>
      <c r="S82" s="80" t="str">
        <f t="shared" si="1"/>
        <v/>
      </c>
      <c r="T82" s="40"/>
      <c r="U82" s="58"/>
    </row>
    <row r="83" spans="1:21" ht="30.75" customHeight="1" x14ac:dyDescent="0.2">
      <c r="A83" s="82" t="s">
        <v>467</v>
      </c>
      <c r="B83" s="46"/>
      <c r="C83" s="113"/>
      <c r="D83" s="214" t="str">
        <f>IF(TR_6RecyclingArranger[[#This Row],[ID_EC]]="","",INDEX(TR_5ExemptionClaim[End Market Name],MATCH(TR_6RecyclingArranger[[#This Row],[ID_EC]],TR_5ExemptionClaim[ID_EC],0)))</f>
        <v/>
      </c>
      <c r="E83" s="214" t="str">
        <f>IF(TR_6RecyclingArranger[[#This Row],[ID_EC]]="","",INDEX(TR_5ExemptionClaim[Collection or Transportation Service Provider Name],MATCH(TR_6RecyclingArranger[[#This Row],[ID_EC]],TR_5ExemptionClaim[ID_EC],0)))</f>
        <v/>
      </c>
      <c r="F83" s="214" t="str">
        <f>IF(TR_6RecyclingArranger[[#This Row],[ID_EC]]="","",IF(INDEX(TR_5ExemptionClaim[CRPF name],MATCH(TR_6RecyclingArranger[[#This Row],[ID_EC]],TR_5ExemptionClaim[ID_EC],0))=0,"None",INDEX(TR_5ExemptionClaim[CRPF name],MATCH(TR_6RecyclingArranger[[#This Row],[ID_EC]],TR_5ExemptionClaim[ID_EC],0))))</f>
        <v/>
      </c>
      <c r="G83" s="45"/>
      <c r="H83" s="108"/>
      <c r="I83" s="47"/>
      <c r="J83" s="48"/>
      <c r="K83" s="47"/>
      <c r="L83" s="79">
        <f>IF(COUNTIFS(TR_6RecyclingArranger[ID_EC],TR_6RecyclingArranger[[#This Row],[ID_EC]],TR_6RecyclingArranger[Name of Third-Party Recycling Arranger],TR_6RecyclingArranger[[#This Row],[Name of Third-Party Recycling Arranger]])&gt;1,1,0)</f>
        <v>0</v>
      </c>
      <c r="M83" s="79">
        <f>IF(TR_6RecyclingArranger[[#This Row],[ID_EC]]="",0,IFERROR(0*MATCH(TR_6RecyclingArranger[[#This Row],[ID_EC]],TR_5ExemptionClaim[Lookup: for arranger tab],0),1))</f>
        <v>0</v>
      </c>
      <c r="N83" s="79">
        <f>IF(TR_6RecyclingArranger[[#This Row],[ID_EC]]="",0,IF(COUNTA(TR_6RecyclingArranger[[#This Row],[Name of Third-Party Recycling Arranger]],TR_6RecyclingArranger[[#This Row],[Pounds of Producer''s Material Recycled by this Recycling Arranger]:[Recycling Arranger Contact Email]])=7,0,1))</f>
        <v>0</v>
      </c>
      <c r="O83" s="79">
        <f>IF(TR_6RecyclingArranger[[#This Row],[ID_EC]]&lt;&gt;"",0,IF(COUNTA(TR_6RecyclingArranger[[#This Row],[Name of Third-Party Recycling Arranger]],TR_6RecyclingArranger[[#This Row],[Pounds of Producer''s Material Recycled by this Recycling Arranger]:[Recycling Arranger Contact Email]])&gt;0,1,0))</f>
        <v>0</v>
      </c>
      <c r="P83" s="79">
        <f>IF(TR_6RecyclingArranger[[#This Row],[Lookup: pounds (this table)]]&gt;TR_6RecyclingArranger[[#This Row],[Lookup: pounds (5B tab)]],1,0)</f>
        <v>0</v>
      </c>
      <c r="Q83" s="77">
        <f>SUMIFS(TR_6RecyclingArranger[Pounds of Producer''s Material Recycled by this Recycling Arranger],TR_6RecyclingArranger[ID_EC],TR_6RecyclingArranger[[#This Row],[ID_EC]])</f>
        <v>0</v>
      </c>
      <c r="R83" s="77">
        <f>IFERROR(INDEX(TR_5ExemptionClaim[How many of the pounds recycled through this pathway were supplied by this producer?],MATCH(TR_6RecyclingArranger[[#This Row],[ID_EC]],TR_5ExemptionClaim[ID_EC],0)),0)</f>
        <v>0</v>
      </c>
      <c r="S83" s="80" t="str">
        <f t="shared" si="1"/>
        <v/>
      </c>
      <c r="T83" s="40"/>
      <c r="U83" s="58"/>
    </row>
    <row r="84" spans="1:21" ht="30.75" customHeight="1" x14ac:dyDescent="0.2">
      <c r="A84" s="82" t="s">
        <v>468</v>
      </c>
      <c r="B84" s="46"/>
      <c r="C84" s="113"/>
      <c r="D84" s="214" t="str">
        <f>IF(TR_6RecyclingArranger[[#This Row],[ID_EC]]="","",INDEX(TR_5ExemptionClaim[End Market Name],MATCH(TR_6RecyclingArranger[[#This Row],[ID_EC]],TR_5ExemptionClaim[ID_EC],0)))</f>
        <v/>
      </c>
      <c r="E84" s="214" t="str">
        <f>IF(TR_6RecyclingArranger[[#This Row],[ID_EC]]="","",INDEX(TR_5ExemptionClaim[Collection or Transportation Service Provider Name],MATCH(TR_6RecyclingArranger[[#This Row],[ID_EC]],TR_5ExemptionClaim[ID_EC],0)))</f>
        <v/>
      </c>
      <c r="F84" s="214" t="str">
        <f>IF(TR_6RecyclingArranger[[#This Row],[ID_EC]]="","",IF(INDEX(TR_5ExemptionClaim[CRPF name],MATCH(TR_6RecyclingArranger[[#This Row],[ID_EC]],TR_5ExemptionClaim[ID_EC],0))=0,"None",INDEX(TR_5ExemptionClaim[CRPF name],MATCH(TR_6RecyclingArranger[[#This Row],[ID_EC]],TR_5ExemptionClaim[ID_EC],0))))</f>
        <v/>
      </c>
      <c r="G84" s="45"/>
      <c r="H84" s="108"/>
      <c r="I84" s="47"/>
      <c r="J84" s="48"/>
      <c r="K84" s="47"/>
      <c r="L84" s="79">
        <f>IF(COUNTIFS(TR_6RecyclingArranger[ID_EC],TR_6RecyclingArranger[[#This Row],[ID_EC]],TR_6RecyclingArranger[Name of Third-Party Recycling Arranger],TR_6RecyclingArranger[[#This Row],[Name of Third-Party Recycling Arranger]])&gt;1,1,0)</f>
        <v>0</v>
      </c>
      <c r="M84" s="79">
        <f>IF(TR_6RecyclingArranger[[#This Row],[ID_EC]]="",0,IFERROR(0*MATCH(TR_6RecyclingArranger[[#This Row],[ID_EC]],TR_5ExemptionClaim[Lookup: for arranger tab],0),1))</f>
        <v>0</v>
      </c>
      <c r="N84" s="79">
        <f>IF(TR_6RecyclingArranger[[#This Row],[ID_EC]]="",0,IF(COUNTA(TR_6RecyclingArranger[[#This Row],[Name of Third-Party Recycling Arranger]],TR_6RecyclingArranger[[#This Row],[Pounds of Producer''s Material Recycled by this Recycling Arranger]:[Recycling Arranger Contact Email]])=7,0,1))</f>
        <v>0</v>
      </c>
      <c r="O84" s="79">
        <f>IF(TR_6RecyclingArranger[[#This Row],[ID_EC]]&lt;&gt;"",0,IF(COUNTA(TR_6RecyclingArranger[[#This Row],[Name of Third-Party Recycling Arranger]],TR_6RecyclingArranger[[#This Row],[Pounds of Producer''s Material Recycled by this Recycling Arranger]:[Recycling Arranger Contact Email]])&gt;0,1,0))</f>
        <v>0</v>
      </c>
      <c r="P84" s="79">
        <f>IF(TR_6RecyclingArranger[[#This Row],[Lookup: pounds (this table)]]&gt;TR_6RecyclingArranger[[#This Row],[Lookup: pounds (5B tab)]],1,0)</f>
        <v>0</v>
      </c>
      <c r="Q84" s="77">
        <f>SUMIFS(TR_6RecyclingArranger[Pounds of Producer''s Material Recycled by this Recycling Arranger],TR_6RecyclingArranger[ID_EC],TR_6RecyclingArranger[[#This Row],[ID_EC]])</f>
        <v>0</v>
      </c>
      <c r="R84" s="77">
        <f>IFERROR(INDEX(TR_5ExemptionClaim[How many of the pounds recycled through this pathway were supplied by this producer?],MATCH(TR_6RecyclingArranger[[#This Row],[ID_EC]],TR_5ExemptionClaim[ID_EC],0)),0)</f>
        <v>0</v>
      </c>
      <c r="S84" s="80" t="str">
        <f t="shared" si="1"/>
        <v/>
      </c>
      <c r="T84" s="40"/>
      <c r="U84" s="58"/>
    </row>
    <row r="85" spans="1:21" ht="30.75" customHeight="1" x14ac:dyDescent="0.2">
      <c r="A85" s="82" t="s">
        <v>469</v>
      </c>
      <c r="B85" s="46"/>
      <c r="C85" s="113"/>
      <c r="D85" s="214" t="str">
        <f>IF(TR_6RecyclingArranger[[#This Row],[ID_EC]]="","",INDEX(TR_5ExemptionClaim[End Market Name],MATCH(TR_6RecyclingArranger[[#This Row],[ID_EC]],TR_5ExemptionClaim[ID_EC],0)))</f>
        <v/>
      </c>
      <c r="E85" s="214" t="str">
        <f>IF(TR_6RecyclingArranger[[#This Row],[ID_EC]]="","",INDEX(TR_5ExemptionClaim[Collection or Transportation Service Provider Name],MATCH(TR_6RecyclingArranger[[#This Row],[ID_EC]],TR_5ExemptionClaim[ID_EC],0)))</f>
        <v/>
      </c>
      <c r="F85" s="214" t="str">
        <f>IF(TR_6RecyclingArranger[[#This Row],[ID_EC]]="","",IF(INDEX(TR_5ExemptionClaim[CRPF name],MATCH(TR_6RecyclingArranger[[#This Row],[ID_EC]],TR_5ExemptionClaim[ID_EC],0))=0,"None",INDEX(TR_5ExemptionClaim[CRPF name],MATCH(TR_6RecyclingArranger[[#This Row],[ID_EC]],TR_5ExemptionClaim[ID_EC],0))))</f>
        <v/>
      </c>
      <c r="G85" s="45"/>
      <c r="H85" s="108"/>
      <c r="I85" s="47"/>
      <c r="J85" s="48"/>
      <c r="K85" s="47"/>
      <c r="L85" s="79">
        <f>IF(COUNTIFS(TR_6RecyclingArranger[ID_EC],TR_6RecyclingArranger[[#This Row],[ID_EC]],TR_6RecyclingArranger[Name of Third-Party Recycling Arranger],TR_6RecyclingArranger[[#This Row],[Name of Third-Party Recycling Arranger]])&gt;1,1,0)</f>
        <v>0</v>
      </c>
      <c r="M85" s="79">
        <f>IF(TR_6RecyclingArranger[[#This Row],[ID_EC]]="",0,IFERROR(0*MATCH(TR_6RecyclingArranger[[#This Row],[ID_EC]],TR_5ExemptionClaim[Lookup: for arranger tab],0),1))</f>
        <v>0</v>
      </c>
      <c r="N85" s="79">
        <f>IF(TR_6RecyclingArranger[[#This Row],[ID_EC]]="",0,IF(COUNTA(TR_6RecyclingArranger[[#This Row],[Name of Third-Party Recycling Arranger]],TR_6RecyclingArranger[[#This Row],[Pounds of Producer''s Material Recycled by this Recycling Arranger]:[Recycling Arranger Contact Email]])=7,0,1))</f>
        <v>0</v>
      </c>
      <c r="O85" s="79">
        <f>IF(TR_6RecyclingArranger[[#This Row],[ID_EC]]&lt;&gt;"",0,IF(COUNTA(TR_6RecyclingArranger[[#This Row],[Name of Third-Party Recycling Arranger]],TR_6RecyclingArranger[[#This Row],[Pounds of Producer''s Material Recycled by this Recycling Arranger]:[Recycling Arranger Contact Email]])&gt;0,1,0))</f>
        <v>0</v>
      </c>
      <c r="P85" s="79">
        <f>IF(TR_6RecyclingArranger[[#This Row],[Lookup: pounds (this table)]]&gt;TR_6RecyclingArranger[[#This Row],[Lookup: pounds (5B tab)]],1,0)</f>
        <v>0</v>
      </c>
      <c r="Q85" s="77">
        <f>SUMIFS(TR_6RecyclingArranger[Pounds of Producer''s Material Recycled by this Recycling Arranger],TR_6RecyclingArranger[ID_EC],TR_6RecyclingArranger[[#This Row],[ID_EC]])</f>
        <v>0</v>
      </c>
      <c r="R85" s="77">
        <f>IFERROR(INDEX(TR_5ExemptionClaim[How many of the pounds recycled through this pathway were supplied by this producer?],MATCH(TR_6RecyclingArranger[[#This Row],[ID_EC]],TR_5ExemptionClaim[ID_EC],0)),0)</f>
        <v>0</v>
      </c>
      <c r="S85" s="80" t="str">
        <f t="shared" si="1"/>
        <v/>
      </c>
      <c r="T85" s="40"/>
      <c r="U85" s="58"/>
    </row>
    <row r="86" spans="1:21" ht="30.75" customHeight="1" x14ac:dyDescent="0.2">
      <c r="A86" s="82" t="s">
        <v>470</v>
      </c>
      <c r="B86" s="46"/>
      <c r="C86" s="113"/>
      <c r="D86" s="214" t="str">
        <f>IF(TR_6RecyclingArranger[[#This Row],[ID_EC]]="","",INDEX(TR_5ExemptionClaim[End Market Name],MATCH(TR_6RecyclingArranger[[#This Row],[ID_EC]],TR_5ExemptionClaim[ID_EC],0)))</f>
        <v/>
      </c>
      <c r="E86" s="214" t="str">
        <f>IF(TR_6RecyclingArranger[[#This Row],[ID_EC]]="","",INDEX(TR_5ExemptionClaim[Collection or Transportation Service Provider Name],MATCH(TR_6RecyclingArranger[[#This Row],[ID_EC]],TR_5ExemptionClaim[ID_EC],0)))</f>
        <v/>
      </c>
      <c r="F86" s="214" t="str">
        <f>IF(TR_6RecyclingArranger[[#This Row],[ID_EC]]="","",IF(INDEX(TR_5ExemptionClaim[CRPF name],MATCH(TR_6RecyclingArranger[[#This Row],[ID_EC]],TR_5ExemptionClaim[ID_EC],0))=0,"None",INDEX(TR_5ExemptionClaim[CRPF name],MATCH(TR_6RecyclingArranger[[#This Row],[ID_EC]],TR_5ExemptionClaim[ID_EC],0))))</f>
        <v/>
      </c>
      <c r="G86" s="45"/>
      <c r="H86" s="108"/>
      <c r="I86" s="47"/>
      <c r="J86" s="48"/>
      <c r="K86" s="47"/>
      <c r="L86" s="79">
        <f>IF(COUNTIFS(TR_6RecyclingArranger[ID_EC],TR_6RecyclingArranger[[#This Row],[ID_EC]],TR_6RecyclingArranger[Name of Third-Party Recycling Arranger],TR_6RecyclingArranger[[#This Row],[Name of Third-Party Recycling Arranger]])&gt;1,1,0)</f>
        <v>0</v>
      </c>
      <c r="M86" s="79">
        <f>IF(TR_6RecyclingArranger[[#This Row],[ID_EC]]="",0,IFERROR(0*MATCH(TR_6RecyclingArranger[[#This Row],[ID_EC]],TR_5ExemptionClaim[Lookup: for arranger tab],0),1))</f>
        <v>0</v>
      </c>
      <c r="N86" s="79">
        <f>IF(TR_6RecyclingArranger[[#This Row],[ID_EC]]="",0,IF(COUNTA(TR_6RecyclingArranger[[#This Row],[Name of Third-Party Recycling Arranger]],TR_6RecyclingArranger[[#This Row],[Pounds of Producer''s Material Recycled by this Recycling Arranger]:[Recycling Arranger Contact Email]])=7,0,1))</f>
        <v>0</v>
      </c>
      <c r="O86" s="79">
        <f>IF(TR_6RecyclingArranger[[#This Row],[ID_EC]]&lt;&gt;"",0,IF(COUNTA(TR_6RecyclingArranger[[#This Row],[Name of Third-Party Recycling Arranger]],TR_6RecyclingArranger[[#This Row],[Pounds of Producer''s Material Recycled by this Recycling Arranger]:[Recycling Arranger Contact Email]])&gt;0,1,0))</f>
        <v>0</v>
      </c>
      <c r="P86" s="79">
        <f>IF(TR_6RecyclingArranger[[#This Row],[Lookup: pounds (this table)]]&gt;TR_6RecyclingArranger[[#This Row],[Lookup: pounds (5B tab)]],1,0)</f>
        <v>0</v>
      </c>
      <c r="Q86" s="77">
        <f>SUMIFS(TR_6RecyclingArranger[Pounds of Producer''s Material Recycled by this Recycling Arranger],TR_6RecyclingArranger[ID_EC],TR_6RecyclingArranger[[#This Row],[ID_EC]])</f>
        <v>0</v>
      </c>
      <c r="R86" s="77">
        <f>IFERROR(INDEX(TR_5ExemptionClaim[How many of the pounds recycled through this pathway were supplied by this producer?],MATCH(TR_6RecyclingArranger[[#This Row],[ID_EC]],TR_5ExemptionClaim[ID_EC],0)),0)</f>
        <v>0</v>
      </c>
      <c r="S86" s="80" t="str">
        <f t="shared" si="1"/>
        <v/>
      </c>
      <c r="T86" s="40"/>
      <c r="U86" s="58"/>
    </row>
    <row r="87" spans="1:21" ht="30.75" customHeight="1" x14ac:dyDescent="0.2">
      <c r="A87" s="82" t="s">
        <v>471</v>
      </c>
      <c r="B87" s="46"/>
      <c r="C87" s="113"/>
      <c r="D87" s="214" t="str">
        <f>IF(TR_6RecyclingArranger[[#This Row],[ID_EC]]="","",INDEX(TR_5ExemptionClaim[End Market Name],MATCH(TR_6RecyclingArranger[[#This Row],[ID_EC]],TR_5ExemptionClaim[ID_EC],0)))</f>
        <v/>
      </c>
      <c r="E87" s="214" t="str">
        <f>IF(TR_6RecyclingArranger[[#This Row],[ID_EC]]="","",INDEX(TR_5ExemptionClaim[Collection or Transportation Service Provider Name],MATCH(TR_6RecyclingArranger[[#This Row],[ID_EC]],TR_5ExemptionClaim[ID_EC],0)))</f>
        <v/>
      </c>
      <c r="F87" s="214" t="str">
        <f>IF(TR_6RecyclingArranger[[#This Row],[ID_EC]]="","",IF(INDEX(TR_5ExemptionClaim[CRPF name],MATCH(TR_6RecyclingArranger[[#This Row],[ID_EC]],TR_5ExemptionClaim[ID_EC],0))=0,"None",INDEX(TR_5ExemptionClaim[CRPF name],MATCH(TR_6RecyclingArranger[[#This Row],[ID_EC]],TR_5ExemptionClaim[ID_EC],0))))</f>
        <v/>
      </c>
      <c r="G87" s="45"/>
      <c r="H87" s="108"/>
      <c r="I87" s="47"/>
      <c r="J87" s="48"/>
      <c r="K87" s="47"/>
      <c r="L87" s="79">
        <f>IF(COUNTIFS(TR_6RecyclingArranger[ID_EC],TR_6RecyclingArranger[[#This Row],[ID_EC]],TR_6RecyclingArranger[Name of Third-Party Recycling Arranger],TR_6RecyclingArranger[[#This Row],[Name of Third-Party Recycling Arranger]])&gt;1,1,0)</f>
        <v>0</v>
      </c>
      <c r="M87" s="79">
        <f>IF(TR_6RecyclingArranger[[#This Row],[ID_EC]]="",0,IFERROR(0*MATCH(TR_6RecyclingArranger[[#This Row],[ID_EC]],TR_5ExemptionClaim[Lookup: for arranger tab],0),1))</f>
        <v>0</v>
      </c>
      <c r="N87" s="79">
        <f>IF(TR_6RecyclingArranger[[#This Row],[ID_EC]]="",0,IF(COUNTA(TR_6RecyclingArranger[[#This Row],[Name of Third-Party Recycling Arranger]],TR_6RecyclingArranger[[#This Row],[Pounds of Producer''s Material Recycled by this Recycling Arranger]:[Recycling Arranger Contact Email]])=7,0,1))</f>
        <v>0</v>
      </c>
      <c r="O87" s="79">
        <f>IF(TR_6RecyclingArranger[[#This Row],[ID_EC]]&lt;&gt;"",0,IF(COUNTA(TR_6RecyclingArranger[[#This Row],[Name of Third-Party Recycling Arranger]],TR_6RecyclingArranger[[#This Row],[Pounds of Producer''s Material Recycled by this Recycling Arranger]:[Recycling Arranger Contact Email]])&gt;0,1,0))</f>
        <v>0</v>
      </c>
      <c r="P87" s="79">
        <f>IF(TR_6RecyclingArranger[[#This Row],[Lookup: pounds (this table)]]&gt;TR_6RecyclingArranger[[#This Row],[Lookup: pounds (5B tab)]],1,0)</f>
        <v>0</v>
      </c>
      <c r="Q87" s="77">
        <f>SUMIFS(TR_6RecyclingArranger[Pounds of Producer''s Material Recycled by this Recycling Arranger],TR_6RecyclingArranger[ID_EC],TR_6RecyclingArranger[[#This Row],[ID_EC]])</f>
        <v>0</v>
      </c>
      <c r="R87" s="77">
        <f>IFERROR(INDEX(TR_5ExemptionClaim[How many of the pounds recycled through this pathway were supplied by this producer?],MATCH(TR_6RecyclingArranger[[#This Row],[ID_EC]],TR_5ExemptionClaim[ID_EC],0)),0)</f>
        <v>0</v>
      </c>
      <c r="S87" s="80" t="str">
        <f t="shared" si="1"/>
        <v/>
      </c>
      <c r="T87" s="40"/>
      <c r="U87" s="58"/>
    </row>
    <row r="88" spans="1:21" ht="30.75" customHeight="1" x14ac:dyDescent="0.2">
      <c r="A88" s="82" t="s">
        <v>472</v>
      </c>
      <c r="B88" s="46"/>
      <c r="C88" s="113"/>
      <c r="D88" s="214" t="str">
        <f>IF(TR_6RecyclingArranger[[#This Row],[ID_EC]]="","",INDEX(TR_5ExemptionClaim[End Market Name],MATCH(TR_6RecyclingArranger[[#This Row],[ID_EC]],TR_5ExemptionClaim[ID_EC],0)))</f>
        <v/>
      </c>
      <c r="E88" s="214" t="str">
        <f>IF(TR_6RecyclingArranger[[#This Row],[ID_EC]]="","",INDEX(TR_5ExemptionClaim[Collection or Transportation Service Provider Name],MATCH(TR_6RecyclingArranger[[#This Row],[ID_EC]],TR_5ExemptionClaim[ID_EC],0)))</f>
        <v/>
      </c>
      <c r="F88" s="214" t="str">
        <f>IF(TR_6RecyclingArranger[[#This Row],[ID_EC]]="","",IF(INDEX(TR_5ExemptionClaim[CRPF name],MATCH(TR_6RecyclingArranger[[#This Row],[ID_EC]],TR_5ExemptionClaim[ID_EC],0))=0,"None",INDEX(TR_5ExemptionClaim[CRPF name],MATCH(TR_6RecyclingArranger[[#This Row],[ID_EC]],TR_5ExemptionClaim[ID_EC],0))))</f>
        <v/>
      </c>
      <c r="G88" s="45"/>
      <c r="H88" s="108"/>
      <c r="I88" s="47"/>
      <c r="J88" s="48"/>
      <c r="K88" s="47"/>
      <c r="L88" s="79">
        <f>IF(COUNTIFS(TR_6RecyclingArranger[ID_EC],TR_6RecyclingArranger[[#This Row],[ID_EC]],TR_6RecyclingArranger[Name of Third-Party Recycling Arranger],TR_6RecyclingArranger[[#This Row],[Name of Third-Party Recycling Arranger]])&gt;1,1,0)</f>
        <v>0</v>
      </c>
      <c r="M88" s="79">
        <f>IF(TR_6RecyclingArranger[[#This Row],[ID_EC]]="",0,IFERROR(0*MATCH(TR_6RecyclingArranger[[#This Row],[ID_EC]],TR_5ExemptionClaim[Lookup: for arranger tab],0),1))</f>
        <v>0</v>
      </c>
      <c r="N88" s="79">
        <f>IF(TR_6RecyclingArranger[[#This Row],[ID_EC]]="",0,IF(COUNTA(TR_6RecyclingArranger[[#This Row],[Name of Third-Party Recycling Arranger]],TR_6RecyclingArranger[[#This Row],[Pounds of Producer''s Material Recycled by this Recycling Arranger]:[Recycling Arranger Contact Email]])=7,0,1))</f>
        <v>0</v>
      </c>
      <c r="O88" s="79">
        <f>IF(TR_6RecyclingArranger[[#This Row],[ID_EC]]&lt;&gt;"",0,IF(COUNTA(TR_6RecyclingArranger[[#This Row],[Name of Third-Party Recycling Arranger]],TR_6RecyclingArranger[[#This Row],[Pounds of Producer''s Material Recycled by this Recycling Arranger]:[Recycling Arranger Contact Email]])&gt;0,1,0))</f>
        <v>0</v>
      </c>
      <c r="P88" s="79">
        <f>IF(TR_6RecyclingArranger[[#This Row],[Lookup: pounds (this table)]]&gt;TR_6RecyclingArranger[[#This Row],[Lookup: pounds (5B tab)]],1,0)</f>
        <v>0</v>
      </c>
      <c r="Q88" s="77">
        <f>SUMIFS(TR_6RecyclingArranger[Pounds of Producer''s Material Recycled by this Recycling Arranger],TR_6RecyclingArranger[ID_EC],TR_6RecyclingArranger[[#This Row],[ID_EC]])</f>
        <v>0</v>
      </c>
      <c r="R88" s="77">
        <f>IFERROR(INDEX(TR_5ExemptionClaim[How many of the pounds recycled through this pathway were supplied by this producer?],MATCH(TR_6RecyclingArranger[[#This Row],[ID_EC]],TR_5ExemptionClaim[ID_EC],0)),0)</f>
        <v>0</v>
      </c>
      <c r="S88" s="80" t="str">
        <f t="shared" si="1"/>
        <v/>
      </c>
      <c r="T88" s="40"/>
      <c r="U88" s="58"/>
    </row>
    <row r="89" spans="1:21" ht="30.75" customHeight="1" x14ac:dyDescent="0.2">
      <c r="A89" s="82" t="s">
        <v>473</v>
      </c>
      <c r="B89" s="46"/>
      <c r="C89" s="113"/>
      <c r="D89" s="214" t="str">
        <f>IF(TR_6RecyclingArranger[[#This Row],[ID_EC]]="","",INDEX(TR_5ExemptionClaim[End Market Name],MATCH(TR_6RecyclingArranger[[#This Row],[ID_EC]],TR_5ExemptionClaim[ID_EC],0)))</f>
        <v/>
      </c>
      <c r="E89" s="214" t="str">
        <f>IF(TR_6RecyclingArranger[[#This Row],[ID_EC]]="","",INDEX(TR_5ExemptionClaim[Collection or Transportation Service Provider Name],MATCH(TR_6RecyclingArranger[[#This Row],[ID_EC]],TR_5ExemptionClaim[ID_EC],0)))</f>
        <v/>
      </c>
      <c r="F89" s="214" t="str">
        <f>IF(TR_6RecyclingArranger[[#This Row],[ID_EC]]="","",IF(INDEX(TR_5ExemptionClaim[CRPF name],MATCH(TR_6RecyclingArranger[[#This Row],[ID_EC]],TR_5ExemptionClaim[ID_EC],0))=0,"None",INDEX(TR_5ExemptionClaim[CRPF name],MATCH(TR_6RecyclingArranger[[#This Row],[ID_EC]],TR_5ExemptionClaim[ID_EC],0))))</f>
        <v/>
      </c>
      <c r="G89" s="45"/>
      <c r="H89" s="108"/>
      <c r="I89" s="47"/>
      <c r="J89" s="48"/>
      <c r="K89" s="47"/>
      <c r="L89" s="79">
        <f>IF(COUNTIFS(TR_6RecyclingArranger[ID_EC],TR_6RecyclingArranger[[#This Row],[ID_EC]],TR_6RecyclingArranger[Name of Third-Party Recycling Arranger],TR_6RecyclingArranger[[#This Row],[Name of Third-Party Recycling Arranger]])&gt;1,1,0)</f>
        <v>0</v>
      </c>
      <c r="M89" s="79">
        <f>IF(TR_6RecyclingArranger[[#This Row],[ID_EC]]="",0,IFERROR(0*MATCH(TR_6RecyclingArranger[[#This Row],[ID_EC]],TR_5ExemptionClaim[Lookup: for arranger tab],0),1))</f>
        <v>0</v>
      </c>
      <c r="N89" s="79">
        <f>IF(TR_6RecyclingArranger[[#This Row],[ID_EC]]="",0,IF(COUNTA(TR_6RecyclingArranger[[#This Row],[Name of Third-Party Recycling Arranger]],TR_6RecyclingArranger[[#This Row],[Pounds of Producer''s Material Recycled by this Recycling Arranger]:[Recycling Arranger Contact Email]])=7,0,1))</f>
        <v>0</v>
      </c>
      <c r="O89" s="79">
        <f>IF(TR_6RecyclingArranger[[#This Row],[ID_EC]]&lt;&gt;"",0,IF(COUNTA(TR_6RecyclingArranger[[#This Row],[Name of Third-Party Recycling Arranger]],TR_6RecyclingArranger[[#This Row],[Pounds of Producer''s Material Recycled by this Recycling Arranger]:[Recycling Arranger Contact Email]])&gt;0,1,0))</f>
        <v>0</v>
      </c>
      <c r="P89" s="79">
        <f>IF(TR_6RecyclingArranger[[#This Row],[Lookup: pounds (this table)]]&gt;TR_6RecyclingArranger[[#This Row],[Lookup: pounds (5B tab)]],1,0)</f>
        <v>0</v>
      </c>
      <c r="Q89" s="77">
        <f>SUMIFS(TR_6RecyclingArranger[Pounds of Producer''s Material Recycled by this Recycling Arranger],TR_6RecyclingArranger[ID_EC],TR_6RecyclingArranger[[#This Row],[ID_EC]])</f>
        <v>0</v>
      </c>
      <c r="R89" s="77">
        <f>IFERROR(INDEX(TR_5ExemptionClaim[How many of the pounds recycled through this pathway were supplied by this producer?],MATCH(TR_6RecyclingArranger[[#This Row],[ID_EC]],TR_5ExemptionClaim[ID_EC],0)),0)</f>
        <v>0</v>
      </c>
      <c r="S89" s="80" t="str">
        <f t="shared" si="1"/>
        <v/>
      </c>
      <c r="T89" s="40"/>
      <c r="U89" s="58"/>
    </row>
    <row r="90" spans="1:21" ht="30.75" customHeight="1" x14ac:dyDescent="0.2">
      <c r="A90" s="82" t="s">
        <v>474</v>
      </c>
      <c r="B90" s="46"/>
      <c r="C90" s="113"/>
      <c r="D90" s="214" t="str">
        <f>IF(TR_6RecyclingArranger[[#This Row],[ID_EC]]="","",INDEX(TR_5ExemptionClaim[End Market Name],MATCH(TR_6RecyclingArranger[[#This Row],[ID_EC]],TR_5ExemptionClaim[ID_EC],0)))</f>
        <v/>
      </c>
      <c r="E90" s="214" t="str">
        <f>IF(TR_6RecyclingArranger[[#This Row],[ID_EC]]="","",INDEX(TR_5ExemptionClaim[Collection or Transportation Service Provider Name],MATCH(TR_6RecyclingArranger[[#This Row],[ID_EC]],TR_5ExemptionClaim[ID_EC],0)))</f>
        <v/>
      </c>
      <c r="F90" s="214" t="str">
        <f>IF(TR_6RecyclingArranger[[#This Row],[ID_EC]]="","",IF(INDEX(TR_5ExemptionClaim[CRPF name],MATCH(TR_6RecyclingArranger[[#This Row],[ID_EC]],TR_5ExemptionClaim[ID_EC],0))=0,"None",INDEX(TR_5ExemptionClaim[CRPF name],MATCH(TR_6RecyclingArranger[[#This Row],[ID_EC]],TR_5ExemptionClaim[ID_EC],0))))</f>
        <v/>
      </c>
      <c r="G90" s="45"/>
      <c r="H90" s="108"/>
      <c r="I90" s="47"/>
      <c r="J90" s="48"/>
      <c r="K90" s="47"/>
      <c r="L90" s="79">
        <f>IF(COUNTIFS(TR_6RecyclingArranger[ID_EC],TR_6RecyclingArranger[[#This Row],[ID_EC]],TR_6RecyclingArranger[Name of Third-Party Recycling Arranger],TR_6RecyclingArranger[[#This Row],[Name of Third-Party Recycling Arranger]])&gt;1,1,0)</f>
        <v>0</v>
      </c>
      <c r="M90" s="79">
        <f>IF(TR_6RecyclingArranger[[#This Row],[ID_EC]]="",0,IFERROR(0*MATCH(TR_6RecyclingArranger[[#This Row],[ID_EC]],TR_5ExemptionClaim[Lookup: for arranger tab],0),1))</f>
        <v>0</v>
      </c>
      <c r="N90" s="79">
        <f>IF(TR_6RecyclingArranger[[#This Row],[ID_EC]]="",0,IF(COUNTA(TR_6RecyclingArranger[[#This Row],[Name of Third-Party Recycling Arranger]],TR_6RecyclingArranger[[#This Row],[Pounds of Producer''s Material Recycled by this Recycling Arranger]:[Recycling Arranger Contact Email]])=7,0,1))</f>
        <v>0</v>
      </c>
      <c r="O90" s="79">
        <f>IF(TR_6RecyclingArranger[[#This Row],[ID_EC]]&lt;&gt;"",0,IF(COUNTA(TR_6RecyclingArranger[[#This Row],[Name of Third-Party Recycling Arranger]],TR_6RecyclingArranger[[#This Row],[Pounds of Producer''s Material Recycled by this Recycling Arranger]:[Recycling Arranger Contact Email]])&gt;0,1,0))</f>
        <v>0</v>
      </c>
      <c r="P90" s="79">
        <f>IF(TR_6RecyclingArranger[[#This Row],[Lookup: pounds (this table)]]&gt;TR_6RecyclingArranger[[#This Row],[Lookup: pounds (5B tab)]],1,0)</f>
        <v>0</v>
      </c>
      <c r="Q90" s="77">
        <f>SUMIFS(TR_6RecyclingArranger[Pounds of Producer''s Material Recycled by this Recycling Arranger],TR_6RecyclingArranger[ID_EC],TR_6RecyclingArranger[[#This Row],[ID_EC]])</f>
        <v>0</v>
      </c>
      <c r="R90" s="77">
        <f>IFERROR(INDEX(TR_5ExemptionClaim[How many of the pounds recycled through this pathway were supplied by this producer?],MATCH(TR_6RecyclingArranger[[#This Row],[ID_EC]],TR_5ExemptionClaim[ID_EC],0)),0)</f>
        <v>0</v>
      </c>
      <c r="S90" s="80" t="str">
        <f t="shared" si="1"/>
        <v/>
      </c>
      <c r="T90" s="40"/>
      <c r="U90" s="58"/>
    </row>
    <row r="91" spans="1:21" ht="30.75" customHeight="1" x14ac:dyDescent="0.2">
      <c r="A91" s="82" t="s">
        <v>475</v>
      </c>
      <c r="B91" s="46"/>
      <c r="C91" s="113"/>
      <c r="D91" s="214" t="str">
        <f>IF(TR_6RecyclingArranger[[#This Row],[ID_EC]]="","",INDEX(TR_5ExemptionClaim[End Market Name],MATCH(TR_6RecyclingArranger[[#This Row],[ID_EC]],TR_5ExemptionClaim[ID_EC],0)))</f>
        <v/>
      </c>
      <c r="E91" s="214" t="str">
        <f>IF(TR_6RecyclingArranger[[#This Row],[ID_EC]]="","",INDEX(TR_5ExemptionClaim[Collection or Transportation Service Provider Name],MATCH(TR_6RecyclingArranger[[#This Row],[ID_EC]],TR_5ExemptionClaim[ID_EC],0)))</f>
        <v/>
      </c>
      <c r="F91" s="214" t="str">
        <f>IF(TR_6RecyclingArranger[[#This Row],[ID_EC]]="","",IF(INDEX(TR_5ExemptionClaim[CRPF name],MATCH(TR_6RecyclingArranger[[#This Row],[ID_EC]],TR_5ExemptionClaim[ID_EC],0))=0,"None",INDEX(TR_5ExemptionClaim[CRPF name],MATCH(TR_6RecyclingArranger[[#This Row],[ID_EC]],TR_5ExemptionClaim[ID_EC],0))))</f>
        <v/>
      </c>
      <c r="G91" s="45"/>
      <c r="H91" s="108"/>
      <c r="I91" s="47"/>
      <c r="J91" s="48"/>
      <c r="K91" s="47"/>
      <c r="L91" s="79">
        <f>IF(COUNTIFS(TR_6RecyclingArranger[ID_EC],TR_6RecyclingArranger[[#This Row],[ID_EC]],TR_6RecyclingArranger[Name of Third-Party Recycling Arranger],TR_6RecyclingArranger[[#This Row],[Name of Third-Party Recycling Arranger]])&gt;1,1,0)</f>
        <v>0</v>
      </c>
      <c r="M91" s="79">
        <f>IF(TR_6RecyclingArranger[[#This Row],[ID_EC]]="",0,IFERROR(0*MATCH(TR_6RecyclingArranger[[#This Row],[ID_EC]],TR_5ExemptionClaim[Lookup: for arranger tab],0),1))</f>
        <v>0</v>
      </c>
      <c r="N91" s="79">
        <f>IF(TR_6RecyclingArranger[[#This Row],[ID_EC]]="",0,IF(COUNTA(TR_6RecyclingArranger[[#This Row],[Name of Third-Party Recycling Arranger]],TR_6RecyclingArranger[[#This Row],[Pounds of Producer''s Material Recycled by this Recycling Arranger]:[Recycling Arranger Contact Email]])=7,0,1))</f>
        <v>0</v>
      </c>
      <c r="O91" s="79">
        <f>IF(TR_6RecyclingArranger[[#This Row],[ID_EC]]&lt;&gt;"",0,IF(COUNTA(TR_6RecyclingArranger[[#This Row],[Name of Third-Party Recycling Arranger]],TR_6RecyclingArranger[[#This Row],[Pounds of Producer''s Material Recycled by this Recycling Arranger]:[Recycling Arranger Contact Email]])&gt;0,1,0))</f>
        <v>0</v>
      </c>
      <c r="P91" s="79">
        <f>IF(TR_6RecyclingArranger[[#This Row],[Lookup: pounds (this table)]]&gt;TR_6RecyclingArranger[[#This Row],[Lookup: pounds (5B tab)]],1,0)</f>
        <v>0</v>
      </c>
      <c r="Q91" s="77">
        <f>SUMIFS(TR_6RecyclingArranger[Pounds of Producer''s Material Recycled by this Recycling Arranger],TR_6RecyclingArranger[ID_EC],TR_6RecyclingArranger[[#This Row],[ID_EC]])</f>
        <v>0</v>
      </c>
      <c r="R91" s="77">
        <f>IFERROR(INDEX(TR_5ExemptionClaim[How many of the pounds recycled through this pathway were supplied by this producer?],MATCH(TR_6RecyclingArranger[[#This Row],[ID_EC]],TR_5ExemptionClaim[ID_EC],0)),0)</f>
        <v>0</v>
      </c>
      <c r="S91" s="80" t="str">
        <f t="shared" si="1"/>
        <v/>
      </c>
      <c r="T91" s="40"/>
      <c r="U91" s="58"/>
    </row>
    <row r="92" spans="1:21" ht="30.75" customHeight="1" x14ac:dyDescent="0.2">
      <c r="A92" s="82" t="s">
        <v>476</v>
      </c>
      <c r="B92" s="46"/>
      <c r="C92" s="113"/>
      <c r="D92" s="214" t="str">
        <f>IF(TR_6RecyclingArranger[[#This Row],[ID_EC]]="","",INDEX(TR_5ExemptionClaim[End Market Name],MATCH(TR_6RecyclingArranger[[#This Row],[ID_EC]],TR_5ExemptionClaim[ID_EC],0)))</f>
        <v/>
      </c>
      <c r="E92" s="214" t="str">
        <f>IF(TR_6RecyclingArranger[[#This Row],[ID_EC]]="","",INDEX(TR_5ExemptionClaim[Collection or Transportation Service Provider Name],MATCH(TR_6RecyclingArranger[[#This Row],[ID_EC]],TR_5ExemptionClaim[ID_EC],0)))</f>
        <v/>
      </c>
      <c r="F92" s="214" t="str">
        <f>IF(TR_6RecyclingArranger[[#This Row],[ID_EC]]="","",IF(INDEX(TR_5ExemptionClaim[CRPF name],MATCH(TR_6RecyclingArranger[[#This Row],[ID_EC]],TR_5ExemptionClaim[ID_EC],0))=0,"None",INDEX(TR_5ExemptionClaim[CRPF name],MATCH(TR_6RecyclingArranger[[#This Row],[ID_EC]],TR_5ExemptionClaim[ID_EC],0))))</f>
        <v/>
      </c>
      <c r="G92" s="45"/>
      <c r="H92" s="108"/>
      <c r="I92" s="47"/>
      <c r="J92" s="48"/>
      <c r="K92" s="47"/>
      <c r="L92" s="79">
        <f>IF(COUNTIFS(TR_6RecyclingArranger[ID_EC],TR_6RecyclingArranger[[#This Row],[ID_EC]],TR_6RecyclingArranger[Name of Third-Party Recycling Arranger],TR_6RecyclingArranger[[#This Row],[Name of Third-Party Recycling Arranger]])&gt;1,1,0)</f>
        <v>0</v>
      </c>
      <c r="M92" s="79">
        <f>IF(TR_6RecyclingArranger[[#This Row],[ID_EC]]="",0,IFERROR(0*MATCH(TR_6RecyclingArranger[[#This Row],[ID_EC]],TR_5ExemptionClaim[Lookup: for arranger tab],0),1))</f>
        <v>0</v>
      </c>
      <c r="N92" s="79">
        <f>IF(TR_6RecyclingArranger[[#This Row],[ID_EC]]="",0,IF(COUNTA(TR_6RecyclingArranger[[#This Row],[Name of Third-Party Recycling Arranger]],TR_6RecyclingArranger[[#This Row],[Pounds of Producer''s Material Recycled by this Recycling Arranger]:[Recycling Arranger Contact Email]])=7,0,1))</f>
        <v>0</v>
      </c>
      <c r="O92" s="79">
        <f>IF(TR_6RecyclingArranger[[#This Row],[ID_EC]]&lt;&gt;"",0,IF(COUNTA(TR_6RecyclingArranger[[#This Row],[Name of Third-Party Recycling Arranger]],TR_6RecyclingArranger[[#This Row],[Pounds of Producer''s Material Recycled by this Recycling Arranger]:[Recycling Arranger Contact Email]])&gt;0,1,0))</f>
        <v>0</v>
      </c>
      <c r="P92" s="79">
        <f>IF(TR_6RecyclingArranger[[#This Row],[Lookup: pounds (this table)]]&gt;TR_6RecyclingArranger[[#This Row],[Lookup: pounds (5B tab)]],1,0)</f>
        <v>0</v>
      </c>
      <c r="Q92" s="77">
        <f>SUMIFS(TR_6RecyclingArranger[Pounds of Producer''s Material Recycled by this Recycling Arranger],TR_6RecyclingArranger[ID_EC],TR_6RecyclingArranger[[#This Row],[ID_EC]])</f>
        <v>0</v>
      </c>
      <c r="R92" s="77">
        <f>IFERROR(INDEX(TR_5ExemptionClaim[How many of the pounds recycled through this pathway were supplied by this producer?],MATCH(TR_6RecyclingArranger[[#This Row],[ID_EC]],TR_5ExemptionClaim[ID_EC],0)),0)</f>
        <v>0</v>
      </c>
      <c r="S92" s="80" t="str">
        <f t="shared" si="1"/>
        <v/>
      </c>
      <c r="T92" s="40"/>
      <c r="U92" s="58"/>
    </row>
    <row r="93" spans="1:21" ht="30.75" customHeight="1" x14ac:dyDescent="0.2">
      <c r="A93" s="82" t="s">
        <v>477</v>
      </c>
      <c r="B93" s="46"/>
      <c r="C93" s="113"/>
      <c r="D93" s="214" t="str">
        <f>IF(TR_6RecyclingArranger[[#This Row],[ID_EC]]="","",INDEX(TR_5ExemptionClaim[End Market Name],MATCH(TR_6RecyclingArranger[[#This Row],[ID_EC]],TR_5ExemptionClaim[ID_EC],0)))</f>
        <v/>
      </c>
      <c r="E93" s="214" t="str">
        <f>IF(TR_6RecyclingArranger[[#This Row],[ID_EC]]="","",INDEX(TR_5ExemptionClaim[Collection or Transportation Service Provider Name],MATCH(TR_6RecyclingArranger[[#This Row],[ID_EC]],TR_5ExemptionClaim[ID_EC],0)))</f>
        <v/>
      </c>
      <c r="F93" s="214" t="str">
        <f>IF(TR_6RecyclingArranger[[#This Row],[ID_EC]]="","",IF(INDEX(TR_5ExemptionClaim[CRPF name],MATCH(TR_6RecyclingArranger[[#This Row],[ID_EC]],TR_5ExemptionClaim[ID_EC],0))=0,"None",INDEX(TR_5ExemptionClaim[CRPF name],MATCH(TR_6RecyclingArranger[[#This Row],[ID_EC]],TR_5ExemptionClaim[ID_EC],0))))</f>
        <v/>
      </c>
      <c r="G93" s="45"/>
      <c r="H93" s="108"/>
      <c r="I93" s="47"/>
      <c r="J93" s="48"/>
      <c r="K93" s="47"/>
      <c r="L93" s="79">
        <f>IF(COUNTIFS(TR_6RecyclingArranger[ID_EC],TR_6RecyclingArranger[[#This Row],[ID_EC]],TR_6RecyclingArranger[Name of Third-Party Recycling Arranger],TR_6RecyclingArranger[[#This Row],[Name of Third-Party Recycling Arranger]])&gt;1,1,0)</f>
        <v>0</v>
      </c>
      <c r="M93" s="79">
        <f>IF(TR_6RecyclingArranger[[#This Row],[ID_EC]]="",0,IFERROR(0*MATCH(TR_6RecyclingArranger[[#This Row],[ID_EC]],TR_5ExemptionClaim[Lookup: for arranger tab],0),1))</f>
        <v>0</v>
      </c>
      <c r="N93" s="79">
        <f>IF(TR_6RecyclingArranger[[#This Row],[ID_EC]]="",0,IF(COUNTA(TR_6RecyclingArranger[[#This Row],[Name of Third-Party Recycling Arranger]],TR_6RecyclingArranger[[#This Row],[Pounds of Producer''s Material Recycled by this Recycling Arranger]:[Recycling Arranger Contact Email]])=7,0,1))</f>
        <v>0</v>
      </c>
      <c r="O93" s="79">
        <f>IF(TR_6RecyclingArranger[[#This Row],[ID_EC]]&lt;&gt;"",0,IF(COUNTA(TR_6RecyclingArranger[[#This Row],[Name of Third-Party Recycling Arranger]],TR_6RecyclingArranger[[#This Row],[Pounds of Producer''s Material Recycled by this Recycling Arranger]:[Recycling Arranger Contact Email]])&gt;0,1,0))</f>
        <v>0</v>
      </c>
      <c r="P93" s="79">
        <f>IF(TR_6RecyclingArranger[[#This Row],[Lookup: pounds (this table)]]&gt;TR_6RecyclingArranger[[#This Row],[Lookup: pounds (5B tab)]],1,0)</f>
        <v>0</v>
      </c>
      <c r="Q93" s="77">
        <f>SUMIFS(TR_6RecyclingArranger[Pounds of Producer''s Material Recycled by this Recycling Arranger],TR_6RecyclingArranger[ID_EC],TR_6RecyclingArranger[[#This Row],[ID_EC]])</f>
        <v>0</v>
      </c>
      <c r="R93" s="77">
        <f>IFERROR(INDEX(TR_5ExemptionClaim[How many of the pounds recycled through this pathway were supplied by this producer?],MATCH(TR_6RecyclingArranger[[#This Row],[ID_EC]],TR_5ExemptionClaim[ID_EC],0)),0)</f>
        <v>0</v>
      </c>
      <c r="S93" s="80" t="str">
        <f t="shared" si="1"/>
        <v/>
      </c>
      <c r="T93" s="40"/>
      <c r="U93" s="58"/>
    </row>
    <row r="94" spans="1:21" ht="30.75" customHeight="1" x14ac:dyDescent="0.2">
      <c r="A94" s="82" t="s">
        <v>478</v>
      </c>
      <c r="B94" s="46"/>
      <c r="C94" s="113"/>
      <c r="D94" s="214" t="str">
        <f>IF(TR_6RecyclingArranger[[#This Row],[ID_EC]]="","",INDEX(TR_5ExemptionClaim[End Market Name],MATCH(TR_6RecyclingArranger[[#This Row],[ID_EC]],TR_5ExemptionClaim[ID_EC],0)))</f>
        <v/>
      </c>
      <c r="E94" s="214" t="str">
        <f>IF(TR_6RecyclingArranger[[#This Row],[ID_EC]]="","",INDEX(TR_5ExemptionClaim[Collection or Transportation Service Provider Name],MATCH(TR_6RecyclingArranger[[#This Row],[ID_EC]],TR_5ExemptionClaim[ID_EC],0)))</f>
        <v/>
      </c>
      <c r="F94" s="214" t="str">
        <f>IF(TR_6RecyclingArranger[[#This Row],[ID_EC]]="","",IF(INDEX(TR_5ExemptionClaim[CRPF name],MATCH(TR_6RecyclingArranger[[#This Row],[ID_EC]],TR_5ExemptionClaim[ID_EC],0))=0,"None",INDEX(TR_5ExemptionClaim[CRPF name],MATCH(TR_6RecyclingArranger[[#This Row],[ID_EC]],TR_5ExemptionClaim[ID_EC],0))))</f>
        <v/>
      </c>
      <c r="G94" s="45"/>
      <c r="H94" s="108"/>
      <c r="I94" s="47"/>
      <c r="J94" s="48"/>
      <c r="K94" s="47"/>
      <c r="L94" s="79">
        <f>IF(COUNTIFS(TR_6RecyclingArranger[ID_EC],TR_6RecyclingArranger[[#This Row],[ID_EC]],TR_6RecyclingArranger[Name of Third-Party Recycling Arranger],TR_6RecyclingArranger[[#This Row],[Name of Third-Party Recycling Arranger]])&gt;1,1,0)</f>
        <v>0</v>
      </c>
      <c r="M94" s="79">
        <f>IF(TR_6RecyclingArranger[[#This Row],[ID_EC]]="",0,IFERROR(0*MATCH(TR_6RecyclingArranger[[#This Row],[ID_EC]],TR_5ExemptionClaim[Lookup: for arranger tab],0),1))</f>
        <v>0</v>
      </c>
      <c r="N94" s="79">
        <f>IF(TR_6RecyclingArranger[[#This Row],[ID_EC]]="",0,IF(COUNTA(TR_6RecyclingArranger[[#This Row],[Name of Third-Party Recycling Arranger]],TR_6RecyclingArranger[[#This Row],[Pounds of Producer''s Material Recycled by this Recycling Arranger]:[Recycling Arranger Contact Email]])=7,0,1))</f>
        <v>0</v>
      </c>
      <c r="O94" s="79">
        <f>IF(TR_6RecyclingArranger[[#This Row],[ID_EC]]&lt;&gt;"",0,IF(COUNTA(TR_6RecyclingArranger[[#This Row],[Name of Third-Party Recycling Arranger]],TR_6RecyclingArranger[[#This Row],[Pounds of Producer''s Material Recycled by this Recycling Arranger]:[Recycling Arranger Contact Email]])&gt;0,1,0))</f>
        <v>0</v>
      </c>
      <c r="P94" s="79">
        <f>IF(TR_6RecyclingArranger[[#This Row],[Lookup: pounds (this table)]]&gt;TR_6RecyclingArranger[[#This Row],[Lookup: pounds (5B tab)]],1,0)</f>
        <v>0</v>
      </c>
      <c r="Q94" s="77">
        <f>SUMIFS(TR_6RecyclingArranger[Pounds of Producer''s Material Recycled by this Recycling Arranger],TR_6RecyclingArranger[ID_EC],TR_6RecyclingArranger[[#This Row],[ID_EC]])</f>
        <v>0</v>
      </c>
      <c r="R94" s="77">
        <f>IFERROR(INDEX(TR_5ExemptionClaim[How many of the pounds recycled through this pathway were supplied by this producer?],MATCH(TR_6RecyclingArranger[[#This Row],[ID_EC]],TR_5ExemptionClaim[ID_EC],0)),0)</f>
        <v>0</v>
      </c>
      <c r="S94" s="80" t="str">
        <f t="shared" si="1"/>
        <v/>
      </c>
      <c r="T94" s="40"/>
      <c r="U94" s="58"/>
    </row>
    <row r="95" spans="1:21" ht="30.75" customHeight="1" x14ac:dyDescent="0.2">
      <c r="A95" s="82" t="s">
        <v>479</v>
      </c>
      <c r="B95" s="46"/>
      <c r="C95" s="113"/>
      <c r="D95" s="214" t="str">
        <f>IF(TR_6RecyclingArranger[[#This Row],[ID_EC]]="","",INDEX(TR_5ExemptionClaim[End Market Name],MATCH(TR_6RecyclingArranger[[#This Row],[ID_EC]],TR_5ExemptionClaim[ID_EC],0)))</f>
        <v/>
      </c>
      <c r="E95" s="214" t="str">
        <f>IF(TR_6RecyclingArranger[[#This Row],[ID_EC]]="","",INDEX(TR_5ExemptionClaim[Collection or Transportation Service Provider Name],MATCH(TR_6RecyclingArranger[[#This Row],[ID_EC]],TR_5ExemptionClaim[ID_EC],0)))</f>
        <v/>
      </c>
      <c r="F95" s="214" t="str">
        <f>IF(TR_6RecyclingArranger[[#This Row],[ID_EC]]="","",IF(INDEX(TR_5ExemptionClaim[CRPF name],MATCH(TR_6RecyclingArranger[[#This Row],[ID_EC]],TR_5ExemptionClaim[ID_EC],0))=0,"None",INDEX(TR_5ExemptionClaim[CRPF name],MATCH(TR_6RecyclingArranger[[#This Row],[ID_EC]],TR_5ExemptionClaim[ID_EC],0))))</f>
        <v/>
      </c>
      <c r="G95" s="45"/>
      <c r="H95" s="108"/>
      <c r="I95" s="47"/>
      <c r="J95" s="48"/>
      <c r="K95" s="47"/>
      <c r="L95" s="79">
        <f>IF(COUNTIFS(TR_6RecyclingArranger[ID_EC],TR_6RecyclingArranger[[#This Row],[ID_EC]],TR_6RecyclingArranger[Name of Third-Party Recycling Arranger],TR_6RecyclingArranger[[#This Row],[Name of Third-Party Recycling Arranger]])&gt;1,1,0)</f>
        <v>0</v>
      </c>
      <c r="M95" s="79">
        <f>IF(TR_6RecyclingArranger[[#This Row],[ID_EC]]="",0,IFERROR(0*MATCH(TR_6RecyclingArranger[[#This Row],[ID_EC]],TR_5ExemptionClaim[Lookup: for arranger tab],0),1))</f>
        <v>0</v>
      </c>
      <c r="N95" s="79">
        <f>IF(TR_6RecyclingArranger[[#This Row],[ID_EC]]="",0,IF(COUNTA(TR_6RecyclingArranger[[#This Row],[Name of Third-Party Recycling Arranger]],TR_6RecyclingArranger[[#This Row],[Pounds of Producer''s Material Recycled by this Recycling Arranger]:[Recycling Arranger Contact Email]])=7,0,1))</f>
        <v>0</v>
      </c>
      <c r="O95" s="79">
        <f>IF(TR_6RecyclingArranger[[#This Row],[ID_EC]]&lt;&gt;"",0,IF(COUNTA(TR_6RecyclingArranger[[#This Row],[Name of Third-Party Recycling Arranger]],TR_6RecyclingArranger[[#This Row],[Pounds of Producer''s Material Recycled by this Recycling Arranger]:[Recycling Arranger Contact Email]])&gt;0,1,0))</f>
        <v>0</v>
      </c>
      <c r="P95" s="79">
        <f>IF(TR_6RecyclingArranger[[#This Row],[Lookup: pounds (this table)]]&gt;TR_6RecyclingArranger[[#This Row],[Lookup: pounds (5B tab)]],1,0)</f>
        <v>0</v>
      </c>
      <c r="Q95" s="77">
        <f>SUMIFS(TR_6RecyclingArranger[Pounds of Producer''s Material Recycled by this Recycling Arranger],TR_6RecyclingArranger[ID_EC],TR_6RecyclingArranger[[#This Row],[ID_EC]])</f>
        <v>0</v>
      </c>
      <c r="R95" s="77">
        <f>IFERROR(INDEX(TR_5ExemptionClaim[How many of the pounds recycled through this pathway were supplied by this producer?],MATCH(TR_6RecyclingArranger[[#This Row],[ID_EC]],TR_5ExemptionClaim[ID_EC],0)),0)</f>
        <v>0</v>
      </c>
      <c r="S95" s="80" t="str">
        <f t="shared" si="1"/>
        <v/>
      </c>
      <c r="T95" s="40"/>
      <c r="U95" s="58"/>
    </row>
    <row r="96" spans="1:21" ht="30.75" customHeight="1" x14ac:dyDescent="0.2">
      <c r="A96" s="82" t="s">
        <v>480</v>
      </c>
      <c r="B96" s="46"/>
      <c r="C96" s="113"/>
      <c r="D96" s="214" t="str">
        <f>IF(TR_6RecyclingArranger[[#This Row],[ID_EC]]="","",INDEX(TR_5ExemptionClaim[End Market Name],MATCH(TR_6RecyclingArranger[[#This Row],[ID_EC]],TR_5ExemptionClaim[ID_EC],0)))</f>
        <v/>
      </c>
      <c r="E96" s="214" t="str">
        <f>IF(TR_6RecyclingArranger[[#This Row],[ID_EC]]="","",INDEX(TR_5ExemptionClaim[Collection or Transportation Service Provider Name],MATCH(TR_6RecyclingArranger[[#This Row],[ID_EC]],TR_5ExemptionClaim[ID_EC],0)))</f>
        <v/>
      </c>
      <c r="F96" s="214" t="str">
        <f>IF(TR_6RecyclingArranger[[#This Row],[ID_EC]]="","",IF(INDEX(TR_5ExemptionClaim[CRPF name],MATCH(TR_6RecyclingArranger[[#This Row],[ID_EC]],TR_5ExemptionClaim[ID_EC],0))=0,"None",INDEX(TR_5ExemptionClaim[CRPF name],MATCH(TR_6RecyclingArranger[[#This Row],[ID_EC]],TR_5ExemptionClaim[ID_EC],0))))</f>
        <v/>
      </c>
      <c r="G96" s="45"/>
      <c r="H96" s="108"/>
      <c r="I96" s="47"/>
      <c r="J96" s="48"/>
      <c r="K96" s="47"/>
      <c r="L96" s="79">
        <f>IF(COUNTIFS(TR_6RecyclingArranger[ID_EC],TR_6RecyclingArranger[[#This Row],[ID_EC]],TR_6RecyclingArranger[Name of Third-Party Recycling Arranger],TR_6RecyclingArranger[[#This Row],[Name of Third-Party Recycling Arranger]])&gt;1,1,0)</f>
        <v>0</v>
      </c>
      <c r="M96" s="79">
        <f>IF(TR_6RecyclingArranger[[#This Row],[ID_EC]]="",0,IFERROR(0*MATCH(TR_6RecyclingArranger[[#This Row],[ID_EC]],TR_5ExemptionClaim[Lookup: for arranger tab],0),1))</f>
        <v>0</v>
      </c>
      <c r="N96" s="79">
        <f>IF(TR_6RecyclingArranger[[#This Row],[ID_EC]]="",0,IF(COUNTA(TR_6RecyclingArranger[[#This Row],[Name of Third-Party Recycling Arranger]],TR_6RecyclingArranger[[#This Row],[Pounds of Producer''s Material Recycled by this Recycling Arranger]:[Recycling Arranger Contact Email]])=7,0,1))</f>
        <v>0</v>
      </c>
      <c r="O96" s="79">
        <f>IF(TR_6RecyclingArranger[[#This Row],[ID_EC]]&lt;&gt;"",0,IF(COUNTA(TR_6RecyclingArranger[[#This Row],[Name of Third-Party Recycling Arranger]],TR_6RecyclingArranger[[#This Row],[Pounds of Producer''s Material Recycled by this Recycling Arranger]:[Recycling Arranger Contact Email]])&gt;0,1,0))</f>
        <v>0</v>
      </c>
      <c r="P96" s="79">
        <f>IF(TR_6RecyclingArranger[[#This Row],[Lookup: pounds (this table)]]&gt;TR_6RecyclingArranger[[#This Row],[Lookup: pounds (5B tab)]],1,0)</f>
        <v>0</v>
      </c>
      <c r="Q96" s="77">
        <f>SUMIFS(TR_6RecyclingArranger[Pounds of Producer''s Material Recycled by this Recycling Arranger],TR_6RecyclingArranger[ID_EC],TR_6RecyclingArranger[[#This Row],[ID_EC]])</f>
        <v>0</v>
      </c>
      <c r="R96" s="77">
        <f>IFERROR(INDEX(TR_5ExemptionClaim[How many of the pounds recycled through this pathway were supplied by this producer?],MATCH(TR_6RecyclingArranger[[#This Row],[ID_EC]],TR_5ExemptionClaim[ID_EC],0)),0)</f>
        <v>0</v>
      </c>
      <c r="S96" s="80" t="str">
        <f t="shared" si="1"/>
        <v/>
      </c>
      <c r="T96" s="40"/>
      <c r="U96" s="58"/>
    </row>
    <row r="97" spans="1:21" ht="30.75" customHeight="1" x14ac:dyDescent="0.2">
      <c r="A97" s="82" t="s">
        <v>481</v>
      </c>
      <c r="B97" s="46"/>
      <c r="C97" s="113"/>
      <c r="D97" s="214" t="str">
        <f>IF(TR_6RecyclingArranger[[#This Row],[ID_EC]]="","",INDEX(TR_5ExemptionClaim[End Market Name],MATCH(TR_6RecyclingArranger[[#This Row],[ID_EC]],TR_5ExemptionClaim[ID_EC],0)))</f>
        <v/>
      </c>
      <c r="E97" s="214" t="str">
        <f>IF(TR_6RecyclingArranger[[#This Row],[ID_EC]]="","",INDEX(TR_5ExemptionClaim[Collection or Transportation Service Provider Name],MATCH(TR_6RecyclingArranger[[#This Row],[ID_EC]],TR_5ExemptionClaim[ID_EC],0)))</f>
        <v/>
      </c>
      <c r="F97" s="214" t="str">
        <f>IF(TR_6RecyclingArranger[[#This Row],[ID_EC]]="","",IF(INDEX(TR_5ExemptionClaim[CRPF name],MATCH(TR_6RecyclingArranger[[#This Row],[ID_EC]],TR_5ExemptionClaim[ID_EC],0))=0,"None",INDEX(TR_5ExemptionClaim[CRPF name],MATCH(TR_6RecyclingArranger[[#This Row],[ID_EC]],TR_5ExemptionClaim[ID_EC],0))))</f>
        <v/>
      </c>
      <c r="G97" s="45"/>
      <c r="H97" s="108"/>
      <c r="I97" s="47"/>
      <c r="J97" s="48"/>
      <c r="K97" s="47"/>
      <c r="L97" s="79">
        <f>IF(COUNTIFS(TR_6RecyclingArranger[ID_EC],TR_6RecyclingArranger[[#This Row],[ID_EC]],TR_6RecyclingArranger[Name of Third-Party Recycling Arranger],TR_6RecyclingArranger[[#This Row],[Name of Third-Party Recycling Arranger]])&gt;1,1,0)</f>
        <v>0</v>
      </c>
      <c r="M97" s="79">
        <f>IF(TR_6RecyclingArranger[[#This Row],[ID_EC]]="",0,IFERROR(0*MATCH(TR_6RecyclingArranger[[#This Row],[ID_EC]],TR_5ExemptionClaim[Lookup: for arranger tab],0),1))</f>
        <v>0</v>
      </c>
      <c r="N97" s="79">
        <f>IF(TR_6RecyclingArranger[[#This Row],[ID_EC]]="",0,IF(COUNTA(TR_6RecyclingArranger[[#This Row],[Name of Third-Party Recycling Arranger]],TR_6RecyclingArranger[[#This Row],[Pounds of Producer''s Material Recycled by this Recycling Arranger]:[Recycling Arranger Contact Email]])=7,0,1))</f>
        <v>0</v>
      </c>
      <c r="O97" s="79">
        <f>IF(TR_6RecyclingArranger[[#This Row],[ID_EC]]&lt;&gt;"",0,IF(COUNTA(TR_6RecyclingArranger[[#This Row],[Name of Third-Party Recycling Arranger]],TR_6RecyclingArranger[[#This Row],[Pounds of Producer''s Material Recycled by this Recycling Arranger]:[Recycling Arranger Contact Email]])&gt;0,1,0))</f>
        <v>0</v>
      </c>
      <c r="P97" s="79">
        <f>IF(TR_6RecyclingArranger[[#This Row],[Lookup: pounds (this table)]]&gt;TR_6RecyclingArranger[[#This Row],[Lookup: pounds (5B tab)]],1,0)</f>
        <v>0</v>
      </c>
      <c r="Q97" s="77">
        <f>SUMIFS(TR_6RecyclingArranger[Pounds of Producer''s Material Recycled by this Recycling Arranger],TR_6RecyclingArranger[ID_EC],TR_6RecyclingArranger[[#This Row],[ID_EC]])</f>
        <v>0</v>
      </c>
      <c r="R97" s="77">
        <f>IFERROR(INDEX(TR_5ExemptionClaim[How many of the pounds recycled through this pathway were supplied by this producer?],MATCH(TR_6RecyclingArranger[[#This Row],[ID_EC]],TR_5ExemptionClaim[ID_EC],0)),0)</f>
        <v>0</v>
      </c>
      <c r="S97" s="80" t="str">
        <f t="shared" si="1"/>
        <v/>
      </c>
      <c r="T97" s="40"/>
      <c r="U97" s="58"/>
    </row>
    <row r="98" spans="1:21" ht="30.75" customHeight="1" x14ac:dyDescent="0.2">
      <c r="A98" s="82" t="s">
        <v>482</v>
      </c>
      <c r="B98" s="46"/>
      <c r="C98" s="113"/>
      <c r="D98" s="214" t="str">
        <f>IF(TR_6RecyclingArranger[[#This Row],[ID_EC]]="","",INDEX(TR_5ExemptionClaim[End Market Name],MATCH(TR_6RecyclingArranger[[#This Row],[ID_EC]],TR_5ExemptionClaim[ID_EC],0)))</f>
        <v/>
      </c>
      <c r="E98" s="214" t="str">
        <f>IF(TR_6RecyclingArranger[[#This Row],[ID_EC]]="","",INDEX(TR_5ExemptionClaim[Collection or Transportation Service Provider Name],MATCH(TR_6RecyclingArranger[[#This Row],[ID_EC]],TR_5ExemptionClaim[ID_EC],0)))</f>
        <v/>
      </c>
      <c r="F98" s="214" t="str">
        <f>IF(TR_6RecyclingArranger[[#This Row],[ID_EC]]="","",IF(INDEX(TR_5ExemptionClaim[CRPF name],MATCH(TR_6RecyclingArranger[[#This Row],[ID_EC]],TR_5ExemptionClaim[ID_EC],0))=0,"None",INDEX(TR_5ExemptionClaim[CRPF name],MATCH(TR_6RecyclingArranger[[#This Row],[ID_EC]],TR_5ExemptionClaim[ID_EC],0))))</f>
        <v/>
      </c>
      <c r="G98" s="45"/>
      <c r="H98" s="108"/>
      <c r="I98" s="47"/>
      <c r="J98" s="48"/>
      <c r="K98" s="47"/>
      <c r="L98" s="79">
        <f>IF(COUNTIFS(TR_6RecyclingArranger[ID_EC],TR_6RecyclingArranger[[#This Row],[ID_EC]],TR_6RecyclingArranger[Name of Third-Party Recycling Arranger],TR_6RecyclingArranger[[#This Row],[Name of Third-Party Recycling Arranger]])&gt;1,1,0)</f>
        <v>0</v>
      </c>
      <c r="M98" s="79">
        <f>IF(TR_6RecyclingArranger[[#This Row],[ID_EC]]="",0,IFERROR(0*MATCH(TR_6RecyclingArranger[[#This Row],[ID_EC]],TR_5ExemptionClaim[Lookup: for arranger tab],0),1))</f>
        <v>0</v>
      </c>
      <c r="N98" s="79">
        <f>IF(TR_6RecyclingArranger[[#This Row],[ID_EC]]="",0,IF(COUNTA(TR_6RecyclingArranger[[#This Row],[Name of Third-Party Recycling Arranger]],TR_6RecyclingArranger[[#This Row],[Pounds of Producer''s Material Recycled by this Recycling Arranger]:[Recycling Arranger Contact Email]])=7,0,1))</f>
        <v>0</v>
      </c>
      <c r="O98" s="79">
        <f>IF(TR_6RecyclingArranger[[#This Row],[ID_EC]]&lt;&gt;"",0,IF(COUNTA(TR_6RecyclingArranger[[#This Row],[Name of Third-Party Recycling Arranger]],TR_6RecyclingArranger[[#This Row],[Pounds of Producer''s Material Recycled by this Recycling Arranger]:[Recycling Arranger Contact Email]])&gt;0,1,0))</f>
        <v>0</v>
      </c>
      <c r="P98" s="79">
        <f>IF(TR_6RecyclingArranger[[#This Row],[Lookup: pounds (this table)]]&gt;TR_6RecyclingArranger[[#This Row],[Lookup: pounds (5B tab)]],1,0)</f>
        <v>0</v>
      </c>
      <c r="Q98" s="77">
        <f>SUMIFS(TR_6RecyclingArranger[Pounds of Producer''s Material Recycled by this Recycling Arranger],TR_6RecyclingArranger[ID_EC],TR_6RecyclingArranger[[#This Row],[ID_EC]])</f>
        <v>0</v>
      </c>
      <c r="R98" s="77">
        <f>IFERROR(INDEX(TR_5ExemptionClaim[How many of the pounds recycled through this pathway were supplied by this producer?],MATCH(TR_6RecyclingArranger[[#This Row],[ID_EC]],TR_5ExemptionClaim[ID_EC],0)),0)</f>
        <v>0</v>
      </c>
      <c r="S98" s="80" t="str">
        <f t="shared" si="1"/>
        <v/>
      </c>
      <c r="T98" s="40"/>
      <c r="U98" s="58"/>
    </row>
    <row r="99" spans="1:21" ht="30.75" customHeight="1" x14ac:dyDescent="0.2">
      <c r="A99" s="82" t="s">
        <v>483</v>
      </c>
      <c r="B99" s="46"/>
      <c r="C99" s="113"/>
      <c r="D99" s="214" t="str">
        <f>IF(TR_6RecyclingArranger[[#This Row],[ID_EC]]="","",INDEX(TR_5ExemptionClaim[End Market Name],MATCH(TR_6RecyclingArranger[[#This Row],[ID_EC]],TR_5ExemptionClaim[ID_EC],0)))</f>
        <v/>
      </c>
      <c r="E99" s="214" t="str">
        <f>IF(TR_6RecyclingArranger[[#This Row],[ID_EC]]="","",INDEX(TR_5ExemptionClaim[Collection or Transportation Service Provider Name],MATCH(TR_6RecyclingArranger[[#This Row],[ID_EC]],TR_5ExemptionClaim[ID_EC],0)))</f>
        <v/>
      </c>
      <c r="F99" s="214" t="str">
        <f>IF(TR_6RecyclingArranger[[#This Row],[ID_EC]]="","",IF(INDEX(TR_5ExemptionClaim[CRPF name],MATCH(TR_6RecyclingArranger[[#This Row],[ID_EC]],TR_5ExemptionClaim[ID_EC],0))=0,"None",INDEX(TR_5ExemptionClaim[CRPF name],MATCH(TR_6RecyclingArranger[[#This Row],[ID_EC]],TR_5ExemptionClaim[ID_EC],0))))</f>
        <v/>
      </c>
      <c r="G99" s="45"/>
      <c r="H99" s="108"/>
      <c r="I99" s="47"/>
      <c r="J99" s="48"/>
      <c r="K99" s="47"/>
      <c r="L99" s="79">
        <f>IF(COUNTIFS(TR_6RecyclingArranger[ID_EC],TR_6RecyclingArranger[[#This Row],[ID_EC]],TR_6RecyclingArranger[Name of Third-Party Recycling Arranger],TR_6RecyclingArranger[[#This Row],[Name of Third-Party Recycling Arranger]])&gt;1,1,0)</f>
        <v>0</v>
      </c>
      <c r="M99" s="79">
        <f>IF(TR_6RecyclingArranger[[#This Row],[ID_EC]]="",0,IFERROR(0*MATCH(TR_6RecyclingArranger[[#This Row],[ID_EC]],TR_5ExemptionClaim[Lookup: for arranger tab],0),1))</f>
        <v>0</v>
      </c>
      <c r="N99" s="79">
        <f>IF(TR_6RecyclingArranger[[#This Row],[ID_EC]]="",0,IF(COUNTA(TR_6RecyclingArranger[[#This Row],[Name of Third-Party Recycling Arranger]],TR_6RecyclingArranger[[#This Row],[Pounds of Producer''s Material Recycled by this Recycling Arranger]:[Recycling Arranger Contact Email]])=7,0,1))</f>
        <v>0</v>
      </c>
      <c r="O99" s="79">
        <f>IF(TR_6RecyclingArranger[[#This Row],[ID_EC]]&lt;&gt;"",0,IF(COUNTA(TR_6RecyclingArranger[[#This Row],[Name of Third-Party Recycling Arranger]],TR_6RecyclingArranger[[#This Row],[Pounds of Producer''s Material Recycled by this Recycling Arranger]:[Recycling Arranger Contact Email]])&gt;0,1,0))</f>
        <v>0</v>
      </c>
      <c r="P99" s="79">
        <f>IF(TR_6RecyclingArranger[[#This Row],[Lookup: pounds (this table)]]&gt;TR_6RecyclingArranger[[#This Row],[Lookup: pounds (5B tab)]],1,0)</f>
        <v>0</v>
      </c>
      <c r="Q99" s="77">
        <f>SUMIFS(TR_6RecyclingArranger[Pounds of Producer''s Material Recycled by this Recycling Arranger],TR_6RecyclingArranger[ID_EC],TR_6RecyclingArranger[[#This Row],[ID_EC]])</f>
        <v>0</v>
      </c>
      <c r="R99" s="77">
        <f>IFERROR(INDEX(TR_5ExemptionClaim[How many of the pounds recycled through this pathway were supplied by this producer?],MATCH(TR_6RecyclingArranger[[#This Row],[ID_EC]],TR_5ExemptionClaim[ID_EC],0)),0)</f>
        <v>0</v>
      </c>
      <c r="S99" s="80" t="str">
        <f t="shared" si="1"/>
        <v/>
      </c>
      <c r="T99" s="40"/>
      <c r="U99" s="58"/>
    </row>
    <row r="100" spans="1:21" ht="30.75" customHeight="1" x14ac:dyDescent="0.2">
      <c r="A100" s="82" t="s">
        <v>484</v>
      </c>
      <c r="B100" s="46"/>
      <c r="C100" s="113"/>
      <c r="D100" s="214" t="str">
        <f>IF(TR_6RecyclingArranger[[#This Row],[ID_EC]]="","",INDEX(TR_5ExemptionClaim[End Market Name],MATCH(TR_6RecyclingArranger[[#This Row],[ID_EC]],TR_5ExemptionClaim[ID_EC],0)))</f>
        <v/>
      </c>
      <c r="E100" s="214" t="str">
        <f>IF(TR_6RecyclingArranger[[#This Row],[ID_EC]]="","",INDEX(TR_5ExemptionClaim[Collection or Transportation Service Provider Name],MATCH(TR_6RecyclingArranger[[#This Row],[ID_EC]],TR_5ExemptionClaim[ID_EC],0)))</f>
        <v/>
      </c>
      <c r="F100" s="214" t="str">
        <f>IF(TR_6RecyclingArranger[[#This Row],[ID_EC]]="","",IF(INDEX(TR_5ExemptionClaim[CRPF name],MATCH(TR_6RecyclingArranger[[#This Row],[ID_EC]],TR_5ExemptionClaim[ID_EC],0))=0,"None",INDEX(TR_5ExemptionClaim[CRPF name],MATCH(TR_6RecyclingArranger[[#This Row],[ID_EC]],TR_5ExemptionClaim[ID_EC],0))))</f>
        <v/>
      </c>
      <c r="G100" s="45"/>
      <c r="H100" s="108"/>
      <c r="I100" s="47"/>
      <c r="J100" s="48"/>
      <c r="K100" s="47"/>
      <c r="L100" s="79">
        <f>IF(COUNTIFS(TR_6RecyclingArranger[ID_EC],TR_6RecyclingArranger[[#This Row],[ID_EC]],TR_6RecyclingArranger[Name of Third-Party Recycling Arranger],TR_6RecyclingArranger[[#This Row],[Name of Third-Party Recycling Arranger]])&gt;1,1,0)</f>
        <v>0</v>
      </c>
      <c r="M100" s="79">
        <f>IF(TR_6RecyclingArranger[[#This Row],[ID_EC]]="",0,IFERROR(0*MATCH(TR_6RecyclingArranger[[#This Row],[ID_EC]],TR_5ExemptionClaim[Lookup: for arranger tab],0),1))</f>
        <v>0</v>
      </c>
      <c r="N100" s="79">
        <f>IF(TR_6RecyclingArranger[[#This Row],[ID_EC]]="",0,IF(COUNTA(TR_6RecyclingArranger[[#This Row],[Name of Third-Party Recycling Arranger]],TR_6RecyclingArranger[[#This Row],[Pounds of Producer''s Material Recycled by this Recycling Arranger]:[Recycling Arranger Contact Email]])=7,0,1))</f>
        <v>0</v>
      </c>
      <c r="O100" s="79">
        <f>IF(TR_6RecyclingArranger[[#This Row],[ID_EC]]&lt;&gt;"",0,IF(COUNTA(TR_6RecyclingArranger[[#This Row],[Name of Third-Party Recycling Arranger]],TR_6RecyclingArranger[[#This Row],[Pounds of Producer''s Material Recycled by this Recycling Arranger]:[Recycling Arranger Contact Email]])&gt;0,1,0))</f>
        <v>0</v>
      </c>
      <c r="P100" s="79">
        <f>IF(TR_6RecyclingArranger[[#This Row],[Lookup: pounds (this table)]]&gt;TR_6RecyclingArranger[[#This Row],[Lookup: pounds (5B tab)]],1,0)</f>
        <v>0</v>
      </c>
      <c r="Q100" s="77">
        <f>SUMIFS(TR_6RecyclingArranger[Pounds of Producer''s Material Recycled by this Recycling Arranger],TR_6RecyclingArranger[ID_EC],TR_6RecyclingArranger[[#This Row],[ID_EC]])</f>
        <v>0</v>
      </c>
      <c r="R100" s="77">
        <f>IFERROR(INDEX(TR_5ExemptionClaim[How many of the pounds recycled through this pathway were supplied by this producer?],MATCH(TR_6RecyclingArranger[[#This Row],[ID_EC]],TR_5ExemptionClaim[ID_EC],0)),0)</f>
        <v>0</v>
      </c>
      <c r="S100" s="80" t="str">
        <f t="shared" si="1"/>
        <v/>
      </c>
      <c r="T100" s="40"/>
      <c r="U100" s="58"/>
    </row>
    <row r="101" spans="1:21" ht="30.75" customHeight="1" x14ac:dyDescent="0.2">
      <c r="A101" s="82" t="s">
        <v>485</v>
      </c>
      <c r="B101" s="46"/>
      <c r="C101" s="113"/>
      <c r="D101" s="214" t="str">
        <f>IF(TR_6RecyclingArranger[[#This Row],[ID_EC]]="","",INDEX(TR_5ExemptionClaim[End Market Name],MATCH(TR_6RecyclingArranger[[#This Row],[ID_EC]],TR_5ExemptionClaim[ID_EC],0)))</f>
        <v/>
      </c>
      <c r="E101" s="214" t="str">
        <f>IF(TR_6RecyclingArranger[[#This Row],[ID_EC]]="","",INDEX(TR_5ExemptionClaim[Collection or Transportation Service Provider Name],MATCH(TR_6RecyclingArranger[[#This Row],[ID_EC]],TR_5ExemptionClaim[ID_EC],0)))</f>
        <v/>
      </c>
      <c r="F101" s="214" t="str">
        <f>IF(TR_6RecyclingArranger[[#This Row],[ID_EC]]="","",IF(INDEX(TR_5ExemptionClaim[CRPF name],MATCH(TR_6RecyclingArranger[[#This Row],[ID_EC]],TR_5ExemptionClaim[ID_EC],0))=0,"None",INDEX(TR_5ExemptionClaim[CRPF name],MATCH(TR_6RecyclingArranger[[#This Row],[ID_EC]],TR_5ExemptionClaim[ID_EC],0))))</f>
        <v/>
      </c>
      <c r="G101" s="45"/>
      <c r="H101" s="108"/>
      <c r="I101" s="47"/>
      <c r="J101" s="48"/>
      <c r="K101" s="47"/>
      <c r="L101" s="79">
        <f>IF(COUNTIFS(TR_6RecyclingArranger[ID_EC],TR_6RecyclingArranger[[#This Row],[ID_EC]],TR_6RecyclingArranger[Name of Third-Party Recycling Arranger],TR_6RecyclingArranger[[#This Row],[Name of Third-Party Recycling Arranger]])&gt;1,1,0)</f>
        <v>0</v>
      </c>
      <c r="M101" s="79">
        <f>IF(TR_6RecyclingArranger[[#This Row],[ID_EC]]="",0,IFERROR(0*MATCH(TR_6RecyclingArranger[[#This Row],[ID_EC]],TR_5ExemptionClaim[Lookup: for arranger tab],0),1))</f>
        <v>0</v>
      </c>
      <c r="N101" s="79">
        <f>IF(TR_6RecyclingArranger[[#This Row],[ID_EC]]="",0,IF(COUNTA(TR_6RecyclingArranger[[#This Row],[Name of Third-Party Recycling Arranger]],TR_6RecyclingArranger[[#This Row],[Pounds of Producer''s Material Recycled by this Recycling Arranger]:[Recycling Arranger Contact Email]])=7,0,1))</f>
        <v>0</v>
      </c>
      <c r="O101" s="79">
        <f>IF(TR_6RecyclingArranger[[#This Row],[ID_EC]]&lt;&gt;"",0,IF(COUNTA(TR_6RecyclingArranger[[#This Row],[Name of Third-Party Recycling Arranger]],TR_6RecyclingArranger[[#This Row],[Pounds of Producer''s Material Recycled by this Recycling Arranger]:[Recycling Arranger Contact Email]])&gt;0,1,0))</f>
        <v>0</v>
      </c>
      <c r="P101" s="79">
        <f>IF(TR_6RecyclingArranger[[#This Row],[Lookup: pounds (this table)]]&gt;TR_6RecyclingArranger[[#This Row],[Lookup: pounds (5B tab)]],1,0)</f>
        <v>0</v>
      </c>
      <c r="Q101" s="77">
        <f>SUMIFS(TR_6RecyclingArranger[Pounds of Producer''s Material Recycled by this Recycling Arranger],TR_6RecyclingArranger[ID_EC],TR_6RecyclingArranger[[#This Row],[ID_EC]])</f>
        <v>0</v>
      </c>
      <c r="R101" s="77">
        <f>IFERROR(INDEX(TR_5ExemptionClaim[How many of the pounds recycled through this pathway were supplied by this producer?],MATCH(TR_6RecyclingArranger[[#This Row],[ID_EC]],TR_5ExemptionClaim[ID_EC],0)),0)</f>
        <v>0</v>
      </c>
      <c r="S101" s="80" t="str">
        <f t="shared" si="1"/>
        <v/>
      </c>
      <c r="T101" s="40"/>
      <c r="U101" s="58"/>
    </row>
    <row r="102" spans="1:21" ht="30.75" customHeight="1" x14ac:dyDescent="0.2">
      <c r="A102" s="82" t="s">
        <v>486</v>
      </c>
      <c r="B102" s="46"/>
      <c r="C102" s="113"/>
      <c r="D102" s="214" t="str">
        <f>IF(TR_6RecyclingArranger[[#This Row],[ID_EC]]="","",INDEX(TR_5ExemptionClaim[End Market Name],MATCH(TR_6RecyclingArranger[[#This Row],[ID_EC]],TR_5ExemptionClaim[ID_EC],0)))</f>
        <v/>
      </c>
      <c r="E102" s="214" t="str">
        <f>IF(TR_6RecyclingArranger[[#This Row],[ID_EC]]="","",INDEX(TR_5ExemptionClaim[Collection or Transportation Service Provider Name],MATCH(TR_6RecyclingArranger[[#This Row],[ID_EC]],TR_5ExemptionClaim[ID_EC],0)))</f>
        <v/>
      </c>
      <c r="F102" s="214" t="str">
        <f>IF(TR_6RecyclingArranger[[#This Row],[ID_EC]]="","",IF(INDEX(TR_5ExemptionClaim[CRPF name],MATCH(TR_6RecyclingArranger[[#This Row],[ID_EC]],TR_5ExemptionClaim[ID_EC],0))=0,"None",INDEX(TR_5ExemptionClaim[CRPF name],MATCH(TR_6RecyclingArranger[[#This Row],[ID_EC]],TR_5ExemptionClaim[ID_EC],0))))</f>
        <v/>
      </c>
      <c r="G102" s="45"/>
      <c r="H102" s="108"/>
      <c r="I102" s="47"/>
      <c r="J102" s="48"/>
      <c r="K102" s="47"/>
      <c r="L102" s="79">
        <f>IF(COUNTIFS(TR_6RecyclingArranger[ID_EC],TR_6RecyclingArranger[[#This Row],[ID_EC]],TR_6RecyclingArranger[Name of Third-Party Recycling Arranger],TR_6RecyclingArranger[[#This Row],[Name of Third-Party Recycling Arranger]])&gt;1,1,0)</f>
        <v>0</v>
      </c>
      <c r="M102" s="79">
        <f>IF(TR_6RecyclingArranger[[#This Row],[ID_EC]]="",0,IFERROR(0*MATCH(TR_6RecyclingArranger[[#This Row],[ID_EC]],TR_5ExemptionClaim[Lookup: for arranger tab],0),1))</f>
        <v>0</v>
      </c>
      <c r="N102" s="79">
        <f>IF(TR_6RecyclingArranger[[#This Row],[ID_EC]]="",0,IF(COUNTA(TR_6RecyclingArranger[[#This Row],[Name of Third-Party Recycling Arranger]],TR_6RecyclingArranger[[#This Row],[Pounds of Producer''s Material Recycled by this Recycling Arranger]:[Recycling Arranger Contact Email]])=7,0,1))</f>
        <v>0</v>
      </c>
      <c r="O102" s="79">
        <f>IF(TR_6RecyclingArranger[[#This Row],[ID_EC]]&lt;&gt;"",0,IF(COUNTA(TR_6RecyclingArranger[[#This Row],[Name of Third-Party Recycling Arranger]],TR_6RecyclingArranger[[#This Row],[Pounds of Producer''s Material Recycled by this Recycling Arranger]:[Recycling Arranger Contact Email]])&gt;0,1,0))</f>
        <v>0</v>
      </c>
      <c r="P102" s="79">
        <f>IF(TR_6RecyclingArranger[[#This Row],[Lookup: pounds (this table)]]&gt;TR_6RecyclingArranger[[#This Row],[Lookup: pounds (5B tab)]],1,0)</f>
        <v>0</v>
      </c>
      <c r="Q102" s="77">
        <f>SUMIFS(TR_6RecyclingArranger[Pounds of Producer''s Material Recycled by this Recycling Arranger],TR_6RecyclingArranger[ID_EC],TR_6RecyclingArranger[[#This Row],[ID_EC]])</f>
        <v>0</v>
      </c>
      <c r="R102" s="77">
        <f>IFERROR(INDEX(TR_5ExemptionClaim[How many of the pounds recycled through this pathway were supplied by this producer?],MATCH(TR_6RecyclingArranger[[#This Row],[ID_EC]],TR_5ExemptionClaim[ID_EC],0)),0)</f>
        <v>0</v>
      </c>
      <c r="S102" s="80" t="str">
        <f t="shared" si="1"/>
        <v/>
      </c>
      <c r="T102" s="40"/>
      <c r="U102" s="58"/>
    </row>
    <row r="103" spans="1:21" ht="30.75" customHeight="1" x14ac:dyDescent="0.2">
      <c r="A103" s="82" t="s">
        <v>487</v>
      </c>
      <c r="B103" s="46"/>
      <c r="C103" s="113"/>
      <c r="D103" s="214" t="str">
        <f>IF(TR_6RecyclingArranger[[#This Row],[ID_EC]]="","",INDEX(TR_5ExemptionClaim[End Market Name],MATCH(TR_6RecyclingArranger[[#This Row],[ID_EC]],TR_5ExemptionClaim[ID_EC],0)))</f>
        <v/>
      </c>
      <c r="E103" s="214" t="str">
        <f>IF(TR_6RecyclingArranger[[#This Row],[ID_EC]]="","",INDEX(TR_5ExemptionClaim[Collection or Transportation Service Provider Name],MATCH(TR_6RecyclingArranger[[#This Row],[ID_EC]],TR_5ExemptionClaim[ID_EC],0)))</f>
        <v/>
      </c>
      <c r="F103" s="214" t="str">
        <f>IF(TR_6RecyclingArranger[[#This Row],[ID_EC]]="","",IF(INDEX(TR_5ExemptionClaim[CRPF name],MATCH(TR_6RecyclingArranger[[#This Row],[ID_EC]],TR_5ExemptionClaim[ID_EC],0))=0,"None",INDEX(TR_5ExemptionClaim[CRPF name],MATCH(TR_6RecyclingArranger[[#This Row],[ID_EC]],TR_5ExemptionClaim[ID_EC],0))))</f>
        <v/>
      </c>
      <c r="G103" s="45"/>
      <c r="H103" s="108"/>
      <c r="I103" s="47"/>
      <c r="J103" s="48"/>
      <c r="K103" s="47"/>
      <c r="L103" s="79">
        <f>IF(COUNTIFS(TR_6RecyclingArranger[ID_EC],TR_6RecyclingArranger[[#This Row],[ID_EC]],TR_6RecyclingArranger[Name of Third-Party Recycling Arranger],TR_6RecyclingArranger[[#This Row],[Name of Third-Party Recycling Arranger]])&gt;1,1,0)</f>
        <v>0</v>
      </c>
      <c r="M103" s="79">
        <f>IF(TR_6RecyclingArranger[[#This Row],[ID_EC]]="",0,IFERROR(0*MATCH(TR_6RecyclingArranger[[#This Row],[ID_EC]],TR_5ExemptionClaim[Lookup: for arranger tab],0),1))</f>
        <v>0</v>
      </c>
      <c r="N103" s="79">
        <f>IF(TR_6RecyclingArranger[[#This Row],[ID_EC]]="",0,IF(COUNTA(TR_6RecyclingArranger[[#This Row],[Name of Third-Party Recycling Arranger]],TR_6RecyclingArranger[[#This Row],[Pounds of Producer''s Material Recycled by this Recycling Arranger]:[Recycling Arranger Contact Email]])=7,0,1))</f>
        <v>0</v>
      </c>
      <c r="O103" s="79">
        <f>IF(TR_6RecyclingArranger[[#This Row],[ID_EC]]&lt;&gt;"",0,IF(COUNTA(TR_6RecyclingArranger[[#This Row],[Name of Third-Party Recycling Arranger]],TR_6RecyclingArranger[[#This Row],[Pounds of Producer''s Material Recycled by this Recycling Arranger]:[Recycling Arranger Contact Email]])&gt;0,1,0))</f>
        <v>0</v>
      </c>
      <c r="P103" s="79">
        <f>IF(TR_6RecyclingArranger[[#This Row],[Lookup: pounds (this table)]]&gt;TR_6RecyclingArranger[[#This Row],[Lookup: pounds (5B tab)]],1,0)</f>
        <v>0</v>
      </c>
      <c r="Q103" s="77">
        <f>SUMIFS(TR_6RecyclingArranger[Pounds of Producer''s Material Recycled by this Recycling Arranger],TR_6RecyclingArranger[ID_EC],TR_6RecyclingArranger[[#This Row],[ID_EC]])</f>
        <v>0</v>
      </c>
      <c r="R103" s="77">
        <f>IFERROR(INDEX(TR_5ExemptionClaim[How many of the pounds recycled through this pathway were supplied by this producer?],MATCH(TR_6RecyclingArranger[[#This Row],[ID_EC]],TR_5ExemptionClaim[ID_EC],0)),0)</f>
        <v>0</v>
      </c>
      <c r="S103" s="80" t="str">
        <f t="shared" si="1"/>
        <v/>
      </c>
      <c r="T103" s="40"/>
      <c r="U103" s="58"/>
    </row>
    <row r="104" spans="1:21" ht="30.75" customHeight="1" x14ac:dyDescent="0.2">
      <c r="A104" s="82" t="s">
        <v>488</v>
      </c>
      <c r="B104" s="46"/>
      <c r="C104" s="113"/>
      <c r="D104" s="214" t="str">
        <f>IF(TR_6RecyclingArranger[[#This Row],[ID_EC]]="","",INDEX(TR_5ExemptionClaim[End Market Name],MATCH(TR_6RecyclingArranger[[#This Row],[ID_EC]],TR_5ExemptionClaim[ID_EC],0)))</f>
        <v/>
      </c>
      <c r="E104" s="214" t="str">
        <f>IF(TR_6RecyclingArranger[[#This Row],[ID_EC]]="","",INDEX(TR_5ExemptionClaim[Collection or Transportation Service Provider Name],MATCH(TR_6RecyclingArranger[[#This Row],[ID_EC]],TR_5ExemptionClaim[ID_EC],0)))</f>
        <v/>
      </c>
      <c r="F104" s="214" t="str">
        <f>IF(TR_6RecyclingArranger[[#This Row],[ID_EC]]="","",IF(INDEX(TR_5ExemptionClaim[CRPF name],MATCH(TR_6RecyclingArranger[[#This Row],[ID_EC]],TR_5ExemptionClaim[ID_EC],0))=0,"None",INDEX(TR_5ExemptionClaim[CRPF name],MATCH(TR_6RecyclingArranger[[#This Row],[ID_EC]],TR_5ExemptionClaim[ID_EC],0))))</f>
        <v/>
      </c>
      <c r="G104" s="45"/>
      <c r="H104" s="108"/>
      <c r="I104" s="47"/>
      <c r="J104" s="48"/>
      <c r="K104" s="47"/>
      <c r="L104" s="79">
        <f>IF(COUNTIFS(TR_6RecyclingArranger[ID_EC],TR_6RecyclingArranger[[#This Row],[ID_EC]],TR_6RecyclingArranger[Name of Third-Party Recycling Arranger],TR_6RecyclingArranger[[#This Row],[Name of Third-Party Recycling Arranger]])&gt;1,1,0)</f>
        <v>0</v>
      </c>
      <c r="M104" s="79">
        <f>IF(TR_6RecyclingArranger[[#This Row],[ID_EC]]="",0,IFERROR(0*MATCH(TR_6RecyclingArranger[[#This Row],[ID_EC]],TR_5ExemptionClaim[Lookup: for arranger tab],0),1))</f>
        <v>0</v>
      </c>
      <c r="N104" s="79">
        <f>IF(TR_6RecyclingArranger[[#This Row],[ID_EC]]="",0,IF(COUNTA(TR_6RecyclingArranger[[#This Row],[Name of Third-Party Recycling Arranger]],TR_6RecyclingArranger[[#This Row],[Pounds of Producer''s Material Recycled by this Recycling Arranger]:[Recycling Arranger Contact Email]])=7,0,1))</f>
        <v>0</v>
      </c>
      <c r="O104" s="79">
        <f>IF(TR_6RecyclingArranger[[#This Row],[ID_EC]]&lt;&gt;"",0,IF(COUNTA(TR_6RecyclingArranger[[#This Row],[Name of Third-Party Recycling Arranger]],TR_6RecyclingArranger[[#This Row],[Pounds of Producer''s Material Recycled by this Recycling Arranger]:[Recycling Arranger Contact Email]])&gt;0,1,0))</f>
        <v>0</v>
      </c>
      <c r="P104" s="79">
        <f>IF(TR_6RecyclingArranger[[#This Row],[Lookup: pounds (this table)]]&gt;TR_6RecyclingArranger[[#This Row],[Lookup: pounds (5B tab)]],1,0)</f>
        <v>0</v>
      </c>
      <c r="Q104" s="77">
        <f>SUMIFS(TR_6RecyclingArranger[Pounds of Producer''s Material Recycled by this Recycling Arranger],TR_6RecyclingArranger[ID_EC],TR_6RecyclingArranger[[#This Row],[ID_EC]])</f>
        <v>0</v>
      </c>
      <c r="R104" s="77">
        <f>IFERROR(INDEX(TR_5ExemptionClaim[How many of the pounds recycled through this pathway were supplied by this producer?],MATCH(TR_6RecyclingArranger[[#This Row],[ID_EC]],TR_5ExemptionClaim[ID_EC],0)),0)</f>
        <v>0</v>
      </c>
      <c r="S104" s="80" t="str">
        <f t="shared" si="1"/>
        <v/>
      </c>
      <c r="T104" s="40"/>
      <c r="U104" s="58"/>
    </row>
    <row r="105" spans="1:21" ht="30.75" customHeight="1" x14ac:dyDescent="0.2">
      <c r="A105" s="82" t="s">
        <v>489</v>
      </c>
      <c r="B105" s="46"/>
      <c r="C105" s="113"/>
      <c r="D105" s="214" t="str">
        <f>IF(TR_6RecyclingArranger[[#This Row],[ID_EC]]="","",INDEX(TR_5ExemptionClaim[End Market Name],MATCH(TR_6RecyclingArranger[[#This Row],[ID_EC]],TR_5ExemptionClaim[ID_EC],0)))</f>
        <v/>
      </c>
      <c r="E105" s="214" t="str">
        <f>IF(TR_6RecyclingArranger[[#This Row],[ID_EC]]="","",INDEX(TR_5ExemptionClaim[Collection or Transportation Service Provider Name],MATCH(TR_6RecyclingArranger[[#This Row],[ID_EC]],TR_5ExemptionClaim[ID_EC],0)))</f>
        <v/>
      </c>
      <c r="F105" s="214" t="str">
        <f>IF(TR_6RecyclingArranger[[#This Row],[ID_EC]]="","",IF(INDEX(TR_5ExemptionClaim[CRPF name],MATCH(TR_6RecyclingArranger[[#This Row],[ID_EC]],TR_5ExemptionClaim[ID_EC],0))=0,"None",INDEX(TR_5ExemptionClaim[CRPF name],MATCH(TR_6RecyclingArranger[[#This Row],[ID_EC]],TR_5ExemptionClaim[ID_EC],0))))</f>
        <v/>
      </c>
      <c r="G105" s="45"/>
      <c r="H105" s="108"/>
      <c r="I105" s="47"/>
      <c r="J105" s="48"/>
      <c r="K105" s="47"/>
      <c r="L105" s="79">
        <f>IF(COUNTIFS(TR_6RecyclingArranger[ID_EC],TR_6RecyclingArranger[[#This Row],[ID_EC]],TR_6RecyclingArranger[Name of Third-Party Recycling Arranger],TR_6RecyclingArranger[[#This Row],[Name of Third-Party Recycling Arranger]])&gt;1,1,0)</f>
        <v>0</v>
      </c>
      <c r="M105" s="79">
        <f>IF(TR_6RecyclingArranger[[#This Row],[ID_EC]]="",0,IFERROR(0*MATCH(TR_6RecyclingArranger[[#This Row],[ID_EC]],TR_5ExemptionClaim[Lookup: for arranger tab],0),1))</f>
        <v>0</v>
      </c>
      <c r="N105" s="79">
        <f>IF(TR_6RecyclingArranger[[#This Row],[ID_EC]]="",0,IF(COUNTA(TR_6RecyclingArranger[[#This Row],[Name of Third-Party Recycling Arranger]],TR_6RecyclingArranger[[#This Row],[Pounds of Producer''s Material Recycled by this Recycling Arranger]:[Recycling Arranger Contact Email]])=7,0,1))</f>
        <v>0</v>
      </c>
      <c r="O105" s="79">
        <f>IF(TR_6RecyclingArranger[[#This Row],[ID_EC]]&lt;&gt;"",0,IF(COUNTA(TR_6RecyclingArranger[[#This Row],[Name of Third-Party Recycling Arranger]],TR_6RecyclingArranger[[#This Row],[Pounds of Producer''s Material Recycled by this Recycling Arranger]:[Recycling Arranger Contact Email]])&gt;0,1,0))</f>
        <v>0</v>
      </c>
      <c r="P105" s="79">
        <f>IF(TR_6RecyclingArranger[[#This Row],[Lookup: pounds (this table)]]&gt;TR_6RecyclingArranger[[#This Row],[Lookup: pounds (5B tab)]],1,0)</f>
        <v>0</v>
      </c>
      <c r="Q105" s="77">
        <f>SUMIFS(TR_6RecyclingArranger[Pounds of Producer''s Material Recycled by this Recycling Arranger],TR_6RecyclingArranger[ID_EC],TR_6RecyclingArranger[[#This Row],[ID_EC]])</f>
        <v>0</v>
      </c>
      <c r="R105" s="77">
        <f>IFERROR(INDEX(TR_5ExemptionClaim[How many of the pounds recycled through this pathway were supplied by this producer?],MATCH(TR_6RecyclingArranger[[#This Row],[ID_EC]],TR_5ExemptionClaim[ID_EC],0)),0)</f>
        <v>0</v>
      </c>
      <c r="S105" s="80" t="str">
        <f t="shared" si="1"/>
        <v/>
      </c>
      <c r="T105" s="40"/>
      <c r="U105" s="58"/>
    </row>
    <row r="106" spans="1:21" ht="30.75" customHeight="1" x14ac:dyDescent="0.2">
      <c r="A106" s="82" t="s">
        <v>490</v>
      </c>
      <c r="B106" s="46"/>
      <c r="C106" s="113"/>
      <c r="D106" s="214" t="str">
        <f>IF(TR_6RecyclingArranger[[#This Row],[ID_EC]]="","",INDEX(TR_5ExemptionClaim[End Market Name],MATCH(TR_6RecyclingArranger[[#This Row],[ID_EC]],TR_5ExemptionClaim[ID_EC],0)))</f>
        <v/>
      </c>
      <c r="E106" s="214" t="str">
        <f>IF(TR_6RecyclingArranger[[#This Row],[ID_EC]]="","",INDEX(TR_5ExemptionClaim[Collection or Transportation Service Provider Name],MATCH(TR_6RecyclingArranger[[#This Row],[ID_EC]],TR_5ExemptionClaim[ID_EC],0)))</f>
        <v/>
      </c>
      <c r="F106" s="214" t="str">
        <f>IF(TR_6RecyclingArranger[[#This Row],[ID_EC]]="","",IF(INDEX(TR_5ExemptionClaim[CRPF name],MATCH(TR_6RecyclingArranger[[#This Row],[ID_EC]],TR_5ExemptionClaim[ID_EC],0))=0,"None",INDEX(TR_5ExemptionClaim[CRPF name],MATCH(TR_6RecyclingArranger[[#This Row],[ID_EC]],TR_5ExemptionClaim[ID_EC],0))))</f>
        <v/>
      </c>
      <c r="G106" s="45"/>
      <c r="H106" s="108"/>
      <c r="I106" s="47"/>
      <c r="J106" s="48"/>
      <c r="K106" s="47"/>
      <c r="L106" s="79">
        <f>IF(COUNTIFS(TR_6RecyclingArranger[ID_EC],TR_6RecyclingArranger[[#This Row],[ID_EC]],TR_6RecyclingArranger[Name of Third-Party Recycling Arranger],TR_6RecyclingArranger[[#This Row],[Name of Third-Party Recycling Arranger]])&gt;1,1,0)</f>
        <v>0</v>
      </c>
      <c r="M106" s="79">
        <f>IF(TR_6RecyclingArranger[[#This Row],[ID_EC]]="",0,IFERROR(0*MATCH(TR_6RecyclingArranger[[#This Row],[ID_EC]],TR_5ExemptionClaim[Lookup: for arranger tab],0),1))</f>
        <v>0</v>
      </c>
      <c r="N106" s="79">
        <f>IF(TR_6RecyclingArranger[[#This Row],[ID_EC]]="",0,IF(COUNTA(TR_6RecyclingArranger[[#This Row],[Name of Third-Party Recycling Arranger]],TR_6RecyclingArranger[[#This Row],[Pounds of Producer''s Material Recycled by this Recycling Arranger]:[Recycling Arranger Contact Email]])=7,0,1))</f>
        <v>0</v>
      </c>
      <c r="O106" s="79">
        <f>IF(TR_6RecyclingArranger[[#This Row],[ID_EC]]&lt;&gt;"",0,IF(COUNTA(TR_6RecyclingArranger[[#This Row],[Name of Third-Party Recycling Arranger]],TR_6RecyclingArranger[[#This Row],[Pounds of Producer''s Material Recycled by this Recycling Arranger]:[Recycling Arranger Contact Email]])&gt;0,1,0))</f>
        <v>0</v>
      </c>
      <c r="P106" s="79">
        <f>IF(TR_6RecyclingArranger[[#This Row],[Lookup: pounds (this table)]]&gt;TR_6RecyclingArranger[[#This Row],[Lookup: pounds (5B tab)]],1,0)</f>
        <v>0</v>
      </c>
      <c r="Q106" s="77">
        <f>SUMIFS(TR_6RecyclingArranger[Pounds of Producer''s Material Recycled by this Recycling Arranger],TR_6RecyclingArranger[ID_EC],TR_6RecyclingArranger[[#This Row],[ID_EC]])</f>
        <v>0</v>
      </c>
      <c r="R106" s="77">
        <f>IFERROR(INDEX(TR_5ExemptionClaim[How many of the pounds recycled through this pathway were supplied by this producer?],MATCH(TR_6RecyclingArranger[[#This Row],[ID_EC]],TR_5ExemptionClaim[ID_EC],0)),0)</f>
        <v>0</v>
      </c>
      <c r="S106" s="80" t="str">
        <f t="shared" si="1"/>
        <v/>
      </c>
      <c r="T106" s="40"/>
      <c r="U106" s="58"/>
    </row>
    <row r="107" spans="1:21" ht="30.75" customHeight="1" x14ac:dyDescent="0.2">
      <c r="A107" s="82" t="s">
        <v>491</v>
      </c>
      <c r="B107" s="46"/>
      <c r="C107" s="113"/>
      <c r="D107" s="214" t="str">
        <f>IF(TR_6RecyclingArranger[[#This Row],[ID_EC]]="","",INDEX(TR_5ExemptionClaim[End Market Name],MATCH(TR_6RecyclingArranger[[#This Row],[ID_EC]],TR_5ExemptionClaim[ID_EC],0)))</f>
        <v/>
      </c>
      <c r="E107" s="214" t="str">
        <f>IF(TR_6RecyclingArranger[[#This Row],[ID_EC]]="","",INDEX(TR_5ExemptionClaim[Collection or Transportation Service Provider Name],MATCH(TR_6RecyclingArranger[[#This Row],[ID_EC]],TR_5ExemptionClaim[ID_EC],0)))</f>
        <v/>
      </c>
      <c r="F107" s="214" t="str">
        <f>IF(TR_6RecyclingArranger[[#This Row],[ID_EC]]="","",IF(INDEX(TR_5ExemptionClaim[CRPF name],MATCH(TR_6RecyclingArranger[[#This Row],[ID_EC]],TR_5ExemptionClaim[ID_EC],0))=0,"None",INDEX(TR_5ExemptionClaim[CRPF name],MATCH(TR_6RecyclingArranger[[#This Row],[ID_EC]],TR_5ExemptionClaim[ID_EC],0))))</f>
        <v/>
      </c>
      <c r="G107" s="45"/>
      <c r="H107" s="108"/>
      <c r="I107" s="47"/>
      <c r="J107" s="48"/>
      <c r="K107" s="47"/>
      <c r="L107" s="79">
        <f>IF(COUNTIFS(TR_6RecyclingArranger[ID_EC],TR_6RecyclingArranger[[#This Row],[ID_EC]],TR_6RecyclingArranger[Name of Third-Party Recycling Arranger],TR_6RecyclingArranger[[#This Row],[Name of Third-Party Recycling Arranger]])&gt;1,1,0)</f>
        <v>0</v>
      </c>
      <c r="M107" s="79">
        <f>IF(TR_6RecyclingArranger[[#This Row],[ID_EC]]="",0,IFERROR(0*MATCH(TR_6RecyclingArranger[[#This Row],[ID_EC]],TR_5ExemptionClaim[Lookup: for arranger tab],0),1))</f>
        <v>0</v>
      </c>
      <c r="N107" s="79">
        <f>IF(TR_6RecyclingArranger[[#This Row],[ID_EC]]="",0,IF(COUNTA(TR_6RecyclingArranger[[#This Row],[Name of Third-Party Recycling Arranger]],TR_6RecyclingArranger[[#This Row],[Pounds of Producer''s Material Recycled by this Recycling Arranger]:[Recycling Arranger Contact Email]])=7,0,1))</f>
        <v>0</v>
      </c>
      <c r="O107" s="79">
        <f>IF(TR_6RecyclingArranger[[#This Row],[ID_EC]]&lt;&gt;"",0,IF(COUNTA(TR_6RecyclingArranger[[#This Row],[Name of Third-Party Recycling Arranger]],TR_6RecyclingArranger[[#This Row],[Pounds of Producer''s Material Recycled by this Recycling Arranger]:[Recycling Arranger Contact Email]])&gt;0,1,0))</f>
        <v>0</v>
      </c>
      <c r="P107" s="79">
        <f>IF(TR_6RecyclingArranger[[#This Row],[Lookup: pounds (this table)]]&gt;TR_6RecyclingArranger[[#This Row],[Lookup: pounds (5B tab)]],1,0)</f>
        <v>0</v>
      </c>
      <c r="Q107" s="77">
        <f>SUMIFS(TR_6RecyclingArranger[Pounds of Producer''s Material Recycled by this Recycling Arranger],TR_6RecyclingArranger[ID_EC],TR_6RecyclingArranger[[#This Row],[ID_EC]])</f>
        <v>0</v>
      </c>
      <c r="R107" s="77">
        <f>IFERROR(INDEX(TR_5ExemptionClaim[How many of the pounds recycled through this pathway were supplied by this producer?],MATCH(TR_6RecyclingArranger[[#This Row],[ID_EC]],TR_5ExemptionClaim[ID_EC],0)),0)</f>
        <v>0</v>
      </c>
      <c r="S107" s="80" t="str">
        <f t="shared" si="1"/>
        <v/>
      </c>
      <c r="T107" s="40"/>
      <c r="U107" s="58"/>
    </row>
    <row r="108" spans="1:21" ht="30.75" customHeight="1" x14ac:dyDescent="0.2">
      <c r="A108" s="82" t="s">
        <v>492</v>
      </c>
      <c r="B108" s="46"/>
      <c r="C108" s="113"/>
      <c r="D108" s="214" t="str">
        <f>IF(TR_6RecyclingArranger[[#This Row],[ID_EC]]="","",INDEX(TR_5ExemptionClaim[End Market Name],MATCH(TR_6RecyclingArranger[[#This Row],[ID_EC]],TR_5ExemptionClaim[ID_EC],0)))</f>
        <v/>
      </c>
      <c r="E108" s="214" t="str">
        <f>IF(TR_6RecyclingArranger[[#This Row],[ID_EC]]="","",INDEX(TR_5ExemptionClaim[Collection or Transportation Service Provider Name],MATCH(TR_6RecyclingArranger[[#This Row],[ID_EC]],TR_5ExemptionClaim[ID_EC],0)))</f>
        <v/>
      </c>
      <c r="F108" s="214" t="str">
        <f>IF(TR_6RecyclingArranger[[#This Row],[ID_EC]]="","",IF(INDEX(TR_5ExemptionClaim[CRPF name],MATCH(TR_6RecyclingArranger[[#This Row],[ID_EC]],TR_5ExemptionClaim[ID_EC],0))=0,"None",INDEX(TR_5ExemptionClaim[CRPF name],MATCH(TR_6RecyclingArranger[[#This Row],[ID_EC]],TR_5ExemptionClaim[ID_EC],0))))</f>
        <v/>
      </c>
      <c r="G108" s="45"/>
      <c r="H108" s="108"/>
      <c r="I108" s="47"/>
      <c r="J108" s="48"/>
      <c r="K108" s="47"/>
      <c r="L108" s="79">
        <f>IF(COUNTIFS(TR_6RecyclingArranger[ID_EC],TR_6RecyclingArranger[[#This Row],[ID_EC]],TR_6RecyclingArranger[Name of Third-Party Recycling Arranger],TR_6RecyclingArranger[[#This Row],[Name of Third-Party Recycling Arranger]])&gt;1,1,0)</f>
        <v>0</v>
      </c>
      <c r="M108" s="79">
        <f>IF(TR_6RecyclingArranger[[#This Row],[ID_EC]]="",0,IFERROR(0*MATCH(TR_6RecyclingArranger[[#This Row],[ID_EC]],TR_5ExemptionClaim[Lookup: for arranger tab],0),1))</f>
        <v>0</v>
      </c>
      <c r="N108" s="79">
        <f>IF(TR_6RecyclingArranger[[#This Row],[ID_EC]]="",0,IF(COUNTA(TR_6RecyclingArranger[[#This Row],[Name of Third-Party Recycling Arranger]],TR_6RecyclingArranger[[#This Row],[Pounds of Producer''s Material Recycled by this Recycling Arranger]:[Recycling Arranger Contact Email]])=7,0,1))</f>
        <v>0</v>
      </c>
      <c r="O108" s="79">
        <f>IF(TR_6RecyclingArranger[[#This Row],[ID_EC]]&lt;&gt;"",0,IF(COUNTA(TR_6RecyclingArranger[[#This Row],[Name of Third-Party Recycling Arranger]],TR_6RecyclingArranger[[#This Row],[Pounds of Producer''s Material Recycled by this Recycling Arranger]:[Recycling Arranger Contact Email]])&gt;0,1,0))</f>
        <v>0</v>
      </c>
      <c r="P108" s="79">
        <f>IF(TR_6RecyclingArranger[[#This Row],[Lookup: pounds (this table)]]&gt;TR_6RecyclingArranger[[#This Row],[Lookup: pounds (5B tab)]],1,0)</f>
        <v>0</v>
      </c>
      <c r="Q108" s="77">
        <f>SUMIFS(TR_6RecyclingArranger[Pounds of Producer''s Material Recycled by this Recycling Arranger],TR_6RecyclingArranger[ID_EC],TR_6RecyclingArranger[[#This Row],[ID_EC]])</f>
        <v>0</v>
      </c>
      <c r="R108" s="77">
        <f>IFERROR(INDEX(TR_5ExemptionClaim[How many of the pounds recycled through this pathway were supplied by this producer?],MATCH(TR_6RecyclingArranger[[#This Row],[ID_EC]],TR_5ExemptionClaim[ID_EC],0)),0)</f>
        <v>0</v>
      </c>
      <c r="S108" s="80" t="str">
        <f t="shared" si="1"/>
        <v/>
      </c>
      <c r="T108" s="40"/>
      <c r="U108" s="58"/>
    </row>
    <row r="109" spans="1:21" ht="30.75" customHeight="1" x14ac:dyDescent="0.2">
      <c r="A109" s="82" t="s">
        <v>493</v>
      </c>
      <c r="B109" s="46"/>
      <c r="C109" s="113"/>
      <c r="D109" s="214" t="str">
        <f>IF(TR_6RecyclingArranger[[#This Row],[ID_EC]]="","",INDEX(TR_5ExemptionClaim[End Market Name],MATCH(TR_6RecyclingArranger[[#This Row],[ID_EC]],TR_5ExemptionClaim[ID_EC],0)))</f>
        <v/>
      </c>
      <c r="E109" s="214" t="str">
        <f>IF(TR_6RecyclingArranger[[#This Row],[ID_EC]]="","",INDEX(TR_5ExemptionClaim[Collection or Transportation Service Provider Name],MATCH(TR_6RecyclingArranger[[#This Row],[ID_EC]],TR_5ExemptionClaim[ID_EC],0)))</f>
        <v/>
      </c>
      <c r="F109" s="214" t="str">
        <f>IF(TR_6RecyclingArranger[[#This Row],[ID_EC]]="","",IF(INDEX(TR_5ExemptionClaim[CRPF name],MATCH(TR_6RecyclingArranger[[#This Row],[ID_EC]],TR_5ExemptionClaim[ID_EC],0))=0,"None",INDEX(TR_5ExemptionClaim[CRPF name],MATCH(TR_6RecyclingArranger[[#This Row],[ID_EC]],TR_5ExemptionClaim[ID_EC],0))))</f>
        <v/>
      </c>
      <c r="G109" s="45"/>
      <c r="H109" s="108"/>
      <c r="I109" s="47"/>
      <c r="J109" s="48"/>
      <c r="K109" s="47"/>
      <c r="L109" s="79">
        <f>IF(COUNTIFS(TR_6RecyclingArranger[ID_EC],TR_6RecyclingArranger[[#This Row],[ID_EC]],TR_6RecyclingArranger[Name of Third-Party Recycling Arranger],TR_6RecyclingArranger[[#This Row],[Name of Third-Party Recycling Arranger]])&gt;1,1,0)</f>
        <v>0</v>
      </c>
      <c r="M109" s="79">
        <f>IF(TR_6RecyclingArranger[[#This Row],[ID_EC]]="",0,IFERROR(0*MATCH(TR_6RecyclingArranger[[#This Row],[ID_EC]],TR_5ExemptionClaim[Lookup: for arranger tab],0),1))</f>
        <v>0</v>
      </c>
      <c r="N109" s="79">
        <f>IF(TR_6RecyclingArranger[[#This Row],[ID_EC]]="",0,IF(COUNTA(TR_6RecyclingArranger[[#This Row],[Name of Third-Party Recycling Arranger]],TR_6RecyclingArranger[[#This Row],[Pounds of Producer''s Material Recycled by this Recycling Arranger]:[Recycling Arranger Contact Email]])=7,0,1))</f>
        <v>0</v>
      </c>
      <c r="O109" s="79">
        <f>IF(TR_6RecyclingArranger[[#This Row],[ID_EC]]&lt;&gt;"",0,IF(COUNTA(TR_6RecyclingArranger[[#This Row],[Name of Third-Party Recycling Arranger]],TR_6RecyclingArranger[[#This Row],[Pounds of Producer''s Material Recycled by this Recycling Arranger]:[Recycling Arranger Contact Email]])&gt;0,1,0))</f>
        <v>0</v>
      </c>
      <c r="P109" s="79">
        <f>IF(TR_6RecyclingArranger[[#This Row],[Lookup: pounds (this table)]]&gt;TR_6RecyclingArranger[[#This Row],[Lookup: pounds (5B tab)]],1,0)</f>
        <v>0</v>
      </c>
      <c r="Q109" s="77">
        <f>SUMIFS(TR_6RecyclingArranger[Pounds of Producer''s Material Recycled by this Recycling Arranger],TR_6RecyclingArranger[ID_EC],TR_6RecyclingArranger[[#This Row],[ID_EC]])</f>
        <v>0</v>
      </c>
      <c r="R109" s="77">
        <f>IFERROR(INDEX(TR_5ExemptionClaim[How many of the pounds recycled through this pathway were supplied by this producer?],MATCH(TR_6RecyclingArranger[[#This Row],[ID_EC]],TR_5ExemptionClaim[ID_EC],0)),0)</f>
        <v>0</v>
      </c>
      <c r="S109" s="80" t="str">
        <f t="shared" si="1"/>
        <v/>
      </c>
      <c r="T109" s="40"/>
      <c r="U109" s="58"/>
    </row>
    <row r="110" spans="1:21" ht="30.75" customHeight="1" x14ac:dyDescent="0.2">
      <c r="A110" s="82" t="s">
        <v>494</v>
      </c>
      <c r="B110" s="46"/>
      <c r="C110" s="113"/>
      <c r="D110" s="214" t="str">
        <f>IF(TR_6RecyclingArranger[[#This Row],[ID_EC]]="","",INDEX(TR_5ExemptionClaim[End Market Name],MATCH(TR_6RecyclingArranger[[#This Row],[ID_EC]],TR_5ExemptionClaim[ID_EC],0)))</f>
        <v/>
      </c>
      <c r="E110" s="214" t="str">
        <f>IF(TR_6RecyclingArranger[[#This Row],[ID_EC]]="","",INDEX(TR_5ExemptionClaim[Collection or Transportation Service Provider Name],MATCH(TR_6RecyclingArranger[[#This Row],[ID_EC]],TR_5ExemptionClaim[ID_EC],0)))</f>
        <v/>
      </c>
      <c r="F110" s="214" t="str">
        <f>IF(TR_6RecyclingArranger[[#This Row],[ID_EC]]="","",IF(INDEX(TR_5ExemptionClaim[CRPF name],MATCH(TR_6RecyclingArranger[[#This Row],[ID_EC]],TR_5ExemptionClaim[ID_EC],0))=0,"None",INDEX(TR_5ExemptionClaim[CRPF name],MATCH(TR_6RecyclingArranger[[#This Row],[ID_EC]],TR_5ExemptionClaim[ID_EC],0))))</f>
        <v/>
      </c>
      <c r="G110" s="45"/>
      <c r="H110" s="108"/>
      <c r="I110" s="47"/>
      <c r="J110" s="48"/>
      <c r="K110" s="47"/>
      <c r="L110" s="79">
        <f>IF(COUNTIFS(TR_6RecyclingArranger[ID_EC],TR_6RecyclingArranger[[#This Row],[ID_EC]],TR_6RecyclingArranger[Name of Third-Party Recycling Arranger],TR_6RecyclingArranger[[#This Row],[Name of Third-Party Recycling Arranger]])&gt;1,1,0)</f>
        <v>0</v>
      </c>
      <c r="M110" s="79">
        <f>IF(TR_6RecyclingArranger[[#This Row],[ID_EC]]="",0,IFERROR(0*MATCH(TR_6RecyclingArranger[[#This Row],[ID_EC]],TR_5ExemptionClaim[Lookup: for arranger tab],0),1))</f>
        <v>0</v>
      </c>
      <c r="N110" s="79">
        <f>IF(TR_6RecyclingArranger[[#This Row],[ID_EC]]="",0,IF(COUNTA(TR_6RecyclingArranger[[#This Row],[Name of Third-Party Recycling Arranger]],TR_6RecyclingArranger[[#This Row],[Pounds of Producer''s Material Recycled by this Recycling Arranger]:[Recycling Arranger Contact Email]])=7,0,1))</f>
        <v>0</v>
      </c>
      <c r="O110" s="79">
        <f>IF(TR_6RecyclingArranger[[#This Row],[ID_EC]]&lt;&gt;"",0,IF(COUNTA(TR_6RecyclingArranger[[#This Row],[Name of Third-Party Recycling Arranger]],TR_6RecyclingArranger[[#This Row],[Pounds of Producer''s Material Recycled by this Recycling Arranger]:[Recycling Arranger Contact Email]])&gt;0,1,0))</f>
        <v>0</v>
      </c>
      <c r="P110" s="79">
        <f>IF(TR_6RecyclingArranger[[#This Row],[Lookup: pounds (this table)]]&gt;TR_6RecyclingArranger[[#This Row],[Lookup: pounds (5B tab)]],1,0)</f>
        <v>0</v>
      </c>
      <c r="Q110" s="77">
        <f>SUMIFS(TR_6RecyclingArranger[Pounds of Producer''s Material Recycled by this Recycling Arranger],TR_6RecyclingArranger[ID_EC],TR_6RecyclingArranger[[#This Row],[ID_EC]])</f>
        <v>0</v>
      </c>
      <c r="R110" s="77">
        <f>IFERROR(INDEX(TR_5ExemptionClaim[How many of the pounds recycled through this pathway were supplied by this producer?],MATCH(TR_6RecyclingArranger[[#This Row],[ID_EC]],TR_5ExemptionClaim[ID_EC],0)),0)</f>
        <v>0</v>
      </c>
      <c r="S110" s="80" t="str">
        <f t="shared" si="1"/>
        <v/>
      </c>
      <c r="T110" s="40"/>
      <c r="U110" s="58"/>
    </row>
    <row r="111" spans="1:21" ht="30.75" customHeight="1" x14ac:dyDescent="0.2">
      <c r="A111" s="82" t="s">
        <v>495</v>
      </c>
      <c r="B111" s="46"/>
      <c r="C111" s="113"/>
      <c r="D111" s="214" t="str">
        <f>IF(TR_6RecyclingArranger[[#This Row],[ID_EC]]="","",INDEX(TR_5ExemptionClaim[End Market Name],MATCH(TR_6RecyclingArranger[[#This Row],[ID_EC]],TR_5ExemptionClaim[ID_EC],0)))</f>
        <v/>
      </c>
      <c r="E111" s="214" t="str">
        <f>IF(TR_6RecyclingArranger[[#This Row],[ID_EC]]="","",INDEX(TR_5ExemptionClaim[Collection or Transportation Service Provider Name],MATCH(TR_6RecyclingArranger[[#This Row],[ID_EC]],TR_5ExemptionClaim[ID_EC],0)))</f>
        <v/>
      </c>
      <c r="F111" s="214" t="str">
        <f>IF(TR_6RecyclingArranger[[#This Row],[ID_EC]]="","",IF(INDEX(TR_5ExemptionClaim[CRPF name],MATCH(TR_6RecyclingArranger[[#This Row],[ID_EC]],TR_5ExemptionClaim[ID_EC],0))=0,"None",INDEX(TR_5ExemptionClaim[CRPF name],MATCH(TR_6RecyclingArranger[[#This Row],[ID_EC]],TR_5ExemptionClaim[ID_EC],0))))</f>
        <v/>
      </c>
      <c r="G111" s="45"/>
      <c r="H111" s="108"/>
      <c r="I111" s="47"/>
      <c r="J111" s="48"/>
      <c r="K111" s="47"/>
      <c r="L111" s="79">
        <f>IF(COUNTIFS(TR_6RecyclingArranger[ID_EC],TR_6RecyclingArranger[[#This Row],[ID_EC]],TR_6RecyclingArranger[Name of Third-Party Recycling Arranger],TR_6RecyclingArranger[[#This Row],[Name of Third-Party Recycling Arranger]])&gt;1,1,0)</f>
        <v>0</v>
      </c>
      <c r="M111" s="79">
        <f>IF(TR_6RecyclingArranger[[#This Row],[ID_EC]]="",0,IFERROR(0*MATCH(TR_6RecyclingArranger[[#This Row],[ID_EC]],TR_5ExemptionClaim[Lookup: for arranger tab],0),1))</f>
        <v>0</v>
      </c>
      <c r="N111" s="79">
        <f>IF(TR_6RecyclingArranger[[#This Row],[ID_EC]]="",0,IF(COUNTA(TR_6RecyclingArranger[[#This Row],[Name of Third-Party Recycling Arranger]],TR_6RecyclingArranger[[#This Row],[Pounds of Producer''s Material Recycled by this Recycling Arranger]:[Recycling Arranger Contact Email]])=7,0,1))</f>
        <v>0</v>
      </c>
      <c r="O111" s="79">
        <f>IF(TR_6RecyclingArranger[[#This Row],[ID_EC]]&lt;&gt;"",0,IF(COUNTA(TR_6RecyclingArranger[[#This Row],[Name of Third-Party Recycling Arranger]],TR_6RecyclingArranger[[#This Row],[Pounds of Producer''s Material Recycled by this Recycling Arranger]:[Recycling Arranger Contact Email]])&gt;0,1,0))</f>
        <v>0</v>
      </c>
      <c r="P111" s="79">
        <f>IF(TR_6RecyclingArranger[[#This Row],[Lookup: pounds (this table)]]&gt;TR_6RecyclingArranger[[#This Row],[Lookup: pounds (5B tab)]],1,0)</f>
        <v>0</v>
      </c>
      <c r="Q111" s="77">
        <f>SUMIFS(TR_6RecyclingArranger[Pounds of Producer''s Material Recycled by this Recycling Arranger],TR_6RecyclingArranger[ID_EC],TR_6RecyclingArranger[[#This Row],[ID_EC]])</f>
        <v>0</v>
      </c>
      <c r="R111" s="77">
        <f>IFERROR(INDEX(TR_5ExemptionClaim[How many of the pounds recycled through this pathway were supplied by this producer?],MATCH(TR_6RecyclingArranger[[#This Row],[ID_EC]],TR_5ExemptionClaim[ID_EC],0)),0)</f>
        <v>0</v>
      </c>
      <c r="S111" s="80" t="str">
        <f t="shared" si="1"/>
        <v/>
      </c>
      <c r="T111" s="40"/>
      <c r="U111" s="58"/>
    </row>
    <row r="112" spans="1:21" ht="30.75" customHeight="1" x14ac:dyDescent="0.2">
      <c r="A112" s="82" t="s">
        <v>496</v>
      </c>
      <c r="B112" s="46"/>
      <c r="C112" s="113"/>
      <c r="D112" s="214" t="str">
        <f>IF(TR_6RecyclingArranger[[#This Row],[ID_EC]]="","",INDEX(TR_5ExemptionClaim[End Market Name],MATCH(TR_6RecyclingArranger[[#This Row],[ID_EC]],TR_5ExemptionClaim[ID_EC],0)))</f>
        <v/>
      </c>
      <c r="E112" s="214" t="str">
        <f>IF(TR_6RecyclingArranger[[#This Row],[ID_EC]]="","",INDEX(TR_5ExemptionClaim[Collection or Transportation Service Provider Name],MATCH(TR_6RecyclingArranger[[#This Row],[ID_EC]],TR_5ExemptionClaim[ID_EC],0)))</f>
        <v/>
      </c>
      <c r="F112" s="214" t="str">
        <f>IF(TR_6RecyclingArranger[[#This Row],[ID_EC]]="","",IF(INDEX(TR_5ExemptionClaim[CRPF name],MATCH(TR_6RecyclingArranger[[#This Row],[ID_EC]],TR_5ExemptionClaim[ID_EC],0))=0,"None",INDEX(TR_5ExemptionClaim[CRPF name],MATCH(TR_6RecyclingArranger[[#This Row],[ID_EC]],TR_5ExemptionClaim[ID_EC],0))))</f>
        <v/>
      </c>
      <c r="G112" s="45"/>
      <c r="H112" s="108"/>
      <c r="I112" s="47"/>
      <c r="J112" s="48"/>
      <c r="K112" s="47"/>
      <c r="L112" s="79">
        <f>IF(COUNTIFS(TR_6RecyclingArranger[ID_EC],TR_6RecyclingArranger[[#This Row],[ID_EC]],TR_6RecyclingArranger[Name of Third-Party Recycling Arranger],TR_6RecyclingArranger[[#This Row],[Name of Third-Party Recycling Arranger]])&gt;1,1,0)</f>
        <v>0</v>
      </c>
      <c r="M112" s="79">
        <f>IF(TR_6RecyclingArranger[[#This Row],[ID_EC]]="",0,IFERROR(0*MATCH(TR_6RecyclingArranger[[#This Row],[ID_EC]],TR_5ExemptionClaim[Lookup: for arranger tab],0),1))</f>
        <v>0</v>
      </c>
      <c r="N112" s="79">
        <f>IF(TR_6RecyclingArranger[[#This Row],[ID_EC]]="",0,IF(COUNTA(TR_6RecyclingArranger[[#This Row],[Name of Third-Party Recycling Arranger]],TR_6RecyclingArranger[[#This Row],[Pounds of Producer''s Material Recycled by this Recycling Arranger]:[Recycling Arranger Contact Email]])=7,0,1))</f>
        <v>0</v>
      </c>
      <c r="O112" s="79">
        <f>IF(TR_6RecyclingArranger[[#This Row],[ID_EC]]&lt;&gt;"",0,IF(COUNTA(TR_6RecyclingArranger[[#This Row],[Name of Third-Party Recycling Arranger]],TR_6RecyclingArranger[[#This Row],[Pounds of Producer''s Material Recycled by this Recycling Arranger]:[Recycling Arranger Contact Email]])&gt;0,1,0))</f>
        <v>0</v>
      </c>
      <c r="P112" s="79">
        <f>IF(TR_6RecyclingArranger[[#This Row],[Lookup: pounds (this table)]]&gt;TR_6RecyclingArranger[[#This Row],[Lookup: pounds (5B tab)]],1,0)</f>
        <v>0</v>
      </c>
      <c r="Q112" s="77">
        <f>SUMIFS(TR_6RecyclingArranger[Pounds of Producer''s Material Recycled by this Recycling Arranger],TR_6RecyclingArranger[ID_EC],TR_6RecyclingArranger[[#This Row],[ID_EC]])</f>
        <v>0</v>
      </c>
      <c r="R112" s="77">
        <f>IFERROR(INDEX(TR_5ExemptionClaim[How many of the pounds recycled through this pathway were supplied by this producer?],MATCH(TR_6RecyclingArranger[[#This Row],[ID_EC]],TR_5ExemptionClaim[ID_EC],0)),0)</f>
        <v>0</v>
      </c>
      <c r="S112" s="80" t="str">
        <f t="shared" si="1"/>
        <v/>
      </c>
      <c r="T112" s="40"/>
      <c r="U112" s="58"/>
    </row>
    <row r="113" spans="1:21" ht="30.75" customHeight="1" x14ac:dyDescent="0.2">
      <c r="A113" s="82" t="s">
        <v>497</v>
      </c>
      <c r="B113" s="46"/>
      <c r="C113" s="113"/>
      <c r="D113" s="214" t="str">
        <f>IF(TR_6RecyclingArranger[[#This Row],[ID_EC]]="","",INDEX(TR_5ExemptionClaim[End Market Name],MATCH(TR_6RecyclingArranger[[#This Row],[ID_EC]],TR_5ExemptionClaim[ID_EC],0)))</f>
        <v/>
      </c>
      <c r="E113" s="214" t="str">
        <f>IF(TR_6RecyclingArranger[[#This Row],[ID_EC]]="","",INDEX(TR_5ExemptionClaim[Collection or Transportation Service Provider Name],MATCH(TR_6RecyclingArranger[[#This Row],[ID_EC]],TR_5ExemptionClaim[ID_EC],0)))</f>
        <v/>
      </c>
      <c r="F113" s="214" t="str">
        <f>IF(TR_6RecyclingArranger[[#This Row],[ID_EC]]="","",IF(INDEX(TR_5ExemptionClaim[CRPF name],MATCH(TR_6RecyclingArranger[[#This Row],[ID_EC]],TR_5ExemptionClaim[ID_EC],0))=0,"None",INDEX(TR_5ExemptionClaim[CRPF name],MATCH(TR_6RecyclingArranger[[#This Row],[ID_EC]],TR_5ExemptionClaim[ID_EC],0))))</f>
        <v/>
      </c>
      <c r="G113" s="45"/>
      <c r="H113" s="108"/>
      <c r="I113" s="47"/>
      <c r="J113" s="48"/>
      <c r="K113" s="47"/>
      <c r="L113" s="79">
        <f>IF(COUNTIFS(TR_6RecyclingArranger[ID_EC],TR_6RecyclingArranger[[#This Row],[ID_EC]],TR_6RecyclingArranger[Name of Third-Party Recycling Arranger],TR_6RecyclingArranger[[#This Row],[Name of Third-Party Recycling Arranger]])&gt;1,1,0)</f>
        <v>0</v>
      </c>
      <c r="M113" s="79">
        <f>IF(TR_6RecyclingArranger[[#This Row],[ID_EC]]="",0,IFERROR(0*MATCH(TR_6RecyclingArranger[[#This Row],[ID_EC]],TR_5ExemptionClaim[Lookup: for arranger tab],0),1))</f>
        <v>0</v>
      </c>
      <c r="N113" s="79">
        <f>IF(TR_6RecyclingArranger[[#This Row],[ID_EC]]="",0,IF(COUNTA(TR_6RecyclingArranger[[#This Row],[Name of Third-Party Recycling Arranger]],TR_6RecyclingArranger[[#This Row],[Pounds of Producer''s Material Recycled by this Recycling Arranger]:[Recycling Arranger Contact Email]])=7,0,1))</f>
        <v>0</v>
      </c>
      <c r="O113" s="79">
        <f>IF(TR_6RecyclingArranger[[#This Row],[ID_EC]]&lt;&gt;"",0,IF(COUNTA(TR_6RecyclingArranger[[#This Row],[Name of Third-Party Recycling Arranger]],TR_6RecyclingArranger[[#This Row],[Pounds of Producer''s Material Recycled by this Recycling Arranger]:[Recycling Arranger Contact Email]])&gt;0,1,0))</f>
        <v>0</v>
      </c>
      <c r="P113" s="79">
        <f>IF(TR_6RecyclingArranger[[#This Row],[Lookup: pounds (this table)]]&gt;TR_6RecyclingArranger[[#This Row],[Lookup: pounds (5B tab)]],1,0)</f>
        <v>0</v>
      </c>
      <c r="Q113" s="77">
        <f>SUMIFS(TR_6RecyclingArranger[Pounds of Producer''s Material Recycled by this Recycling Arranger],TR_6RecyclingArranger[ID_EC],TR_6RecyclingArranger[[#This Row],[ID_EC]])</f>
        <v>0</v>
      </c>
      <c r="R113" s="77">
        <f>IFERROR(INDEX(TR_5ExemptionClaim[How many of the pounds recycled through this pathway were supplied by this producer?],MATCH(TR_6RecyclingArranger[[#This Row],[ID_EC]],TR_5ExemptionClaim[ID_EC],0)),0)</f>
        <v>0</v>
      </c>
      <c r="S113" s="80" t="str">
        <f t="shared" si="1"/>
        <v/>
      </c>
      <c r="T113" s="40"/>
      <c r="U113" s="58"/>
    </row>
    <row r="114" spans="1:21" ht="30.75" customHeight="1" x14ac:dyDescent="0.2">
      <c r="A114" s="82" t="s">
        <v>498</v>
      </c>
      <c r="B114" s="46"/>
      <c r="C114" s="113"/>
      <c r="D114" s="214" t="str">
        <f>IF(TR_6RecyclingArranger[[#This Row],[ID_EC]]="","",INDEX(TR_5ExemptionClaim[End Market Name],MATCH(TR_6RecyclingArranger[[#This Row],[ID_EC]],TR_5ExemptionClaim[ID_EC],0)))</f>
        <v/>
      </c>
      <c r="E114" s="214" t="str">
        <f>IF(TR_6RecyclingArranger[[#This Row],[ID_EC]]="","",INDEX(TR_5ExemptionClaim[Collection or Transportation Service Provider Name],MATCH(TR_6RecyclingArranger[[#This Row],[ID_EC]],TR_5ExemptionClaim[ID_EC],0)))</f>
        <v/>
      </c>
      <c r="F114" s="214" t="str">
        <f>IF(TR_6RecyclingArranger[[#This Row],[ID_EC]]="","",IF(INDEX(TR_5ExemptionClaim[CRPF name],MATCH(TR_6RecyclingArranger[[#This Row],[ID_EC]],TR_5ExemptionClaim[ID_EC],0))=0,"None",INDEX(TR_5ExemptionClaim[CRPF name],MATCH(TR_6RecyclingArranger[[#This Row],[ID_EC]],TR_5ExemptionClaim[ID_EC],0))))</f>
        <v/>
      </c>
      <c r="G114" s="45"/>
      <c r="H114" s="108"/>
      <c r="I114" s="47"/>
      <c r="J114" s="48"/>
      <c r="K114" s="47"/>
      <c r="L114" s="79">
        <f>IF(COUNTIFS(TR_6RecyclingArranger[ID_EC],TR_6RecyclingArranger[[#This Row],[ID_EC]],TR_6RecyclingArranger[Name of Third-Party Recycling Arranger],TR_6RecyclingArranger[[#This Row],[Name of Third-Party Recycling Arranger]])&gt;1,1,0)</f>
        <v>0</v>
      </c>
      <c r="M114" s="79">
        <f>IF(TR_6RecyclingArranger[[#This Row],[ID_EC]]="",0,IFERROR(0*MATCH(TR_6RecyclingArranger[[#This Row],[ID_EC]],TR_5ExemptionClaim[Lookup: for arranger tab],0),1))</f>
        <v>0</v>
      </c>
      <c r="N114" s="79">
        <f>IF(TR_6RecyclingArranger[[#This Row],[ID_EC]]="",0,IF(COUNTA(TR_6RecyclingArranger[[#This Row],[Name of Third-Party Recycling Arranger]],TR_6RecyclingArranger[[#This Row],[Pounds of Producer''s Material Recycled by this Recycling Arranger]:[Recycling Arranger Contact Email]])=7,0,1))</f>
        <v>0</v>
      </c>
      <c r="O114" s="79">
        <f>IF(TR_6RecyclingArranger[[#This Row],[ID_EC]]&lt;&gt;"",0,IF(COUNTA(TR_6RecyclingArranger[[#This Row],[Name of Third-Party Recycling Arranger]],TR_6RecyclingArranger[[#This Row],[Pounds of Producer''s Material Recycled by this Recycling Arranger]:[Recycling Arranger Contact Email]])&gt;0,1,0))</f>
        <v>0</v>
      </c>
      <c r="P114" s="79">
        <f>IF(TR_6RecyclingArranger[[#This Row],[Lookup: pounds (this table)]]&gt;TR_6RecyclingArranger[[#This Row],[Lookup: pounds (5B tab)]],1,0)</f>
        <v>0</v>
      </c>
      <c r="Q114" s="77">
        <f>SUMIFS(TR_6RecyclingArranger[Pounds of Producer''s Material Recycled by this Recycling Arranger],TR_6RecyclingArranger[ID_EC],TR_6RecyclingArranger[[#This Row],[ID_EC]])</f>
        <v>0</v>
      </c>
      <c r="R114" s="77">
        <f>IFERROR(INDEX(TR_5ExemptionClaim[How many of the pounds recycled through this pathway were supplied by this producer?],MATCH(TR_6RecyclingArranger[[#This Row],[ID_EC]],TR_5ExemptionClaim[ID_EC],0)),0)</f>
        <v>0</v>
      </c>
      <c r="S114" s="80" t="str">
        <f t="shared" si="1"/>
        <v/>
      </c>
      <c r="T114" s="40"/>
      <c r="U114" s="58"/>
    </row>
    <row r="115" spans="1:21" ht="30.75" customHeight="1" x14ac:dyDescent="0.2">
      <c r="A115" s="82" t="s">
        <v>499</v>
      </c>
      <c r="B115" s="46"/>
      <c r="C115" s="113"/>
      <c r="D115" s="214" t="str">
        <f>IF(TR_6RecyclingArranger[[#This Row],[ID_EC]]="","",INDEX(TR_5ExemptionClaim[End Market Name],MATCH(TR_6RecyclingArranger[[#This Row],[ID_EC]],TR_5ExemptionClaim[ID_EC],0)))</f>
        <v/>
      </c>
      <c r="E115" s="214" t="str">
        <f>IF(TR_6RecyclingArranger[[#This Row],[ID_EC]]="","",INDEX(TR_5ExemptionClaim[Collection or Transportation Service Provider Name],MATCH(TR_6RecyclingArranger[[#This Row],[ID_EC]],TR_5ExemptionClaim[ID_EC],0)))</f>
        <v/>
      </c>
      <c r="F115" s="214" t="str">
        <f>IF(TR_6RecyclingArranger[[#This Row],[ID_EC]]="","",IF(INDEX(TR_5ExemptionClaim[CRPF name],MATCH(TR_6RecyclingArranger[[#This Row],[ID_EC]],TR_5ExemptionClaim[ID_EC],0))=0,"None",INDEX(TR_5ExemptionClaim[CRPF name],MATCH(TR_6RecyclingArranger[[#This Row],[ID_EC]],TR_5ExemptionClaim[ID_EC],0))))</f>
        <v/>
      </c>
      <c r="G115" s="45"/>
      <c r="H115" s="108"/>
      <c r="I115" s="47"/>
      <c r="J115" s="48"/>
      <c r="K115" s="47"/>
      <c r="L115" s="79">
        <f>IF(COUNTIFS(TR_6RecyclingArranger[ID_EC],TR_6RecyclingArranger[[#This Row],[ID_EC]],TR_6RecyclingArranger[Name of Third-Party Recycling Arranger],TR_6RecyclingArranger[[#This Row],[Name of Third-Party Recycling Arranger]])&gt;1,1,0)</f>
        <v>0</v>
      </c>
      <c r="M115" s="79">
        <f>IF(TR_6RecyclingArranger[[#This Row],[ID_EC]]="",0,IFERROR(0*MATCH(TR_6RecyclingArranger[[#This Row],[ID_EC]],TR_5ExemptionClaim[Lookup: for arranger tab],0),1))</f>
        <v>0</v>
      </c>
      <c r="N115" s="79">
        <f>IF(TR_6RecyclingArranger[[#This Row],[ID_EC]]="",0,IF(COUNTA(TR_6RecyclingArranger[[#This Row],[Name of Third-Party Recycling Arranger]],TR_6RecyclingArranger[[#This Row],[Pounds of Producer''s Material Recycled by this Recycling Arranger]:[Recycling Arranger Contact Email]])=7,0,1))</f>
        <v>0</v>
      </c>
      <c r="O115" s="79">
        <f>IF(TR_6RecyclingArranger[[#This Row],[ID_EC]]&lt;&gt;"",0,IF(COUNTA(TR_6RecyclingArranger[[#This Row],[Name of Third-Party Recycling Arranger]],TR_6RecyclingArranger[[#This Row],[Pounds of Producer''s Material Recycled by this Recycling Arranger]:[Recycling Arranger Contact Email]])&gt;0,1,0))</f>
        <v>0</v>
      </c>
      <c r="P115" s="79">
        <f>IF(TR_6RecyclingArranger[[#This Row],[Lookup: pounds (this table)]]&gt;TR_6RecyclingArranger[[#This Row],[Lookup: pounds (5B tab)]],1,0)</f>
        <v>0</v>
      </c>
      <c r="Q115" s="77">
        <f>SUMIFS(TR_6RecyclingArranger[Pounds of Producer''s Material Recycled by this Recycling Arranger],TR_6RecyclingArranger[ID_EC],TR_6RecyclingArranger[[#This Row],[ID_EC]])</f>
        <v>0</v>
      </c>
      <c r="R115" s="77">
        <f>IFERROR(INDEX(TR_5ExemptionClaim[How many of the pounds recycled through this pathway were supplied by this producer?],MATCH(TR_6RecyclingArranger[[#This Row],[ID_EC]],TR_5ExemptionClaim[ID_EC],0)),0)</f>
        <v>0</v>
      </c>
      <c r="S115" s="80" t="str">
        <f t="shared" si="1"/>
        <v/>
      </c>
      <c r="T115" s="40"/>
      <c r="U115" s="58"/>
    </row>
    <row r="116" spans="1:21" ht="30.75" customHeight="1" x14ac:dyDescent="0.2">
      <c r="A116" s="82" t="s">
        <v>500</v>
      </c>
      <c r="B116" s="46"/>
      <c r="C116" s="113"/>
      <c r="D116" s="214" t="str">
        <f>IF(TR_6RecyclingArranger[[#This Row],[ID_EC]]="","",INDEX(TR_5ExemptionClaim[End Market Name],MATCH(TR_6RecyclingArranger[[#This Row],[ID_EC]],TR_5ExemptionClaim[ID_EC],0)))</f>
        <v/>
      </c>
      <c r="E116" s="214" t="str">
        <f>IF(TR_6RecyclingArranger[[#This Row],[ID_EC]]="","",INDEX(TR_5ExemptionClaim[Collection or Transportation Service Provider Name],MATCH(TR_6RecyclingArranger[[#This Row],[ID_EC]],TR_5ExemptionClaim[ID_EC],0)))</f>
        <v/>
      </c>
      <c r="F116" s="214" t="str">
        <f>IF(TR_6RecyclingArranger[[#This Row],[ID_EC]]="","",IF(INDEX(TR_5ExemptionClaim[CRPF name],MATCH(TR_6RecyclingArranger[[#This Row],[ID_EC]],TR_5ExemptionClaim[ID_EC],0))=0,"None",INDEX(TR_5ExemptionClaim[CRPF name],MATCH(TR_6RecyclingArranger[[#This Row],[ID_EC]],TR_5ExemptionClaim[ID_EC],0))))</f>
        <v/>
      </c>
      <c r="G116" s="45"/>
      <c r="H116" s="108"/>
      <c r="I116" s="47"/>
      <c r="J116" s="48"/>
      <c r="K116" s="47"/>
      <c r="L116" s="79">
        <f>IF(COUNTIFS(TR_6RecyclingArranger[ID_EC],TR_6RecyclingArranger[[#This Row],[ID_EC]],TR_6RecyclingArranger[Name of Third-Party Recycling Arranger],TR_6RecyclingArranger[[#This Row],[Name of Third-Party Recycling Arranger]])&gt;1,1,0)</f>
        <v>0</v>
      </c>
      <c r="M116" s="79">
        <f>IF(TR_6RecyclingArranger[[#This Row],[ID_EC]]="",0,IFERROR(0*MATCH(TR_6RecyclingArranger[[#This Row],[ID_EC]],TR_5ExemptionClaim[Lookup: for arranger tab],0),1))</f>
        <v>0</v>
      </c>
      <c r="N116" s="79">
        <f>IF(TR_6RecyclingArranger[[#This Row],[ID_EC]]="",0,IF(COUNTA(TR_6RecyclingArranger[[#This Row],[Name of Third-Party Recycling Arranger]],TR_6RecyclingArranger[[#This Row],[Pounds of Producer''s Material Recycled by this Recycling Arranger]:[Recycling Arranger Contact Email]])=7,0,1))</f>
        <v>0</v>
      </c>
      <c r="O116" s="79">
        <f>IF(TR_6RecyclingArranger[[#This Row],[ID_EC]]&lt;&gt;"",0,IF(COUNTA(TR_6RecyclingArranger[[#This Row],[Name of Third-Party Recycling Arranger]],TR_6RecyclingArranger[[#This Row],[Pounds of Producer''s Material Recycled by this Recycling Arranger]:[Recycling Arranger Contact Email]])&gt;0,1,0))</f>
        <v>0</v>
      </c>
      <c r="P116" s="79">
        <f>IF(TR_6RecyclingArranger[[#This Row],[Lookup: pounds (this table)]]&gt;TR_6RecyclingArranger[[#This Row],[Lookup: pounds (5B tab)]],1,0)</f>
        <v>0</v>
      </c>
      <c r="Q116" s="77">
        <f>SUMIFS(TR_6RecyclingArranger[Pounds of Producer''s Material Recycled by this Recycling Arranger],TR_6RecyclingArranger[ID_EC],TR_6RecyclingArranger[[#This Row],[ID_EC]])</f>
        <v>0</v>
      </c>
      <c r="R116" s="77">
        <f>IFERROR(INDEX(TR_5ExemptionClaim[How many of the pounds recycled through this pathway were supplied by this producer?],MATCH(TR_6RecyclingArranger[[#This Row],[ID_EC]],TR_5ExemptionClaim[ID_EC],0)),0)</f>
        <v>0</v>
      </c>
      <c r="S116" s="80" t="str">
        <f t="shared" si="1"/>
        <v/>
      </c>
      <c r="T116" s="40"/>
      <c r="U116" s="58"/>
    </row>
    <row r="117" spans="1:21" ht="30.75" customHeight="1" x14ac:dyDescent="0.2">
      <c r="A117" s="82" t="s">
        <v>501</v>
      </c>
      <c r="B117" s="46"/>
      <c r="C117" s="113"/>
      <c r="D117" s="214" t="str">
        <f>IF(TR_6RecyclingArranger[[#This Row],[ID_EC]]="","",INDEX(TR_5ExemptionClaim[End Market Name],MATCH(TR_6RecyclingArranger[[#This Row],[ID_EC]],TR_5ExemptionClaim[ID_EC],0)))</f>
        <v/>
      </c>
      <c r="E117" s="214" t="str">
        <f>IF(TR_6RecyclingArranger[[#This Row],[ID_EC]]="","",INDEX(TR_5ExemptionClaim[Collection or Transportation Service Provider Name],MATCH(TR_6RecyclingArranger[[#This Row],[ID_EC]],TR_5ExemptionClaim[ID_EC],0)))</f>
        <v/>
      </c>
      <c r="F117" s="214" t="str">
        <f>IF(TR_6RecyclingArranger[[#This Row],[ID_EC]]="","",IF(INDEX(TR_5ExemptionClaim[CRPF name],MATCH(TR_6RecyclingArranger[[#This Row],[ID_EC]],TR_5ExemptionClaim[ID_EC],0))=0,"None",INDEX(TR_5ExemptionClaim[CRPF name],MATCH(TR_6RecyclingArranger[[#This Row],[ID_EC]],TR_5ExemptionClaim[ID_EC],0))))</f>
        <v/>
      </c>
      <c r="G117" s="45"/>
      <c r="H117" s="108"/>
      <c r="I117" s="47"/>
      <c r="J117" s="48"/>
      <c r="K117" s="47"/>
      <c r="L117" s="79">
        <f>IF(COUNTIFS(TR_6RecyclingArranger[ID_EC],TR_6RecyclingArranger[[#This Row],[ID_EC]],TR_6RecyclingArranger[Name of Third-Party Recycling Arranger],TR_6RecyclingArranger[[#This Row],[Name of Third-Party Recycling Arranger]])&gt;1,1,0)</f>
        <v>0</v>
      </c>
      <c r="M117" s="79">
        <f>IF(TR_6RecyclingArranger[[#This Row],[ID_EC]]="",0,IFERROR(0*MATCH(TR_6RecyclingArranger[[#This Row],[ID_EC]],TR_5ExemptionClaim[Lookup: for arranger tab],0),1))</f>
        <v>0</v>
      </c>
      <c r="N117" s="79">
        <f>IF(TR_6RecyclingArranger[[#This Row],[ID_EC]]="",0,IF(COUNTA(TR_6RecyclingArranger[[#This Row],[Name of Third-Party Recycling Arranger]],TR_6RecyclingArranger[[#This Row],[Pounds of Producer''s Material Recycled by this Recycling Arranger]:[Recycling Arranger Contact Email]])=7,0,1))</f>
        <v>0</v>
      </c>
      <c r="O117" s="79">
        <f>IF(TR_6RecyclingArranger[[#This Row],[ID_EC]]&lt;&gt;"",0,IF(COUNTA(TR_6RecyclingArranger[[#This Row],[Name of Third-Party Recycling Arranger]],TR_6RecyclingArranger[[#This Row],[Pounds of Producer''s Material Recycled by this Recycling Arranger]:[Recycling Arranger Contact Email]])&gt;0,1,0))</f>
        <v>0</v>
      </c>
      <c r="P117" s="79">
        <f>IF(TR_6RecyclingArranger[[#This Row],[Lookup: pounds (this table)]]&gt;TR_6RecyclingArranger[[#This Row],[Lookup: pounds (5B tab)]],1,0)</f>
        <v>0</v>
      </c>
      <c r="Q117" s="77">
        <f>SUMIFS(TR_6RecyclingArranger[Pounds of Producer''s Material Recycled by this Recycling Arranger],TR_6RecyclingArranger[ID_EC],TR_6RecyclingArranger[[#This Row],[ID_EC]])</f>
        <v>0</v>
      </c>
      <c r="R117" s="77">
        <f>IFERROR(INDEX(TR_5ExemptionClaim[How many of the pounds recycled through this pathway were supplied by this producer?],MATCH(TR_6RecyclingArranger[[#This Row],[ID_EC]],TR_5ExemptionClaim[ID_EC],0)),0)</f>
        <v>0</v>
      </c>
      <c r="S117" s="80" t="str">
        <f t="shared" si="1"/>
        <v/>
      </c>
      <c r="T117" s="40"/>
      <c r="U117" s="58"/>
    </row>
    <row r="118" spans="1:21" ht="30.75" customHeight="1" x14ac:dyDescent="0.2">
      <c r="A118" s="82" t="s">
        <v>502</v>
      </c>
      <c r="B118" s="46"/>
      <c r="C118" s="113"/>
      <c r="D118" s="214" t="str">
        <f>IF(TR_6RecyclingArranger[[#This Row],[ID_EC]]="","",INDEX(TR_5ExemptionClaim[End Market Name],MATCH(TR_6RecyclingArranger[[#This Row],[ID_EC]],TR_5ExemptionClaim[ID_EC],0)))</f>
        <v/>
      </c>
      <c r="E118" s="214" t="str">
        <f>IF(TR_6RecyclingArranger[[#This Row],[ID_EC]]="","",INDEX(TR_5ExemptionClaim[Collection or Transportation Service Provider Name],MATCH(TR_6RecyclingArranger[[#This Row],[ID_EC]],TR_5ExemptionClaim[ID_EC],0)))</f>
        <v/>
      </c>
      <c r="F118" s="214" t="str">
        <f>IF(TR_6RecyclingArranger[[#This Row],[ID_EC]]="","",IF(INDEX(TR_5ExemptionClaim[CRPF name],MATCH(TR_6RecyclingArranger[[#This Row],[ID_EC]],TR_5ExemptionClaim[ID_EC],0))=0,"None",INDEX(TR_5ExemptionClaim[CRPF name],MATCH(TR_6RecyclingArranger[[#This Row],[ID_EC]],TR_5ExemptionClaim[ID_EC],0))))</f>
        <v/>
      </c>
      <c r="G118" s="45"/>
      <c r="H118" s="108"/>
      <c r="I118" s="47"/>
      <c r="J118" s="48"/>
      <c r="K118" s="47"/>
      <c r="L118" s="79">
        <f>IF(COUNTIFS(TR_6RecyclingArranger[ID_EC],TR_6RecyclingArranger[[#This Row],[ID_EC]],TR_6RecyclingArranger[Name of Third-Party Recycling Arranger],TR_6RecyclingArranger[[#This Row],[Name of Third-Party Recycling Arranger]])&gt;1,1,0)</f>
        <v>0</v>
      </c>
      <c r="M118" s="79">
        <f>IF(TR_6RecyclingArranger[[#This Row],[ID_EC]]="",0,IFERROR(0*MATCH(TR_6RecyclingArranger[[#This Row],[ID_EC]],TR_5ExemptionClaim[Lookup: for arranger tab],0),1))</f>
        <v>0</v>
      </c>
      <c r="N118" s="79">
        <f>IF(TR_6RecyclingArranger[[#This Row],[ID_EC]]="",0,IF(COUNTA(TR_6RecyclingArranger[[#This Row],[Name of Third-Party Recycling Arranger]],TR_6RecyclingArranger[[#This Row],[Pounds of Producer''s Material Recycled by this Recycling Arranger]:[Recycling Arranger Contact Email]])=7,0,1))</f>
        <v>0</v>
      </c>
      <c r="O118" s="79">
        <f>IF(TR_6RecyclingArranger[[#This Row],[ID_EC]]&lt;&gt;"",0,IF(COUNTA(TR_6RecyclingArranger[[#This Row],[Name of Third-Party Recycling Arranger]],TR_6RecyclingArranger[[#This Row],[Pounds of Producer''s Material Recycled by this Recycling Arranger]:[Recycling Arranger Contact Email]])&gt;0,1,0))</f>
        <v>0</v>
      </c>
      <c r="P118" s="79">
        <f>IF(TR_6RecyclingArranger[[#This Row],[Lookup: pounds (this table)]]&gt;TR_6RecyclingArranger[[#This Row],[Lookup: pounds (5B tab)]],1,0)</f>
        <v>0</v>
      </c>
      <c r="Q118" s="77">
        <f>SUMIFS(TR_6RecyclingArranger[Pounds of Producer''s Material Recycled by this Recycling Arranger],TR_6RecyclingArranger[ID_EC],TR_6RecyclingArranger[[#This Row],[ID_EC]])</f>
        <v>0</v>
      </c>
      <c r="R118" s="77">
        <f>IFERROR(INDEX(TR_5ExemptionClaim[How many of the pounds recycled through this pathway were supplied by this producer?],MATCH(TR_6RecyclingArranger[[#This Row],[ID_EC]],TR_5ExemptionClaim[ID_EC],0)),0)</f>
        <v>0</v>
      </c>
      <c r="S118" s="80" t="str">
        <f t="shared" si="1"/>
        <v/>
      </c>
      <c r="T118" s="40"/>
      <c r="U118" s="58"/>
    </row>
    <row r="119" spans="1:21" ht="30.75" customHeight="1" x14ac:dyDescent="0.2">
      <c r="A119" s="82" t="s">
        <v>503</v>
      </c>
      <c r="B119" s="46"/>
      <c r="C119" s="113"/>
      <c r="D119" s="214" t="str">
        <f>IF(TR_6RecyclingArranger[[#This Row],[ID_EC]]="","",INDEX(TR_5ExemptionClaim[End Market Name],MATCH(TR_6RecyclingArranger[[#This Row],[ID_EC]],TR_5ExemptionClaim[ID_EC],0)))</f>
        <v/>
      </c>
      <c r="E119" s="214" t="str">
        <f>IF(TR_6RecyclingArranger[[#This Row],[ID_EC]]="","",INDEX(TR_5ExemptionClaim[Collection or Transportation Service Provider Name],MATCH(TR_6RecyclingArranger[[#This Row],[ID_EC]],TR_5ExemptionClaim[ID_EC],0)))</f>
        <v/>
      </c>
      <c r="F119" s="214" t="str">
        <f>IF(TR_6RecyclingArranger[[#This Row],[ID_EC]]="","",IF(INDEX(TR_5ExemptionClaim[CRPF name],MATCH(TR_6RecyclingArranger[[#This Row],[ID_EC]],TR_5ExemptionClaim[ID_EC],0))=0,"None",INDEX(TR_5ExemptionClaim[CRPF name],MATCH(TR_6RecyclingArranger[[#This Row],[ID_EC]],TR_5ExemptionClaim[ID_EC],0))))</f>
        <v/>
      </c>
      <c r="G119" s="45"/>
      <c r="H119" s="108"/>
      <c r="I119" s="47"/>
      <c r="J119" s="48"/>
      <c r="K119" s="47"/>
      <c r="L119" s="79">
        <f>IF(COUNTIFS(TR_6RecyclingArranger[ID_EC],TR_6RecyclingArranger[[#This Row],[ID_EC]],TR_6RecyclingArranger[Name of Third-Party Recycling Arranger],TR_6RecyclingArranger[[#This Row],[Name of Third-Party Recycling Arranger]])&gt;1,1,0)</f>
        <v>0</v>
      </c>
      <c r="M119" s="79">
        <f>IF(TR_6RecyclingArranger[[#This Row],[ID_EC]]="",0,IFERROR(0*MATCH(TR_6RecyclingArranger[[#This Row],[ID_EC]],TR_5ExemptionClaim[Lookup: for arranger tab],0),1))</f>
        <v>0</v>
      </c>
      <c r="N119" s="79">
        <f>IF(TR_6RecyclingArranger[[#This Row],[ID_EC]]="",0,IF(COUNTA(TR_6RecyclingArranger[[#This Row],[Name of Third-Party Recycling Arranger]],TR_6RecyclingArranger[[#This Row],[Pounds of Producer''s Material Recycled by this Recycling Arranger]:[Recycling Arranger Contact Email]])=7,0,1))</f>
        <v>0</v>
      </c>
      <c r="O119" s="79">
        <f>IF(TR_6RecyclingArranger[[#This Row],[ID_EC]]&lt;&gt;"",0,IF(COUNTA(TR_6RecyclingArranger[[#This Row],[Name of Third-Party Recycling Arranger]],TR_6RecyclingArranger[[#This Row],[Pounds of Producer''s Material Recycled by this Recycling Arranger]:[Recycling Arranger Contact Email]])&gt;0,1,0))</f>
        <v>0</v>
      </c>
      <c r="P119" s="79">
        <f>IF(TR_6RecyclingArranger[[#This Row],[Lookup: pounds (this table)]]&gt;TR_6RecyclingArranger[[#This Row],[Lookup: pounds (5B tab)]],1,0)</f>
        <v>0</v>
      </c>
      <c r="Q119" s="77">
        <f>SUMIFS(TR_6RecyclingArranger[Pounds of Producer''s Material Recycled by this Recycling Arranger],TR_6RecyclingArranger[ID_EC],TR_6RecyclingArranger[[#This Row],[ID_EC]])</f>
        <v>0</v>
      </c>
      <c r="R119" s="77">
        <f>IFERROR(INDEX(TR_5ExemptionClaim[How many of the pounds recycled through this pathway were supplied by this producer?],MATCH(TR_6RecyclingArranger[[#This Row],[ID_EC]],TR_5ExemptionClaim[ID_EC],0)),0)</f>
        <v>0</v>
      </c>
      <c r="S119" s="80" t="str">
        <f t="shared" si="1"/>
        <v/>
      </c>
      <c r="T119" s="40"/>
      <c r="U119" s="58"/>
    </row>
    <row r="120" spans="1:21" ht="30.75" customHeight="1" x14ac:dyDescent="0.2">
      <c r="A120" s="82" t="s">
        <v>504</v>
      </c>
      <c r="B120" s="46"/>
      <c r="C120" s="113"/>
      <c r="D120" s="214" t="str">
        <f>IF(TR_6RecyclingArranger[[#This Row],[ID_EC]]="","",INDEX(TR_5ExemptionClaim[End Market Name],MATCH(TR_6RecyclingArranger[[#This Row],[ID_EC]],TR_5ExemptionClaim[ID_EC],0)))</f>
        <v/>
      </c>
      <c r="E120" s="214" t="str">
        <f>IF(TR_6RecyclingArranger[[#This Row],[ID_EC]]="","",INDEX(TR_5ExemptionClaim[Collection or Transportation Service Provider Name],MATCH(TR_6RecyclingArranger[[#This Row],[ID_EC]],TR_5ExemptionClaim[ID_EC],0)))</f>
        <v/>
      </c>
      <c r="F120" s="214" t="str">
        <f>IF(TR_6RecyclingArranger[[#This Row],[ID_EC]]="","",IF(INDEX(TR_5ExemptionClaim[CRPF name],MATCH(TR_6RecyclingArranger[[#This Row],[ID_EC]],TR_5ExemptionClaim[ID_EC],0))=0,"None",INDEX(TR_5ExemptionClaim[CRPF name],MATCH(TR_6RecyclingArranger[[#This Row],[ID_EC]],TR_5ExemptionClaim[ID_EC],0))))</f>
        <v/>
      </c>
      <c r="G120" s="45"/>
      <c r="H120" s="108"/>
      <c r="I120" s="47"/>
      <c r="J120" s="48"/>
      <c r="K120" s="47"/>
      <c r="L120" s="79">
        <f>IF(COUNTIFS(TR_6RecyclingArranger[ID_EC],TR_6RecyclingArranger[[#This Row],[ID_EC]],TR_6RecyclingArranger[Name of Third-Party Recycling Arranger],TR_6RecyclingArranger[[#This Row],[Name of Third-Party Recycling Arranger]])&gt;1,1,0)</f>
        <v>0</v>
      </c>
      <c r="M120" s="79">
        <f>IF(TR_6RecyclingArranger[[#This Row],[ID_EC]]="",0,IFERROR(0*MATCH(TR_6RecyclingArranger[[#This Row],[ID_EC]],TR_5ExemptionClaim[Lookup: for arranger tab],0),1))</f>
        <v>0</v>
      </c>
      <c r="N120" s="79">
        <f>IF(TR_6RecyclingArranger[[#This Row],[ID_EC]]="",0,IF(COUNTA(TR_6RecyclingArranger[[#This Row],[Name of Third-Party Recycling Arranger]],TR_6RecyclingArranger[[#This Row],[Pounds of Producer''s Material Recycled by this Recycling Arranger]:[Recycling Arranger Contact Email]])=7,0,1))</f>
        <v>0</v>
      </c>
      <c r="O120" s="79">
        <f>IF(TR_6RecyclingArranger[[#This Row],[ID_EC]]&lt;&gt;"",0,IF(COUNTA(TR_6RecyclingArranger[[#This Row],[Name of Third-Party Recycling Arranger]],TR_6RecyclingArranger[[#This Row],[Pounds of Producer''s Material Recycled by this Recycling Arranger]:[Recycling Arranger Contact Email]])&gt;0,1,0))</f>
        <v>0</v>
      </c>
      <c r="P120" s="79">
        <f>IF(TR_6RecyclingArranger[[#This Row],[Lookup: pounds (this table)]]&gt;TR_6RecyclingArranger[[#This Row],[Lookup: pounds (5B tab)]],1,0)</f>
        <v>0</v>
      </c>
      <c r="Q120" s="77">
        <f>SUMIFS(TR_6RecyclingArranger[Pounds of Producer''s Material Recycled by this Recycling Arranger],TR_6RecyclingArranger[ID_EC],TR_6RecyclingArranger[[#This Row],[ID_EC]])</f>
        <v>0</v>
      </c>
      <c r="R120" s="77">
        <f>IFERROR(INDEX(TR_5ExemptionClaim[How many of the pounds recycled through this pathway were supplied by this producer?],MATCH(TR_6RecyclingArranger[[#This Row],[ID_EC]],TR_5ExemptionClaim[ID_EC],0)),0)</f>
        <v>0</v>
      </c>
      <c r="S120" s="80" t="str">
        <f t="shared" si="1"/>
        <v/>
      </c>
      <c r="T120" s="40"/>
      <c r="U120" s="58"/>
    </row>
    <row r="121" spans="1:21" ht="30.75" customHeight="1" x14ac:dyDescent="0.2">
      <c r="A121" s="82" t="s">
        <v>505</v>
      </c>
      <c r="B121" s="46"/>
      <c r="C121" s="113"/>
      <c r="D121" s="214" t="str">
        <f>IF(TR_6RecyclingArranger[[#This Row],[ID_EC]]="","",INDEX(TR_5ExemptionClaim[End Market Name],MATCH(TR_6RecyclingArranger[[#This Row],[ID_EC]],TR_5ExemptionClaim[ID_EC],0)))</f>
        <v/>
      </c>
      <c r="E121" s="214" t="str">
        <f>IF(TR_6RecyclingArranger[[#This Row],[ID_EC]]="","",INDEX(TR_5ExemptionClaim[Collection or Transportation Service Provider Name],MATCH(TR_6RecyclingArranger[[#This Row],[ID_EC]],TR_5ExemptionClaim[ID_EC],0)))</f>
        <v/>
      </c>
      <c r="F121" s="214" t="str">
        <f>IF(TR_6RecyclingArranger[[#This Row],[ID_EC]]="","",IF(INDEX(TR_5ExemptionClaim[CRPF name],MATCH(TR_6RecyclingArranger[[#This Row],[ID_EC]],TR_5ExemptionClaim[ID_EC],0))=0,"None",INDEX(TR_5ExemptionClaim[CRPF name],MATCH(TR_6RecyclingArranger[[#This Row],[ID_EC]],TR_5ExemptionClaim[ID_EC],0))))</f>
        <v/>
      </c>
      <c r="G121" s="45"/>
      <c r="H121" s="108"/>
      <c r="I121" s="47"/>
      <c r="J121" s="48"/>
      <c r="K121" s="47"/>
      <c r="L121" s="79">
        <f>IF(COUNTIFS(TR_6RecyclingArranger[ID_EC],TR_6RecyclingArranger[[#This Row],[ID_EC]],TR_6RecyclingArranger[Name of Third-Party Recycling Arranger],TR_6RecyclingArranger[[#This Row],[Name of Third-Party Recycling Arranger]])&gt;1,1,0)</f>
        <v>0</v>
      </c>
      <c r="M121" s="79">
        <f>IF(TR_6RecyclingArranger[[#This Row],[ID_EC]]="",0,IFERROR(0*MATCH(TR_6RecyclingArranger[[#This Row],[ID_EC]],TR_5ExemptionClaim[Lookup: for arranger tab],0),1))</f>
        <v>0</v>
      </c>
      <c r="N121" s="79">
        <f>IF(TR_6RecyclingArranger[[#This Row],[ID_EC]]="",0,IF(COUNTA(TR_6RecyclingArranger[[#This Row],[Name of Third-Party Recycling Arranger]],TR_6RecyclingArranger[[#This Row],[Pounds of Producer''s Material Recycled by this Recycling Arranger]:[Recycling Arranger Contact Email]])=7,0,1))</f>
        <v>0</v>
      </c>
      <c r="O121" s="79">
        <f>IF(TR_6RecyclingArranger[[#This Row],[ID_EC]]&lt;&gt;"",0,IF(COUNTA(TR_6RecyclingArranger[[#This Row],[Name of Third-Party Recycling Arranger]],TR_6RecyclingArranger[[#This Row],[Pounds of Producer''s Material Recycled by this Recycling Arranger]:[Recycling Arranger Contact Email]])&gt;0,1,0))</f>
        <v>0</v>
      </c>
      <c r="P121" s="79">
        <f>IF(TR_6RecyclingArranger[[#This Row],[Lookup: pounds (this table)]]&gt;TR_6RecyclingArranger[[#This Row],[Lookup: pounds (5B tab)]],1,0)</f>
        <v>0</v>
      </c>
      <c r="Q121" s="77">
        <f>SUMIFS(TR_6RecyclingArranger[Pounds of Producer''s Material Recycled by this Recycling Arranger],TR_6RecyclingArranger[ID_EC],TR_6RecyclingArranger[[#This Row],[ID_EC]])</f>
        <v>0</v>
      </c>
      <c r="R121" s="77">
        <f>IFERROR(INDEX(TR_5ExemptionClaim[How many of the pounds recycled through this pathway were supplied by this producer?],MATCH(TR_6RecyclingArranger[[#This Row],[ID_EC]],TR_5ExemptionClaim[ID_EC],0)),0)</f>
        <v>0</v>
      </c>
      <c r="S121" s="80" t="str">
        <f t="shared" si="1"/>
        <v/>
      </c>
      <c r="T121" s="40"/>
      <c r="U121" s="58"/>
    </row>
    <row r="122" spans="1:21" ht="30.75" customHeight="1" x14ac:dyDescent="0.2">
      <c r="A122" s="82" t="s">
        <v>506</v>
      </c>
      <c r="B122" s="46"/>
      <c r="C122" s="113"/>
      <c r="D122" s="214" t="str">
        <f>IF(TR_6RecyclingArranger[[#This Row],[ID_EC]]="","",INDEX(TR_5ExemptionClaim[End Market Name],MATCH(TR_6RecyclingArranger[[#This Row],[ID_EC]],TR_5ExemptionClaim[ID_EC],0)))</f>
        <v/>
      </c>
      <c r="E122" s="214" t="str">
        <f>IF(TR_6RecyclingArranger[[#This Row],[ID_EC]]="","",INDEX(TR_5ExemptionClaim[Collection or Transportation Service Provider Name],MATCH(TR_6RecyclingArranger[[#This Row],[ID_EC]],TR_5ExemptionClaim[ID_EC],0)))</f>
        <v/>
      </c>
      <c r="F122" s="214" t="str">
        <f>IF(TR_6RecyclingArranger[[#This Row],[ID_EC]]="","",IF(INDEX(TR_5ExemptionClaim[CRPF name],MATCH(TR_6RecyclingArranger[[#This Row],[ID_EC]],TR_5ExemptionClaim[ID_EC],0))=0,"None",INDEX(TR_5ExemptionClaim[CRPF name],MATCH(TR_6RecyclingArranger[[#This Row],[ID_EC]],TR_5ExemptionClaim[ID_EC],0))))</f>
        <v/>
      </c>
      <c r="G122" s="45"/>
      <c r="H122" s="108"/>
      <c r="I122" s="47"/>
      <c r="J122" s="48"/>
      <c r="K122" s="47"/>
      <c r="L122" s="79">
        <f>IF(COUNTIFS(TR_6RecyclingArranger[ID_EC],TR_6RecyclingArranger[[#This Row],[ID_EC]],TR_6RecyclingArranger[Name of Third-Party Recycling Arranger],TR_6RecyclingArranger[[#This Row],[Name of Third-Party Recycling Arranger]])&gt;1,1,0)</f>
        <v>0</v>
      </c>
      <c r="M122" s="79">
        <f>IF(TR_6RecyclingArranger[[#This Row],[ID_EC]]="",0,IFERROR(0*MATCH(TR_6RecyclingArranger[[#This Row],[ID_EC]],TR_5ExemptionClaim[Lookup: for arranger tab],0),1))</f>
        <v>0</v>
      </c>
      <c r="N122" s="79">
        <f>IF(TR_6RecyclingArranger[[#This Row],[ID_EC]]="",0,IF(COUNTA(TR_6RecyclingArranger[[#This Row],[Name of Third-Party Recycling Arranger]],TR_6RecyclingArranger[[#This Row],[Pounds of Producer''s Material Recycled by this Recycling Arranger]:[Recycling Arranger Contact Email]])=7,0,1))</f>
        <v>0</v>
      </c>
      <c r="O122" s="79">
        <f>IF(TR_6RecyclingArranger[[#This Row],[ID_EC]]&lt;&gt;"",0,IF(COUNTA(TR_6RecyclingArranger[[#This Row],[Name of Third-Party Recycling Arranger]],TR_6RecyclingArranger[[#This Row],[Pounds of Producer''s Material Recycled by this Recycling Arranger]:[Recycling Arranger Contact Email]])&gt;0,1,0))</f>
        <v>0</v>
      </c>
      <c r="P122" s="79">
        <f>IF(TR_6RecyclingArranger[[#This Row],[Lookup: pounds (this table)]]&gt;TR_6RecyclingArranger[[#This Row],[Lookup: pounds (5B tab)]],1,0)</f>
        <v>0</v>
      </c>
      <c r="Q122" s="77">
        <f>SUMIFS(TR_6RecyclingArranger[Pounds of Producer''s Material Recycled by this Recycling Arranger],TR_6RecyclingArranger[ID_EC],TR_6RecyclingArranger[[#This Row],[ID_EC]])</f>
        <v>0</v>
      </c>
      <c r="R122" s="77">
        <f>IFERROR(INDEX(TR_5ExemptionClaim[How many of the pounds recycled through this pathway were supplied by this producer?],MATCH(TR_6RecyclingArranger[[#This Row],[ID_EC]],TR_5ExemptionClaim[ID_EC],0)),0)</f>
        <v>0</v>
      </c>
      <c r="S122" s="80" t="str">
        <f t="shared" si="1"/>
        <v/>
      </c>
      <c r="T122" s="40"/>
      <c r="U122" s="58"/>
    </row>
    <row r="123" spans="1:21" ht="30.75" customHeight="1" x14ac:dyDescent="0.2">
      <c r="A123" s="82" t="s">
        <v>507</v>
      </c>
      <c r="B123" s="46"/>
      <c r="C123" s="113"/>
      <c r="D123" s="214" t="str">
        <f>IF(TR_6RecyclingArranger[[#This Row],[ID_EC]]="","",INDEX(TR_5ExemptionClaim[End Market Name],MATCH(TR_6RecyclingArranger[[#This Row],[ID_EC]],TR_5ExemptionClaim[ID_EC],0)))</f>
        <v/>
      </c>
      <c r="E123" s="214" t="str">
        <f>IF(TR_6RecyclingArranger[[#This Row],[ID_EC]]="","",INDEX(TR_5ExemptionClaim[Collection or Transportation Service Provider Name],MATCH(TR_6RecyclingArranger[[#This Row],[ID_EC]],TR_5ExemptionClaim[ID_EC],0)))</f>
        <v/>
      </c>
      <c r="F123" s="214" t="str">
        <f>IF(TR_6RecyclingArranger[[#This Row],[ID_EC]]="","",IF(INDEX(TR_5ExemptionClaim[CRPF name],MATCH(TR_6RecyclingArranger[[#This Row],[ID_EC]],TR_5ExemptionClaim[ID_EC],0))=0,"None",INDEX(TR_5ExemptionClaim[CRPF name],MATCH(TR_6RecyclingArranger[[#This Row],[ID_EC]],TR_5ExemptionClaim[ID_EC],0))))</f>
        <v/>
      </c>
      <c r="G123" s="45"/>
      <c r="H123" s="108"/>
      <c r="I123" s="47"/>
      <c r="J123" s="48"/>
      <c r="K123" s="47"/>
      <c r="L123" s="79">
        <f>IF(COUNTIFS(TR_6RecyclingArranger[ID_EC],TR_6RecyclingArranger[[#This Row],[ID_EC]],TR_6RecyclingArranger[Name of Third-Party Recycling Arranger],TR_6RecyclingArranger[[#This Row],[Name of Third-Party Recycling Arranger]])&gt;1,1,0)</f>
        <v>0</v>
      </c>
      <c r="M123" s="79">
        <f>IF(TR_6RecyclingArranger[[#This Row],[ID_EC]]="",0,IFERROR(0*MATCH(TR_6RecyclingArranger[[#This Row],[ID_EC]],TR_5ExemptionClaim[Lookup: for arranger tab],0),1))</f>
        <v>0</v>
      </c>
      <c r="N123" s="79">
        <f>IF(TR_6RecyclingArranger[[#This Row],[ID_EC]]="",0,IF(COUNTA(TR_6RecyclingArranger[[#This Row],[Name of Third-Party Recycling Arranger]],TR_6RecyclingArranger[[#This Row],[Pounds of Producer''s Material Recycled by this Recycling Arranger]:[Recycling Arranger Contact Email]])=7,0,1))</f>
        <v>0</v>
      </c>
      <c r="O123" s="79">
        <f>IF(TR_6RecyclingArranger[[#This Row],[ID_EC]]&lt;&gt;"",0,IF(COUNTA(TR_6RecyclingArranger[[#This Row],[Name of Third-Party Recycling Arranger]],TR_6RecyclingArranger[[#This Row],[Pounds of Producer''s Material Recycled by this Recycling Arranger]:[Recycling Arranger Contact Email]])&gt;0,1,0))</f>
        <v>0</v>
      </c>
      <c r="P123" s="79">
        <f>IF(TR_6RecyclingArranger[[#This Row],[Lookup: pounds (this table)]]&gt;TR_6RecyclingArranger[[#This Row],[Lookup: pounds (5B tab)]],1,0)</f>
        <v>0</v>
      </c>
      <c r="Q123" s="77">
        <f>SUMIFS(TR_6RecyclingArranger[Pounds of Producer''s Material Recycled by this Recycling Arranger],TR_6RecyclingArranger[ID_EC],TR_6RecyclingArranger[[#This Row],[ID_EC]])</f>
        <v>0</v>
      </c>
      <c r="R123" s="77">
        <f>IFERROR(INDEX(TR_5ExemptionClaim[How many of the pounds recycled through this pathway were supplied by this producer?],MATCH(TR_6RecyclingArranger[[#This Row],[ID_EC]],TR_5ExemptionClaim[ID_EC],0)),0)</f>
        <v>0</v>
      </c>
      <c r="S123" s="80" t="str">
        <f t="shared" si="1"/>
        <v/>
      </c>
      <c r="T123" s="40"/>
      <c r="U123" s="58"/>
    </row>
    <row r="124" spans="1:21" ht="30.75" customHeight="1" x14ac:dyDescent="0.2">
      <c r="A124" s="82" t="s">
        <v>508</v>
      </c>
      <c r="B124" s="46"/>
      <c r="C124" s="113"/>
      <c r="D124" s="214" t="str">
        <f>IF(TR_6RecyclingArranger[[#This Row],[ID_EC]]="","",INDEX(TR_5ExemptionClaim[End Market Name],MATCH(TR_6RecyclingArranger[[#This Row],[ID_EC]],TR_5ExemptionClaim[ID_EC],0)))</f>
        <v/>
      </c>
      <c r="E124" s="214" t="str">
        <f>IF(TR_6RecyclingArranger[[#This Row],[ID_EC]]="","",INDEX(TR_5ExemptionClaim[Collection or Transportation Service Provider Name],MATCH(TR_6RecyclingArranger[[#This Row],[ID_EC]],TR_5ExemptionClaim[ID_EC],0)))</f>
        <v/>
      </c>
      <c r="F124" s="214" t="str">
        <f>IF(TR_6RecyclingArranger[[#This Row],[ID_EC]]="","",IF(INDEX(TR_5ExemptionClaim[CRPF name],MATCH(TR_6RecyclingArranger[[#This Row],[ID_EC]],TR_5ExemptionClaim[ID_EC],0))=0,"None",INDEX(TR_5ExemptionClaim[CRPF name],MATCH(TR_6RecyclingArranger[[#This Row],[ID_EC]],TR_5ExemptionClaim[ID_EC],0))))</f>
        <v/>
      </c>
      <c r="G124" s="45"/>
      <c r="H124" s="108"/>
      <c r="I124" s="47"/>
      <c r="J124" s="48"/>
      <c r="K124" s="47"/>
      <c r="L124" s="79">
        <f>IF(COUNTIFS(TR_6RecyclingArranger[ID_EC],TR_6RecyclingArranger[[#This Row],[ID_EC]],TR_6RecyclingArranger[Name of Third-Party Recycling Arranger],TR_6RecyclingArranger[[#This Row],[Name of Third-Party Recycling Arranger]])&gt;1,1,0)</f>
        <v>0</v>
      </c>
      <c r="M124" s="79">
        <f>IF(TR_6RecyclingArranger[[#This Row],[ID_EC]]="",0,IFERROR(0*MATCH(TR_6RecyclingArranger[[#This Row],[ID_EC]],TR_5ExemptionClaim[Lookup: for arranger tab],0),1))</f>
        <v>0</v>
      </c>
      <c r="N124" s="79">
        <f>IF(TR_6RecyclingArranger[[#This Row],[ID_EC]]="",0,IF(COUNTA(TR_6RecyclingArranger[[#This Row],[Name of Third-Party Recycling Arranger]],TR_6RecyclingArranger[[#This Row],[Pounds of Producer''s Material Recycled by this Recycling Arranger]:[Recycling Arranger Contact Email]])=7,0,1))</f>
        <v>0</v>
      </c>
      <c r="O124" s="79">
        <f>IF(TR_6RecyclingArranger[[#This Row],[ID_EC]]&lt;&gt;"",0,IF(COUNTA(TR_6RecyclingArranger[[#This Row],[Name of Third-Party Recycling Arranger]],TR_6RecyclingArranger[[#This Row],[Pounds of Producer''s Material Recycled by this Recycling Arranger]:[Recycling Arranger Contact Email]])&gt;0,1,0))</f>
        <v>0</v>
      </c>
      <c r="P124" s="79">
        <f>IF(TR_6RecyclingArranger[[#This Row],[Lookup: pounds (this table)]]&gt;TR_6RecyclingArranger[[#This Row],[Lookup: pounds (5B tab)]],1,0)</f>
        <v>0</v>
      </c>
      <c r="Q124" s="77">
        <f>SUMIFS(TR_6RecyclingArranger[Pounds of Producer''s Material Recycled by this Recycling Arranger],TR_6RecyclingArranger[ID_EC],TR_6RecyclingArranger[[#This Row],[ID_EC]])</f>
        <v>0</v>
      </c>
      <c r="R124" s="77">
        <f>IFERROR(INDEX(TR_5ExemptionClaim[How many of the pounds recycled through this pathway were supplied by this producer?],MATCH(TR_6RecyclingArranger[[#This Row],[ID_EC]],TR_5ExemptionClaim[ID_EC],0)),0)</f>
        <v>0</v>
      </c>
      <c r="S124" s="80" t="str">
        <f t="shared" si="1"/>
        <v/>
      </c>
      <c r="T124" s="40"/>
      <c r="U124" s="58"/>
    </row>
    <row r="125" spans="1:21" ht="30.75" customHeight="1" x14ac:dyDescent="0.2">
      <c r="A125" s="82" t="s">
        <v>509</v>
      </c>
      <c r="B125" s="46"/>
      <c r="C125" s="113"/>
      <c r="D125" s="214" t="str">
        <f>IF(TR_6RecyclingArranger[[#This Row],[ID_EC]]="","",INDEX(TR_5ExemptionClaim[End Market Name],MATCH(TR_6RecyclingArranger[[#This Row],[ID_EC]],TR_5ExemptionClaim[ID_EC],0)))</f>
        <v/>
      </c>
      <c r="E125" s="214" t="str">
        <f>IF(TR_6RecyclingArranger[[#This Row],[ID_EC]]="","",INDEX(TR_5ExemptionClaim[Collection or Transportation Service Provider Name],MATCH(TR_6RecyclingArranger[[#This Row],[ID_EC]],TR_5ExemptionClaim[ID_EC],0)))</f>
        <v/>
      </c>
      <c r="F125" s="214" t="str">
        <f>IF(TR_6RecyclingArranger[[#This Row],[ID_EC]]="","",IF(INDEX(TR_5ExemptionClaim[CRPF name],MATCH(TR_6RecyclingArranger[[#This Row],[ID_EC]],TR_5ExemptionClaim[ID_EC],0))=0,"None",INDEX(TR_5ExemptionClaim[CRPF name],MATCH(TR_6RecyclingArranger[[#This Row],[ID_EC]],TR_5ExemptionClaim[ID_EC],0))))</f>
        <v/>
      </c>
      <c r="G125" s="45"/>
      <c r="H125" s="108"/>
      <c r="I125" s="47"/>
      <c r="J125" s="48"/>
      <c r="K125" s="47"/>
      <c r="L125" s="79">
        <f>IF(COUNTIFS(TR_6RecyclingArranger[ID_EC],TR_6RecyclingArranger[[#This Row],[ID_EC]],TR_6RecyclingArranger[Name of Third-Party Recycling Arranger],TR_6RecyclingArranger[[#This Row],[Name of Third-Party Recycling Arranger]])&gt;1,1,0)</f>
        <v>0</v>
      </c>
      <c r="M125" s="79">
        <f>IF(TR_6RecyclingArranger[[#This Row],[ID_EC]]="",0,IFERROR(0*MATCH(TR_6RecyclingArranger[[#This Row],[ID_EC]],TR_5ExemptionClaim[Lookup: for arranger tab],0),1))</f>
        <v>0</v>
      </c>
      <c r="N125" s="79">
        <f>IF(TR_6RecyclingArranger[[#This Row],[ID_EC]]="",0,IF(COUNTA(TR_6RecyclingArranger[[#This Row],[Name of Third-Party Recycling Arranger]],TR_6RecyclingArranger[[#This Row],[Pounds of Producer''s Material Recycled by this Recycling Arranger]:[Recycling Arranger Contact Email]])=7,0,1))</f>
        <v>0</v>
      </c>
      <c r="O125" s="79">
        <f>IF(TR_6RecyclingArranger[[#This Row],[ID_EC]]&lt;&gt;"",0,IF(COUNTA(TR_6RecyclingArranger[[#This Row],[Name of Third-Party Recycling Arranger]],TR_6RecyclingArranger[[#This Row],[Pounds of Producer''s Material Recycled by this Recycling Arranger]:[Recycling Arranger Contact Email]])&gt;0,1,0))</f>
        <v>0</v>
      </c>
      <c r="P125" s="79">
        <f>IF(TR_6RecyclingArranger[[#This Row],[Lookup: pounds (this table)]]&gt;TR_6RecyclingArranger[[#This Row],[Lookup: pounds (5B tab)]],1,0)</f>
        <v>0</v>
      </c>
      <c r="Q125" s="77">
        <f>SUMIFS(TR_6RecyclingArranger[Pounds of Producer''s Material Recycled by this Recycling Arranger],TR_6RecyclingArranger[ID_EC],TR_6RecyclingArranger[[#This Row],[ID_EC]])</f>
        <v>0</v>
      </c>
      <c r="R125" s="77">
        <f>IFERROR(INDEX(TR_5ExemptionClaim[How many of the pounds recycled through this pathway were supplied by this producer?],MATCH(TR_6RecyclingArranger[[#This Row],[ID_EC]],TR_5ExemptionClaim[ID_EC],0)),0)</f>
        <v>0</v>
      </c>
      <c r="S125" s="80" t="str">
        <f t="shared" si="1"/>
        <v/>
      </c>
      <c r="T125" s="40"/>
      <c r="U125" s="58"/>
    </row>
    <row r="126" spans="1:21" ht="30.75" customHeight="1" x14ac:dyDescent="0.2">
      <c r="A126" s="82" t="s">
        <v>510</v>
      </c>
      <c r="B126" s="46"/>
      <c r="C126" s="113"/>
      <c r="D126" s="214" t="str">
        <f>IF(TR_6RecyclingArranger[[#This Row],[ID_EC]]="","",INDEX(TR_5ExemptionClaim[End Market Name],MATCH(TR_6RecyclingArranger[[#This Row],[ID_EC]],TR_5ExemptionClaim[ID_EC],0)))</f>
        <v/>
      </c>
      <c r="E126" s="214" t="str">
        <f>IF(TR_6RecyclingArranger[[#This Row],[ID_EC]]="","",INDEX(TR_5ExemptionClaim[Collection or Transportation Service Provider Name],MATCH(TR_6RecyclingArranger[[#This Row],[ID_EC]],TR_5ExemptionClaim[ID_EC],0)))</f>
        <v/>
      </c>
      <c r="F126" s="214" t="str">
        <f>IF(TR_6RecyclingArranger[[#This Row],[ID_EC]]="","",IF(INDEX(TR_5ExemptionClaim[CRPF name],MATCH(TR_6RecyclingArranger[[#This Row],[ID_EC]],TR_5ExemptionClaim[ID_EC],0))=0,"None",INDEX(TR_5ExemptionClaim[CRPF name],MATCH(TR_6RecyclingArranger[[#This Row],[ID_EC]],TR_5ExemptionClaim[ID_EC],0))))</f>
        <v/>
      </c>
      <c r="G126" s="45"/>
      <c r="H126" s="108"/>
      <c r="I126" s="47"/>
      <c r="J126" s="48"/>
      <c r="K126" s="47"/>
      <c r="L126" s="79">
        <f>IF(COUNTIFS(TR_6RecyclingArranger[ID_EC],TR_6RecyclingArranger[[#This Row],[ID_EC]],TR_6RecyclingArranger[Name of Third-Party Recycling Arranger],TR_6RecyclingArranger[[#This Row],[Name of Third-Party Recycling Arranger]])&gt;1,1,0)</f>
        <v>0</v>
      </c>
      <c r="M126" s="79">
        <f>IF(TR_6RecyclingArranger[[#This Row],[ID_EC]]="",0,IFERROR(0*MATCH(TR_6RecyclingArranger[[#This Row],[ID_EC]],TR_5ExemptionClaim[Lookup: for arranger tab],0),1))</f>
        <v>0</v>
      </c>
      <c r="N126" s="79">
        <f>IF(TR_6RecyclingArranger[[#This Row],[ID_EC]]="",0,IF(COUNTA(TR_6RecyclingArranger[[#This Row],[Name of Third-Party Recycling Arranger]],TR_6RecyclingArranger[[#This Row],[Pounds of Producer''s Material Recycled by this Recycling Arranger]:[Recycling Arranger Contact Email]])=7,0,1))</f>
        <v>0</v>
      </c>
      <c r="O126" s="79">
        <f>IF(TR_6RecyclingArranger[[#This Row],[ID_EC]]&lt;&gt;"",0,IF(COUNTA(TR_6RecyclingArranger[[#This Row],[Name of Third-Party Recycling Arranger]],TR_6RecyclingArranger[[#This Row],[Pounds of Producer''s Material Recycled by this Recycling Arranger]:[Recycling Arranger Contact Email]])&gt;0,1,0))</f>
        <v>0</v>
      </c>
      <c r="P126" s="79">
        <f>IF(TR_6RecyclingArranger[[#This Row],[Lookup: pounds (this table)]]&gt;TR_6RecyclingArranger[[#This Row],[Lookup: pounds (5B tab)]],1,0)</f>
        <v>0</v>
      </c>
      <c r="Q126" s="77">
        <f>SUMIFS(TR_6RecyclingArranger[Pounds of Producer''s Material Recycled by this Recycling Arranger],TR_6RecyclingArranger[ID_EC],TR_6RecyclingArranger[[#This Row],[ID_EC]])</f>
        <v>0</v>
      </c>
      <c r="R126" s="77">
        <f>IFERROR(INDEX(TR_5ExemptionClaim[How many of the pounds recycled through this pathway were supplied by this producer?],MATCH(TR_6RecyclingArranger[[#This Row],[ID_EC]],TR_5ExemptionClaim[ID_EC],0)),0)</f>
        <v>0</v>
      </c>
      <c r="S126" s="80" t="str">
        <f t="shared" si="1"/>
        <v/>
      </c>
      <c r="T126" s="40"/>
      <c r="U126" s="58"/>
    </row>
    <row r="127" spans="1:21" ht="30.75" customHeight="1" x14ac:dyDescent="0.2">
      <c r="A127" s="82" t="s">
        <v>511</v>
      </c>
      <c r="B127" s="46"/>
      <c r="C127" s="113"/>
      <c r="D127" s="214" t="str">
        <f>IF(TR_6RecyclingArranger[[#This Row],[ID_EC]]="","",INDEX(TR_5ExemptionClaim[End Market Name],MATCH(TR_6RecyclingArranger[[#This Row],[ID_EC]],TR_5ExemptionClaim[ID_EC],0)))</f>
        <v/>
      </c>
      <c r="E127" s="214" t="str">
        <f>IF(TR_6RecyclingArranger[[#This Row],[ID_EC]]="","",INDEX(TR_5ExemptionClaim[Collection or Transportation Service Provider Name],MATCH(TR_6RecyclingArranger[[#This Row],[ID_EC]],TR_5ExemptionClaim[ID_EC],0)))</f>
        <v/>
      </c>
      <c r="F127" s="214" t="str">
        <f>IF(TR_6RecyclingArranger[[#This Row],[ID_EC]]="","",IF(INDEX(TR_5ExemptionClaim[CRPF name],MATCH(TR_6RecyclingArranger[[#This Row],[ID_EC]],TR_5ExemptionClaim[ID_EC],0))=0,"None",INDEX(TR_5ExemptionClaim[CRPF name],MATCH(TR_6RecyclingArranger[[#This Row],[ID_EC]],TR_5ExemptionClaim[ID_EC],0))))</f>
        <v/>
      </c>
      <c r="G127" s="45"/>
      <c r="H127" s="108"/>
      <c r="I127" s="47"/>
      <c r="J127" s="48"/>
      <c r="K127" s="47"/>
      <c r="L127" s="79">
        <f>IF(COUNTIFS(TR_6RecyclingArranger[ID_EC],TR_6RecyclingArranger[[#This Row],[ID_EC]],TR_6RecyclingArranger[Name of Third-Party Recycling Arranger],TR_6RecyclingArranger[[#This Row],[Name of Third-Party Recycling Arranger]])&gt;1,1,0)</f>
        <v>0</v>
      </c>
      <c r="M127" s="79">
        <f>IF(TR_6RecyclingArranger[[#This Row],[ID_EC]]="",0,IFERROR(0*MATCH(TR_6RecyclingArranger[[#This Row],[ID_EC]],TR_5ExemptionClaim[Lookup: for arranger tab],0),1))</f>
        <v>0</v>
      </c>
      <c r="N127" s="79">
        <f>IF(TR_6RecyclingArranger[[#This Row],[ID_EC]]="",0,IF(COUNTA(TR_6RecyclingArranger[[#This Row],[Name of Third-Party Recycling Arranger]],TR_6RecyclingArranger[[#This Row],[Pounds of Producer''s Material Recycled by this Recycling Arranger]:[Recycling Arranger Contact Email]])=7,0,1))</f>
        <v>0</v>
      </c>
      <c r="O127" s="79">
        <f>IF(TR_6RecyclingArranger[[#This Row],[ID_EC]]&lt;&gt;"",0,IF(COUNTA(TR_6RecyclingArranger[[#This Row],[Name of Third-Party Recycling Arranger]],TR_6RecyclingArranger[[#This Row],[Pounds of Producer''s Material Recycled by this Recycling Arranger]:[Recycling Arranger Contact Email]])&gt;0,1,0))</f>
        <v>0</v>
      </c>
      <c r="P127" s="79">
        <f>IF(TR_6RecyclingArranger[[#This Row],[Lookup: pounds (this table)]]&gt;TR_6RecyclingArranger[[#This Row],[Lookup: pounds (5B tab)]],1,0)</f>
        <v>0</v>
      </c>
      <c r="Q127" s="77">
        <f>SUMIFS(TR_6RecyclingArranger[Pounds of Producer''s Material Recycled by this Recycling Arranger],TR_6RecyclingArranger[ID_EC],TR_6RecyclingArranger[[#This Row],[ID_EC]])</f>
        <v>0</v>
      </c>
      <c r="R127" s="77">
        <f>IFERROR(INDEX(TR_5ExemptionClaim[How many of the pounds recycled through this pathway were supplied by this producer?],MATCH(TR_6RecyclingArranger[[#This Row],[ID_EC]],TR_5ExemptionClaim[ID_EC],0)),0)</f>
        <v>0</v>
      </c>
      <c r="S127" s="80" t="str">
        <f t="shared" si="1"/>
        <v/>
      </c>
      <c r="T127" s="40"/>
      <c r="U127" s="58"/>
    </row>
    <row r="128" spans="1:21" ht="30.75" customHeight="1" x14ac:dyDescent="0.2">
      <c r="A128" s="82" t="s">
        <v>512</v>
      </c>
      <c r="B128" s="46"/>
      <c r="C128" s="113"/>
      <c r="D128" s="214" t="str">
        <f>IF(TR_6RecyclingArranger[[#This Row],[ID_EC]]="","",INDEX(TR_5ExemptionClaim[End Market Name],MATCH(TR_6RecyclingArranger[[#This Row],[ID_EC]],TR_5ExemptionClaim[ID_EC],0)))</f>
        <v/>
      </c>
      <c r="E128" s="214" t="str">
        <f>IF(TR_6RecyclingArranger[[#This Row],[ID_EC]]="","",INDEX(TR_5ExemptionClaim[Collection or Transportation Service Provider Name],MATCH(TR_6RecyclingArranger[[#This Row],[ID_EC]],TR_5ExemptionClaim[ID_EC],0)))</f>
        <v/>
      </c>
      <c r="F128" s="214" t="str">
        <f>IF(TR_6RecyclingArranger[[#This Row],[ID_EC]]="","",IF(INDEX(TR_5ExemptionClaim[CRPF name],MATCH(TR_6RecyclingArranger[[#This Row],[ID_EC]],TR_5ExemptionClaim[ID_EC],0))=0,"None",INDEX(TR_5ExemptionClaim[CRPF name],MATCH(TR_6RecyclingArranger[[#This Row],[ID_EC]],TR_5ExemptionClaim[ID_EC],0))))</f>
        <v/>
      </c>
      <c r="G128" s="45"/>
      <c r="H128" s="108"/>
      <c r="I128" s="47"/>
      <c r="J128" s="48"/>
      <c r="K128" s="47"/>
      <c r="L128" s="79">
        <f>IF(COUNTIFS(TR_6RecyclingArranger[ID_EC],TR_6RecyclingArranger[[#This Row],[ID_EC]],TR_6RecyclingArranger[Name of Third-Party Recycling Arranger],TR_6RecyclingArranger[[#This Row],[Name of Third-Party Recycling Arranger]])&gt;1,1,0)</f>
        <v>0</v>
      </c>
      <c r="M128" s="79">
        <f>IF(TR_6RecyclingArranger[[#This Row],[ID_EC]]="",0,IFERROR(0*MATCH(TR_6RecyclingArranger[[#This Row],[ID_EC]],TR_5ExemptionClaim[Lookup: for arranger tab],0),1))</f>
        <v>0</v>
      </c>
      <c r="N128" s="79">
        <f>IF(TR_6RecyclingArranger[[#This Row],[ID_EC]]="",0,IF(COUNTA(TR_6RecyclingArranger[[#This Row],[Name of Third-Party Recycling Arranger]],TR_6RecyclingArranger[[#This Row],[Pounds of Producer''s Material Recycled by this Recycling Arranger]:[Recycling Arranger Contact Email]])=7,0,1))</f>
        <v>0</v>
      </c>
      <c r="O128" s="79">
        <f>IF(TR_6RecyclingArranger[[#This Row],[ID_EC]]&lt;&gt;"",0,IF(COUNTA(TR_6RecyclingArranger[[#This Row],[Name of Third-Party Recycling Arranger]],TR_6RecyclingArranger[[#This Row],[Pounds of Producer''s Material Recycled by this Recycling Arranger]:[Recycling Arranger Contact Email]])&gt;0,1,0))</f>
        <v>0</v>
      </c>
      <c r="P128" s="79">
        <f>IF(TR_6RecyclingArranger[[#This Row],[Lookup: pounds (this table)]]&gt;TR_6RecyclingArranger[[#This Row],[Lookup: pounds (5B tab)]],1,0)</f>
        <v>0</v>
      </c>
      <c r="Q128" s="77">
        <f>SUMIFS(TR_6RecyclingArranger[Pounds of Producer''s Material Recycled by this Recycling Arranger],TR_6RecyclingArranger[ID_EC],TR_6RecyclingArranger[[#This Row],[ID_EC]])</f>
        <v>0</v>
      </c>
      <c r="R128" s="77">
        <f>IFERROR(INDEX(TR_5ExemptionClaim[How many of the pounds recycled through this pathway were supplied by this producer?],MATCH(TR_6RecyclingArranger[[#This Row],[ID_EC]],TR_5ExemptionClaim[ID_EC],0)),0)</f>
        <v>0</v>
      </c>
      <c r="S128" s="80" t="str">
        <f t="shared" si="1"/>
        <v/>
      </c>
      <c r="T128" s="40"/>
      <c r="U128" s="58"/>
    </row>
    <row r="129" spans="1:21" ht="30.75" customHeight="1" x14ac:dyDescent="0.2">
      <c r="A129" s="82" t="s">
        <v>513</v>
      </c>
      <c r="B129" s="46"/>
      <c r="C129" s="113"/>
      <c r="D129" s="214" t="str">
        <f>IF(TR_6RecyclingArranger[[#This Row],[ID_EC]]="","",INDEX(TR_5ExemptionClaim[End Market Name],MATCH(TR_6RecyclingArranger[[#This Row],[ID_EC]],TR_5ExemptionClaim[ID_EC],0)))</f>
        <v/>
      </c>
      <c r="E129" s="214" t="str">
        <f>IF(TR_6RecyclingArranger[[#This Row],[ID_EC]]="","",INDEX(TR_5ExemptionClaim[Collection or Transportation Service Provider Name],MATCH(TR_6RecyclingArranger[[#This Row],[ID_EC]],TR_5ExemptionClaim[ID_EC],0)))</f>
        <v/>
      </c>
      <c r="F129" s="214" t="str">
        <f>IF(TR_6RecyclingArranger[[#This Row],[ID_EC]]="","",IF(INDEX(TR_5ExemptionClaim[CRPF name],MATCH(TR_6RecyclingArranger[[#This Row],[ID_EC]],TR_5ExemptionClaim[ID_EC],0))=0,"None",INDEX(TR_5ExemptionClaim[CRPF name],MATCH(TR_6RecyclingArranger[[#This Row],[ID_EC]],TR_5ExemptionClaim[ID_EC],0))))</f>
        <v/>
      </c>
      <c r="G129" s="45"/>
      <c r="H129" s="108"/>
      <c r="I129" s="47"/>
      <c r="J129" s="48"/>
      <c r="K129" s="47"/>
      <c r="L129" s="79">
        <f>IF(COUNTIFS(TR_6RecyclingArranger[ID_EC],TR_6RecyclingArranger[[#This Row],[ID_EC]],TR_6RecyclingArranger[Name of Third-Party Recycling Arranger],TR_6RecyclingArranger[[#This Row],[Name of Third-Party Recycling Arranger]])&gt;1,1,0)</f>
        <v>0</v>
      </c>
      <c r="M129" s="79">
        <f>IF(TR_6RecyclingArranger[[#This Row],[ID_EC]]="",0,IFERROR(0*MATCH(TR_6RecyclingArranger[[#This Row],[ID_EC]],TR_5ExemptionClaim[Lookup: for arranger tab],0),1))</f>
        <v>0</v>
      </c>
      <c r="N129" s="79">
        <f>IF(TR_6RecyclingArranger[[#This Row],[ID_EC]]="",0,IF(COUNTA(TR_6RecyclingArranger[[#This Row],[Name of Third-Party Recycling Arranger]],TR_6RecyclingArranger[[#This Row],[Pounds of Producer''s Material Recycled by this Recycling Arranger]:[Recycling Arranger Contact Email]])=7,0,1))</f>
        <v>0</v>
      </c>
      <c r="O129" s="79">
        <f>IF(TR_6RecyclingArranger[[#This Row],[ID_EC]]&lt;&gt;"",0,IF(COUNTA(TR_6RecyclingArranger[[#This Row],[Name of Third-Party Recycling Arranger]],TR_6RecyclingArranger[[#This Row],[Pounds of Producer''s Material Recycled by this Recycling Arranger]:[Recycling Arranger Contact Email]])&gt;0,1,0))</f>
        <v>0</v>
      </c>
      <c r="P129" s="79">
        <f>IF(TR_6RecyclingArranger[[#This Row],[Lookup: pounds (this table)]]&gt;TR_6RecyclingArranger[[#This Row],[Lookup: pounds (5B tab)]],1,0)</f>
        <v>0</v>
      </c>
      <c r="Q129" s="77">
        <f>SUMIFS(TR_6RecyclingArranger[Pounds of Producer''s Material Recycled by this Recycling Arranger],TR_6RecyclingArranger[ID_EC],TR_6RecyclingArranger[[#This Row],[ID_EC]])</f>
        <v>0</v>
      </c>
      <c r="R129" s="77">
        <f>IFERROR(INDEX(TR_5ExemptionClaim[How many of the pounds recycled through this pathway were supplied by this producer?],MATCH(TR_6RecyclingArranger[[#This Row],[ID_EC]],TR_5ExemptionClaim[ID_EC],0)),0)</f>
        <v>0</v>
      </c>
      <c r="S129" s="80" t="str">
        <f t="shared" si="1"/>
        <v/>
      </c>
      <c r="T129" s="40"/>
      <c r="U129" s="58"/>
    </row>
    <row r="130" spans="1:21" ht="30.75" customHeight="1" x14ac:dyDescent="0.2">
      <c r="A130" s="82" t="s">
        <v>514</v>
      </c>
      <c r="B130" s="46"/>
      <c r="C130" s="113"/>
      <c r="D130" s="214" t="str">
        <f>IF(TR_6RecyclingArranger[[#This Row],[ID_EC]]="","",INDEX(TR_5ExemptionClaim[End Market Name],MATCH(TR_6RecyclingArranger[[#This Row],[ID_EC]],TR_5ExemptionClaim[ID_EC],0)))</f>
        <v/>
      </c>
      <c r="E130" s="214" t="str">
        <f>IF(TR_6RecyclingArranger[[#This Row],[ID_EC]]="","",INDEX(TR_5ExemptionClaim[Collection or Transportation Service Provider Name],MATCH(TR_6RecyclingArranger[[#This Row],[ID_EC]],TR_5ExemptionClaim[ID_EC],0)))</f>
        <v/>
      </c>
      <c r="F130" s="214" t="str">
        <f>IF(TR_6RecyclingArranger[[#This Row],[ID_EC]]="","",IF(INDEX(TR_5ExemptionClaim[CRPF name],MATCH(TR_6RecyclingArranger[[#This Row],[ID_EC]],TR_5ExemptionClaim[ID_EC],0))=0,"None",INDEX(TR_5ExemptionClaim[CRPF name],MATCH(TR_6RecyclingArranger[[#This Row],[ID_EC]],TR_5ExemptionClaim[ID_EC],0))))</f>
        <v/>
      </c>
      <c r="G130" s="45"/>
      <c r="H130" s="108"/>
      <c r="I130" s="47"/>
      <c r="J130" s="48"/>
      <c r="K130" s="47"/>
      <c r="L130" s="79">
        <f>IF(COUNTIFS(TR_6RecyclingArranger[ID_EC],TR_6RecyclingArranger[[#This Row],[ID_EC]],TR_6RecyclingArranger[Name of Third-Party Recycling Arranger],TR_6RecyclingArranger[[#This Row],[Name of Third-Party Recycling Arranger]])&gt;1,1,0)</f>
        <v>0</v>
      </c>
      <c r="M130" s="79">
        <f>IF(TR_6RecyclingArranger[[#This Row],[ID_EC]]="",0,IFERROR(0*MATCH(TR_6RecyclingArranger[[#This Row],[ID_EC]],TR_5ExemptionClaim[Lookup: for arranger tab],0),1))</f>
        <v>0</v>
      </c>
      <c r="N130" s="79">
        <f>IF(TR_6RecyclingArranger[[#This Row],[ID_EC]]="",0,IF(COUNTA(TR_6RecyclingArranger[[#This Row],[Name of Third-Party Recycling Arranger]],TR_6RecyclingArranger[[#This Row],[Pounds of Producer''s Material Recycled by this Recycling Arranger]:[Recycling Arranger Contact Email]])=7,0,1))</f>
        <v>0</v>
      </c>
      <c r="O130" s="79">
        <f>IF(TR_6RecyclingArranger[[#This Row],[ID_EC]]&lt;&gt;"",0,IF(COUNTA(TR_6RecyclingArranger[[#This Row],[Name of Third-Party Recycling Arranger]],TR_6RecyclingArranger[[#This Row],[Pounds of Producer''s Material Recycled by this Recycling Arranger]:[Recycling Arranger Contact Email]])&gt;0,1,0))</f>
        <v>0</v>
      </c>
      <c r="P130" s="79">
        <f>IF(TR_6RecyclingArranger[[#This Row],[Lookup: pounds (this table)]]&gt;TR_6RecyclingArranger[[#This Row],[Lookup: pounds (5B tab)]],1,0)</f>
        <v>0</v>
      </c>
      <c r="Q130" s="77">
        <f>SUMIFS(TR_6RecyclingArranger[Pounds of Producer''s Material Recycled by this Recycling Arranger],TR_6RecyclingArranger[ID_EC],TR_6RecyclingArranger[[#This Row],[ID_EC]])</f>
        <v>0</v>
      </c>
      <c r="R130" s="77">
        <f>IFERROR(INDEX(TR_5ExemptionClaim[How many of the pounds recycled through this pathway were supplied by this producer?],MATCH(TR_6RecyclingArranger[[#This Row],[ID_EC]],TR_5ExemptionClaim[ID_EC],0)),0)</f>
        <v>0</v>
      </c>
      <c r="S130" s="80" t="str">
        <f t="shared" si="1"/>
        <v/>
      </c>
      <c r="T130" s="40"/>
      <c r="U130" s="58"/>
    </row>
    <row r="131" spans="1:21" ht="30.75" customHeight="1" x14ac:dyDescent="0.2">
      <c r="A131" s="82" t="s">
        <v>515</v>
      </c>
      <c r="B131" s="46"/>
      <c r="C131" s="113"/>
      <c r="D131" s="214" t="str">
        <f>IF(TR_6RecyclingArranger[[#This Row],[ID_EC]]="","",INDEX(TR_5ExemptionClaim[End Market Name],MATCH(TR_6RecyclingArranger[[#This Row],[ID_EC]],TR_5ExemptionClaim[ID_EC],0)))</f>
        <v/>
      </c>
      <c r="E131" s="214" t="str">
        <f>IF(TR_6RecyclingArranger[[#This Row],[ID_EC]]="","",INDEX(TR_5ExemptionClaim[Collection or Transportation Service Provider Name],MATCH(TR_6RecyclingArranger[[#This Row],[ID_EC]],TR_5ExemptionClaim[ID_EC],0)))</f>
        <v/>
      </c>
      <c r="F131" s="214" t="str">
        <f>IF(TR_6RecyclingArranger[[#This Row],[ID_EC]]="","",IF(INDEX(TR_5ExemptionClaim[CRPF name],MATCH(TR_6RecyclingArranger[[#This Row],[ID_EC]],TR_5ExemptionClaim[ID_EC],0))=0,"None",INDEX(TR_5ExemptionClaim[CRPF name],MATCH(TR_6RecyclingArranger[[#This Row],[ID_EC]],TR_5ExemptionClaim[ID_EC],0))))</f>
        <v/>
      </c>
      <c r="G131" s="45"/>
      <c r="H131" s="108"/>
      <c r="I131" s="47"/>
      <c r="J131" s="48"/>
      <c r="K131" s="47"/>
      <c r="L131" s="79">
        <f>IF(COUNTIFS(TR_6RecyclingArranger[ID_EC],TR_6RecyclingArranger[[#This Row],[ID_EC]],TR_6RecyclingArranger[Name of Third-Party Recycling Arranger],TR_6RecyclingArranger[[#This Row],[Name of Third-Party Recycling Arranger]])&gt;1,1,0)</f>
        <v>0</v>
      </c>
      <c r="M131" s="79">
        <f>IF(TR_6RecyclingArranger[[#This Row],[ID_EC]]="",0,IFERROR(0*MATCH(TR_6RecyclingArranger[[#This Row],[ID_EC]],TR_5ExemptionClaim[Lookup: for arranger tab],0),1))</f>
        <v>0</v>
      </c>
      <c r="N131" s="79">
        <f>IF(TR_6RecyclingArranger[[#This Row],[ID_EC]]="",0,IF(COUNTA(TR_6RecyclingArranger[[#This Row],[Name of Third-Party Recycling Arranger]],TR_6RecyclingArranger[[#This Row],[Pounds of Producer''s Material Recycled by this Recycling Arranger]:[Recycling Arranger Contact Email]])=7,0,1))</f>
        <v>0</v>
      </c>
      <c r="O131" s="79">
        <f>IF(TR_6RecyclingArranger[[#This Row],[ID_EC]]&lt;&gt;"",0,IF(COUNTA(TR_6RecyclingArranger[[#This Row],[Name of Third-Party Recycling Arranger]],TR_6RecyclingArranger[[#This Row],[Pounds of Producer''s Material Recycled by this Recycling Arranger]:[Recycling Arranger Contact Email]])&gt;0,1,0))</f>
        <v>0</v>
      </c>
      <c r="P131" s="79">
        <f>IF(TR_6RecyclingArranger[[#This Row],[Lookup: pounds (this table)]]&gt;TR_6RecyclingArranger[[#This Row],[Lookup: pounds (5B tab)]],1,0)</f>
        <v>0</v>
      </c>
      <c r="Q131" s="77">
        <f>SUMIFS(TR_6RecyclingArranger[Pounds of Producer''s Material Recycled by this Recycling Arranger],TR_6RecyclingArranger[ID_EC],TR_6RecyclingArranger[[#This Row],[ID_EC]])</f>
        <v>0</v>
      </c>
      <c r="R131" s="77">
        <f>IFERROR(INDEX(TR_5ExemptionClaim[How many of the pounds recycled through this pathway were supplied by this producer?],MATCH(TR_6RecyclingArranger[[#This Row],[ID_EC]],TR_5ExemptionClaim[ID_EC],0)),0)</f>
        <v>0</v>
      </c>
      <c r="S131" s="80" t="str">
        <f t="shared" si="1"/>
        <v/>
      </c>
      <c r="T131" s="40"/>
      <c r="U131" s="58"/>
    </row>
    <row r="132" spans="1:21" ht="30.75" customHeight="1" x14ac:dyDescent="0.2">
      <c r="A132" s="82" t="s">
        <v>516</v>
      </c>
      <c r="B132" s="46"/>
      <c r="C132" s="113"/>
      <c r="D132" s="214" t="str">
        <f>IF(TR_6RecyclingArranger[[#This Row],[ID_EC]]="","",INDEX(TR_5ExemptionClaim[End Market Name],MATCH(TR_6RecyclingArranger[[#This Row],[ID_EC]],TR_5ExemptionClaim[ID_EC],0)))</f>
        <v/>
      </c>
      <c r="E132" s="214" t="str">
        <f>IF(TR_6RecyclingArranger[[#This Row],[ID_EC]]="","",INDEX(TR_5ExemptionClaim[Collection or Transportation Service Provider Name],MATCH(TR_6RecyclingArranger[[#This Row],[ID_EC]],TR_5ExemptionClaim[ID_EC],0)))</f>
        <v/>
      </c>
      <c r="F132" s="214" t="str">
        <f>IF(TR_6RecyclingArranger[[#This Row],[ID_EC]]="","",IF(INDEX(TR_5ExemptionClaim[CRPF name],MATCH(TR_6RecyclingArranger[[#This Row],[ID_EC]],TR_5ExemptionClaim[ID_EC],0))=0,"None",INDEX(TR_5ExemptionClaim[CRPF name],MATCH(TR_6RecyclingArranger[[#This Row],[ID_EC]],TR_5ExemptionClaim[ID_EC],0))))</f>
        <v/>
      </c>
      <c r="G132" s="45"/>
      <c r="H132" s="108"/>
      <c r="I132" s="47"/>
      <c r="J132" s="48"/>
      <c r="K132" s="47"/>
      <c r="L132" s="79">
        <f>IF(COUNTIFS(TR_6RecyclingArranger[ID_EC],TR_6RecyclingArranger[[#This Row],[ID_EC]],TR_6RecyclingArranger[Name of Third-Party Recycling Arranger],TR_6RecyclingArranger[[#This Row],[Name of Third-Party Recycling Arranger]])&gt;1,1,0)</f>
        <v>0</v>
      </c>
      <c r="M132" s="79">
        <f>IF(TR_6RecyclingArranger[[#This Row],[ID_EC]]="",0,IFERROR(0*MATCH(TR_6RecyclingArranger[[#This Row],[ID_EC]],TR_5ExemptionClaim[Lookup: for arranger tab],0),1))</f>
        <v>0</v>
      </c>
      <c r="N132" s="79">
        <f>IF(TR_6RecyclingArranger[[#This Row],[ID_EC]]="",0,IF(COUNTA(TR_6RecyclingArranger[[#This Row],[Name of Third-Party Recycling Arranger]],TR_6RecyclingArranger[[#This Row],[Pounds of Producer''s Material Recycled by this Recycling Arranger]:[Recycling Arranger Contact Email]])=7,0,1))</f>
        <v>0</v>
      </c>
      <c r="O132" s="79">
        <f>IF(TR_6RecyclingArranger[[#This Row],[ID_EC]]&lt;&gt;"",0,IF(COUNTA(TR_6RecyclingArranger[[#This Row],[Name of Third-Party Recycling Arranger]],TR_6RecyclingArranger[[#This Row],[Pounds of Producer''s Material Recycled by this Recycling Arranger]:[Recycling Arranger Contact Email]])&gt;0,1,0))</f>
        <v>0</v>
      </c>
      <c r="P132" s="79">
        <f>IF(TR_6RecyclingArranger[[#This Row],[Lookup: pounds (this table)]]&gt;TR_6RecyclingArranger[[#This Row],[Lookup: pounds (5B tab)]],1,0)</f>
        <v>0</v>
      </c>
      <c r="Q132" s="77">
        <f>SUMIFS(TR_6RecyclingArranger[Pounds of Producer''s Material Recycled by this Recycling Arranger],TR_6RecyclingArranger[ID_EC],TR_6RecyclingArranger[[#This Row],[ID_EC]])</f>
        <v>0</v>
      </c>
      <c r="R132" s="77">
        <f>IFERROR(INDEX(TR_5ExemptionClaim[How many of the pounds recycled through this pathway were supplied by this producer?],MATCH(TR_6RecyclingArranger[[#This Row],[ID_EC]],TR_5ExemptionClaim[ID_EC],0)),0)</f>
        <v>0</v>
      </c>
      <c r="S132" s="80" t="str">
        <f t="shared" si="1"/>
        <v/>
      </c>
      <c r="T132" s="40"/>
      <c r="U132" s="58"/>
    </row>
    <row r="133" spans="1:21" ht="30.75" customHeight="1" x14ac:dyDescent="0.2">
      <c r="A133" s="82" t="s">
        <v>517</v>
      </c>
      <c r="B133" s="46"/>
      <c r="C133" s="113"/>
      <c r="D133" s="214" t="str">
        <f>IF(TR_6RecyclingArranger[[#This Row],[ID_EC]]="","",INDEX(TR_5ExemptionClaim[End Market Name],MATCH(TR_6RecyclingArranger[[#This Row],[ID_EC]],TR_5ExemptionClaim[ID_EC],0)))</f>
        <v/>
      </c>
      <c r="E133" s="214" t="str">
        <f>IF(TR_6RecyclingArranger[[#This Row],[ID_EC]]="","",INDEX(TR_5ExemptionClaim[Collection or Transportation Service Provider Name],MATCH(TR_6RecyclingArranger[[#This Row],[ID_EC]],TR_5ExemptionClaim[ID_EC],0)))</f>
        <v/>
      </c>
      <c r="F133" s="214" t="str">
        <f>IF(TR_6RecyclingArranger[[#This Row],[ID_EC]]="","",IF(INDEX(TR_5ExemptionClaim[CRPF name],MATCH(TR_6RecyclingArranger[[#This Row],[ID_EC]],TR_5ExemptionClaim[ID_EC],0))=0,"None",INDEX(TR_5ExemptionClaim[CRPF name],MATCH(TR_6RecyclingArranger[[#This Row],[ID_EC]],TR_5ExemptionClaim[ID_EC],0))))</f>
        <v/>
      </c>
      <c r="G133" s="45"/>
      <c r="H133" s="108"/>
      <c r="I133" s="47"/>
      <c r="J133" s="48"/>
      <c r="K133" s="47"/>
      <c r="L133" s="79">
        <f>IF(COUNTIFS(TR_6RecyclingArranger[ID_EC],TR_6RecyclingArranger[[#This Row],[ID_EC]],TR_6RecyclingArranger[Name of Third-Party Recycling Arranger],TR_6RecyclingArranger[[#This Row],[Name of Third-Party Recycling Arranger]])&gt;1,1,0)</f>
        <v>0</v>
      </c>
      <c r="M133" s="79">
        <f>IF(TR_6RecyclingArranger[[#This Row],[ID_EC]]="",0,IFERROR(0*MATCH(TR_6RecyclingArranger[[#This Row],[ID_EC]],TR_5ExemptionClaim[Lookup: for arranger tab],0),1))</f>
        <v>0</v>
      </c>
      <c r="N133" s="79">
        <f>IF(TR_6RecyclingArranger[[#This Row],[ID_EC]]="",0,IF(COUNTA(TR_6RecyclingArranger[[#This Row],[Name of Third-Party Recycling Arranger]],TR_6RecyclingArranger[[#This Row],[Pounds of Producer''s Material Recycled by this Recycling Arranger]:[Recycling Arranger Contact Email]])=7,0,1))</f>
        <v>0</v>
      </c>
      <c r="O133" s="79">
        <f>IF(TR_6RecyclingArranger[[#This Row],[ID_EC]]&lt;&gt;"",0,IF(COUNTA(TR_6RecyclingArranger[[#This Row],[Name of Third-Party Recycling Arranger]],TR_6RecyclingArranger[[#This Row],[Pounds of Producer''s Material Recycled by this Recycling Arranger]:[Recycling Arranger Contact Email]])&gt;0,1,0))</f>
        <v>0</v>
      </c>
      <c r="P133" s="79">
        <f>IF(TR_6RecyclingArranger[[#This Row],[Lookup: pounds (this table)]]&gt;TR_6RecyclingArranger[[#This Row],[Lookup: pounds (5B tab)]],1,0)</f>
        <v>0</v>
      </c>
      <c r="Q133" s="77">
        <f>SUMIFS(TR_6RecyclingArranger[Pounds of Producer''s Material Recycled by this Recycling Arranger],TR_6RecyclingArranger[ID_EC],TR_6RecyclingArranger[[#This Row],[ID_EC]])</f>
        <v>0</v>
      </c>
      <c r="R133" s="77">
        <f>IFERROR(INDEX(TR_5ExemptionClaim[How many of the pounds recycled through this pathway were supplied by this producer?],MATCH(TR_6RecyclingArranger[[#This Row],[ID_EC]],TR_5ExemptionClaim[ID_EC],0)),0)</f>
        <v>0</v>
      </c>
      <c r="S133" s="80" t="str">
        <f t="shared" si="1"/>
        <v/>
      </c>
      <c r="T133" s="40"/>
      <c r="U133" s="58"/>
    </row>
    <row r="134" spans="1:21" ht="30.75" customHeight="1" x14ac:dyDescent="0.2">
      <c r="A134" s="82" t="s">
        <v>518</v>
      </c>
      <c r="B134" s="46"/>
      <c r="C134" s="113"/>
      <c r="D134" s="214" t="str">
        <f>IF(TR_6RecyclingArranger[[#This Row],[ID_EC]]="","",INDEX(TR_5ExemptionClaim[End Market Name],MATCH(TR_6RecyclingArranger[[#This Row],[ID_EC]],TR_5ExemptionClaim[ID_EC],0)))</f>
        <v/>
      </c>
      <c r="E134" s="214" t="str">
        <f>IF(TR_6RecyclingArranger[[#This Row],[ID_EC]]="","",INDEX(TR_5ExemptionClaim[Collection or Transportation Service Provider Name],MATCH(TR_6RecyclingArranger[[#This Row],[ID_EC]],TR_5ExemptionClaim[ID_EC],0)))</f>
        <v/>
      </c>
      <c r="F134" s="214" t="str">
        <f>IF(TR_6RecyclingArranger[[#This Row],[ID_EC]]="","",IF(INDEX(TR_5ExemptionClaim[CRPF name],MATCH(TR_6RecyclingArranger[[#This Row],[ID_EC]],TR_5ExemptionClaim[ID_EC],0))=0,"None",INDEX(TR_5ExemptionClaim[CRPF name],MATCH(TR_6RecyclingArranger[[#This Row],[ID_EC]],TR_5ExemptionClaim[ID_EC],0))))</f>
        <v/>
      </c>
      <c r="G134" s="45"/>
      <c r="H134" s="108"/>
      <c r="I134" s="47"/>
      <c r="J134" s="48"/>
      <c r="K134" s="47"/>
      <c r="L134" s="79">
        <f>IF(COUNTIFS(TR_6RecyclingArranger[ID_EC],TR_6RecyclingArranger[[#This Row],[ID_EC]],TR_6RecyclingArranger[Name of Third-Party Recycling Arranger],TR_6RecyclingArranger[[#This Row],[Name of Third-Party Recycling Arranger]])&gt;1,1,0)</f>
        <v>0</v>
      </c>
      <c r="M134" s="79">
        <f>IF(TR_6RecyclingArranger[[#This Row],[ID_EC]]="",0,IFERROR(0*MATCH(TR_6RecyclingArranger[[#This Row],[ID_EC]],TR_5ExemptionClaim[Lookup: for arranger tab],0),1))</f>
        <v>0</v>
      </c>
      <c r="N134" s="79">
        <f>IF(TR_6RecyclingArranger[[#This Row],[ID_EC]]="",0,IF(COUNTA(TR_6RecyclingArranger[[#This Row],[Name of Third-Party Recycling Arranger]],TR_6RecyclingArranger[[#This Row],[Pounds of Producer''s Material Recycled by this Recycling Arranger]:[Recycling Arranger Contact Email]])=7,0,1))</f>
        <v>0</v>
      </c>
      <c r="O134" s="79">
        <f>IF(TR_6RecyclingArranger[[#This Row],[ID_EC]]&lt;&gt;"",0,IF(COUNTA(TR_6RecyclingArranger[[#This Row],[Name of Third-Party Recycling Arranger]],TR_6RecyclingArranger[[#This Row],[Pounds of Producer''s Material Recycled by this Recycling Arranger]:[Recycling Arranger Contact Email]])&gt;0,1,0))</f>
        <v>0</v>
      </c>
      <c r="P134" s="79">
        <f>IF(TR_6RecyclingArranger[[#This Row],[Lookup: pounds (this table)]]&gt;TR_6RecyclingArranger[[#This Row],[Lookup: pounds (5B tab)]],1,0)</f>
        <v>0</v>
      </c>
      <c r="Q134" s="77">
        <f>SUMIFS(TR_6RecyclingArranger[Pounds of Producer''s Material Recycled by this Recycling Arranger],TR_6RecyclingArranger[ID_EC],TR_6RecyclingArranger[[#This Row],[ID_EC]])</f>
        <v>0</v>
      </c>
      <c r="R134" s="77">
        <f>IFERROR(INDEX(TR_5ExemptionClaim[How many of the pounds recycled through this pathway were supplied by this producer?],MATCH(TR_6RecyclingArranger[[#This Row],[ID_EC]],TR_5ExemptionClaim[ID_EC],0)),0)</f>
        <v>0</v>
      </c>
      <c r="S134" s="80" t="str">
        <f t="shared" ref="S134:S197" si="2">IF(DR_ProducerID=0,"",DR_ProducerID)</f>
        <v/>
      </c>
      <c r="T134" s="40"/>
      <c r="U134" s="58"/>
    </row>
    <row r="135" spans="1:21" ht="30.75" customHeight="1" x14ac:dyDescent="0.2">
      <c r="A135" s="82" t="s">
        <v>519</v>
      </c>
      <c r="B135" s="46"/>
      <c r="C135" s="113"/>
      <c r="D135" s="214" t="str">
        <f>IF(TR_6RecyclingArranger[[#This Row],[ID_EC]]="","",INDEX(TR_5ExemptionClaim[End Market Name],MATCH(TR_6RecyclingArranger[[#This Row],[ID_EC]],TR_5ExemptionClaim[ID_EC],0)))</f>
        <v/>
      </c>
      <c r="E135" s="214" t="str">
        <f>IF(TR_6RecyclingArranger[[#This Row],[ID_EC]]="","",INDEX(TR_5ExemptionClaim[Collection or Transportation Service Provider Name],MATCH(TR_6RecyclingArranger[[#This Row],[ID_EC]],TR_5ExemptionClaim[ID_EC],0)))</f>
        <v/>
      </c>
      <c r="F135" s="214" t="str">
        <f>IF(TR_6RecyclingArranger[[#This Row],[ID_EC]]="","",IF(INDEX(TR_5ExemptionClaim[CRPF name],MATCH(TR_6RecyclingArranger[[#This Row],[ID_EC]],TR_5ExemptionClaim[ID_EC],0))=0,"None",INDEX(TR_5ExemptionClaim[CRPF name],MATCH(TR_6RecyclingArranger[[#This Row],[ID_EC]],TR_5ExemptionClaim[ID_EC],0))))</f>
        <v/>
      </c>
      <c r="G135" s="45"/>
      <c r="H135" s="108"/>
      <c r="I135" s="47"/>
      <c r="J135" s="48"/>
      <c r="K135" s="47"/>
      <c r="L135" s="79">
        <f>IF(COUNTIFS(TR_6RecyclingArranger[ID_EC],TR_6RecyclingArranger[[#This Row],[ID_EC]],TR_6RecyclingArranger[Name of Third-Party Recycling Arranger],TR_6RecyclingArranger[[#This Row],[Name of Third-Party Recycling Arranger]])&gt;1,1,0)</f>
        <v>0</v>
      </c>
      <c r="M135" s="79">
        <f>IF(TR_6RecyclingArranger[[#This Row],[ID_EC]]="",0,IFERROR(0*MATCH(TR_6RecyclingArranger[[#This Row],[ID_EC]],TR_5ExemptionClaim[Lookup: for arranger tab],0),1))</f>
        <v>0</v>
      </c>
      <c r="N135" s="79">
        <f>IF(TR_6RecyclingArranger[[#This Row],[ID_EC]]="",0,IF(COUNTA(TR_6RecyclingArranger[[#This Row],[Name of Third-Party Recycling Arranger]],TR_6RecyclingArranger[[#This Row],[Pounds of Producer''s Material Recycled by this Recycling Arranger]:[Recycling Arranger Contact Email]])=7,0,1))</f>
        <v>0</v>
      </c>
      <c r="O135" s="79">
        <f>IF(TR_6RecyclingArranger[[#This Row],[ID_EC]]&lt;&gt;"",0,IF(COUNTA(TR_6RecyclingArranger[[#This Row],[Name of Third-Party Recycling Arranger]],TR_6RecyclingArranger[[#This Row],[Pounds of Producer''s Material Recycled by this Recycling Arranger]:[Recycling Arranger Contact Email]])&gt;0,1,0))</f>
        <v>0</v>
      </c>
      <c r="P135" s="79">
        <f>IF(TR_6RecyclingArranger[[#This Row],[Lookup: pounds (this table)]]&gt;TR_6RecyclingArranger[[#This Row],[Lookup: pounds (5B tab)]],1,0)</f>
        <v>0</v>
      </c>
      <c r="Q135" s="77">
        <f>SUMIFS(TR_6RecyclingArranger[Pounds of Producer''s Material Recycled by this Recycling Arranger],TR_6RecyclingArranger[ID_EC],TR_6RecyclingArranger[[#This Row],[ID_EC]])</f>
        <v>0</v>
      </c>
      <c r="R135" s="77">
        <f>IFERROR(INDEX(TR_5ExemptionClaim[How many of the pounds recycled through this pathway were supplied by this producer?],MATCH(TR_6RecyclingArranger[[#This Row],[ID_EC]],TR_5ExemptionClaim[ID_EC],0)),0)</f>
        <v>0</v>
      </c>
      <c r="S135" s="80" t="str">
        <f t="shared" si="2"/>
        <v/>
      </c>
      <c r="T135" s="40"/>
      <c r="U135" s="58"/>
    </row>
    <row r="136" spans="1:21" ht="30.75" customHeight="1" x14ac:dyDescent="0.2">
      <c r="A136" s="82" t="s">
        <v>520</v>
      </c>
      <c r="B136" s="46"/>
      <c r="C136" s="113"/>
      <c r="D136" s="214" t="str">
        <f>IF(TR_6RecyclingArranger[[#This Row],[ID_EC]]="","",INDEX(TR_5ExemptionClaim[End Market Name],MATCH(TR_6RecyclingArranger[[#This Row],[ID_EC]],TR_5ExemptionClaim[ID_EC],0)))</f>
        <v/>
      </c>
      <c r="E136" s="214" t="str">
        <f>IF(TR_6RecyclingArranger[[#This Row],[ID_EC]]="","",INDEX(TR_5ExemptionClaim[Collection or Transportation Service Provider Name],MATCH(TR_6RecyclingArranger[[#This Row],[ID_EC]],TR_5ExemptionClaim[ID_EC],0)))</f>
        <v/>
      </c>
      <c r="F136" s="214" t="str">
        <f>IF(TR_6RecyclingArranger[[#This Row],[ID_EC]]="","",IF(INDEX(TR_5ExemptionClaim[CRPF name],MATCH(TR_6RecyclingArranger[[#This Row],[ID_EC]],TR_5ExemptionClaim[ID_EC],0))=0,"None",INDEX(TR_5ExemptionClaim[CRPF name],MATCH(TR_6RecyclingArranger[[#This Row],[ID_EC]],TR_5ExemptionClaim[ID_EC],0))))</f>
        <v/>
      </c>
      <c r="G136" s="45"/>
      <c r="H136" s="108"/>
      <c r="I136" s="47"/>
      <c r="J136" s="48"/>
      <c r="K136" s="47"/>
      <c r="L136" s="79">
        <f>IF(COUNTIFS(TR_6RecyclingArranger[ID_EC],TR_6RecyclingArranger[[#This Row],[ID_EC]],TR_6RecyclingArranger[Name of Third-Party Recycling Arranger],TR_6RecyclingArranger[[#This Row],[Name of Third-Party Recycling Arranger]])&gt;1,1,0)</f>
        <v>0</v>
      </c>
      <c r="M136" s="79">
        <f>IF(TR_6RecyclingArranger[[#This Row],[ID_EC]]="",0,IFERROR(0*MATCH(TR_6RecyclingArranger[[#This Row],[ID_EC]],TR_5ExemptionClaim[Lookup: for arranger tab],0),1))</f>
        <v>0</v>
      </c>
      <c r="N136" s="79">
        <f>IF(TR_6RecyclingArranger[[#This Row],[ID_EC]]="",0,IF(COUNTA(TR_6RecyclingArranger[[#This Row],[Name of Third-Party Recycling Arranger]],TR_6RecyclingArranger[[#This Row],[Pounds of Producer''s Material Recycled by this Recycling Arranger]:[Recycling Arranger Contact Email]])=7,0,1))</f>
        <v>0</v>
      </c>
      <c r="O136" s="79">
        <f>IF(TR_6RecyclingArranger[[#This Row],[ID_EC]]&lt;&gt;"",0,IF(COUNTA(TR_6RecyclingArranger[[#This Row],[Name of Third-Party Recycling Arranger]],TR_6RecyclingArranger[[#This Row],[Pounds of Producer''s Material Recycled by this Recycling Arranger]:[Recycling Arranger Contact Email]])&gt;0,1,0))</f>
        <v>0</v>
      </c>
      <c r="P136" s="79">
        <f>IF(TR_6RecyclingArranger[[#This Row],[Lookup: pounds (this table)]]&gt;TR_6RecyclingArranger[[#This Row],[Lookup: pounds (5B tab)]],1,0)</f>
        <v>0</v>
      </c>
      <c r="Q136" s="77">
        <f>SUMIFS(TR_6RecyclingArranger[Pounds of Producer''s Material Recycled by this Recycling Arranger],TR_6RecyclingArranger[ID_EC],TR_6RecyclingArranger[[#This Row],[ID_EC]])</f>
        <v>0</v>
      </c>
      <c r="R136" s="77">
        <f>IFERROR(INDEX(TR_5ExemptionClaim[How many of the pounds recycled through this pathway were supplied by this producer?],MATCH(TR_6RecyclingArranger[[#This Row],[ID_EC]],TR_5ExemptionClaim[ID_EC],0)),0)</f>
        <v>0</v>
      </c>
      <c r="S136" s="80" t="str">
        <f t="shared" si="2"/>
        <v/>
      </c>
      <c r="T136" s="40"/>
      <c r="U136" s="58"/>
    </row>
    <row r="137" spans="1:21" ht="30.75" customHeight="1" x14ac:dyDescent="0.2">
      <c r="A137" s="82" t="s">
        <v>521</v>
      </c>
      <c r="B137" s="46"/>
      <c r="C137" s="113"/>
      <c r="D137" s="214" t="str">
        <f>IF(TR_6RecyclingArranger[[#This Row],[ID_EC]]="","",INDEX(TR_5ExemptionClaim[End Market Name],MATCH(TR_6RecyclingArranger[[#This Row],[ID_EC]],TR_5ExemptionClaim[ID_EC],0)))</f>
        <v/>
      </c>
      <c r="E137" s="214" t="str">
        <f>IF(TR_6RecyclingArranger[[#This Row],[ID_EC]]="","",INDEX(TR_5ExemptionClaim[Collection or Transportation Service Provider Name],MATCH(TR_6RecyclingArranger[[#This Row],[ID_EC]],TR_5ExemptionClaim[ID_EC],0)))</f>
        <v/>
      </c>
      <c r="F137" s="214" t="str">
        <f>IF(TR_6RecyclingArranger[[#This Row],[ID_EC]]="","",IF(INDEX(TR_5ExemptionClaim[CRPF name],MATCH(TR_6RecyclingArranger[[#This Row],[ID_EC]],TR_5ExemptionClaim[ID_EC],0))=0,"None",INDEX(TR_5ExemptionClaim[CRPF name],MATCH(TR_6RecyclingArranger[[#This Row],[ID_EC]],TR_5ExemptionClaim[ID_EC],0))))</f>
        <v/>
      </c>
      <c r="G137" s="45"/>
      <c r="H137" s="108"/>
      <c r="I137" s="47"/>
      <c r="J137" s="48"/>
      <c r="K137" s="47"/>
      <c r="L137" s="79">
        <f>IF(COUNTIFS(TR_6RecyclingArranger[ID_EC],TR_6RecyclingArranger[[#This Row],[ID_EC]],TR_6RecyclingArranger[Name of Third-Party Recycling Arranger],TR_6RecyclingArranger[[#This Row],[Name of Third-Party Recycling Arranger]])&gt;1,1,0)</f>
        <v>0</v>
      </c>
      <c r="M137" s="79">
        <f>IF(TR_6RecyclingArranger[[#This Row],[ID_EC]]="",0,IFERROR(0*MATCH(TR_6RecyclingArranger[[#This Row],[ID_EC]],TR_5ExemptionClaim[Lookup: for arranger tab],0),1))</f>
        <v>0</v>
      </c>
      <c r="N137" s="79">
        <f>IF(TR_6RecyclingArranger[[#This Row],[ID_EC]]="",0,IF(COUNTA(TR_6RecyclingArranger[[#This Row],[Name of Third-Party Recycling Arranger]],TR_6RecyclingArranger[[#This Row],[Pounds of Producer''s Material Recycled by this Recycling Arranger]:[Recycling Arranger Contact Email]])=7,0,1))</f>
        <v>0</v>
      </c>
      <c r="O137" s="79">
        <f>IF(TR_6RecyclingArranger[[#This Row],[ID_EC]]&lt;&gt;"",0,IF(COUNTA(TR_6RecyclingArranger[[#This Row],[Name of Third-Party Recycling Arranger]],TR_6RecyclingArranger[[#This Row],[Pounds of Producer''s Material Recycled by this Recycling Arranger]:[Recycling Arranger Contact Email]])&gt;0,1,0))</f>
        <v>0</v>
      </c>
      <c r="P137" s="79">
        <f>IF(TR_6RecyclingArranger[[#This Row],[Lookup: pounds (this table)]]&gt;TR_6RecyclingArranger[[#This Row],[Lookup: pounds (5B tab)]],1,0)</f>
        <v>0</v>
      </c>
      <c r="Q137" s="77">
        <f>SUMIFS(TR_6RecyclingArranger[Pounds of Producer''s Material Recycled by this Recycling Arranger],TR_6RecyclingArranger[ID_EC],TR_6RecyclingArranger[[#This Row],[ID_EC]])</f>
        <v>0</v>
      </c>
      <c r="R137" s="77">
        <f>IFERROR(INDEX(TR_5ExemptionClaim[How many of the pounds recycled through this pathway were supplied by this producer?],MATCH(TR_6RecyclingArranger[[#This Row],[ID_EC]],TR_5ExemptionClaim[ID_EC],0)),0)</f>
        <v>0</v>
      </c>
      <c r="S137" s="80" t="str">
        <f t="shared" si="2"/>
        <v/>
      </c>
      <c r="T137" s="40"/>
      <c r="U137" s="58"/>
    </row>
    <row r="138" spans="1:21" ht="30.75" customHeight="1" x14ac:dyDescent="0.2">
      <c r="A138" s="82" t="s">
        <v>522</v>
      </c>
      <c r="B138" s="46"/>
      <c r="C138" s="113"/>
      <c r="D138" s="214" t="str">
        <f>IF(TR_6RecyclingArranger[[#This Row],[ID_EC]]="","",INDEX(TR_5ExemptionClaim[End Market Name],MATCH(TR_6RecyclingArranger[[#This Row],[ID_EC]],TR_5ExemptionClaim[ID_EC],0)))</f>
        <v/>
      </c>
      <c r="E138" s="214" t="str">
        <f>IF(TR_6RecyclingArranger[[#This Row],[ID_EC]]="","",INDEX(TR_5ExemptionClaim[Collection or Transportation Service Provider Name],MATCH(TR_6RecyclingArranger[[#This Row],[ID_EC]],TR_5ExemptionClaim[ID_EC],0)))</f>
        <v/>
      </c>
      <c r="F138" s="214" t="str">
        <f>IF(TR_6RecyclingArranger[[#This Row],[ID_EC]]="","",IF(INDEX(TR_5ExemptionClaim[CRPF name],MATCH(TR_6RecyclingArranger[[#This Row],[ID_EC]],TR_5ExemptionClaim[ID_EC],0))=0,"None",INDEX(TR_5ExemptionClaim[CRPF name],MATCH(TR_6RecyclingArranger[[#This Row],[ID_EC]],TR_5ExemptionClaim[ID_EC],0))))</f>
        <v/>
      </c>
      <c r="G138" s="45"/>
      <c r="H138" s="108"/>
      <c r="I138" s="47"/>
      <c r="J138" s="48"/>
      <c r="K138" s="47"/>
      <c r="L138" s="79">
        <f>IF(COUNTIFS(TR_6RecyclingArranger[ID_EC],TR_6RecyclingArranger[[#This Row],[ID_EC]],TR_6RecyclingArranger[Name of Third-Party Recycling Arranger],TR_6RecyclingArranger[[#This Row],[Name of Third-Party Recycling Arranger]])&gt;1,1,0)</f>
        <v>0</v>
      </c>
      <c r="M138" s="79">
        <f>IF(TR_6RecyclingArranger[[#This Row],[ID_EC]]="",0,IFERROR(0*MATCH(TR_6RecyclingArranger[[#This Row],[ID_EC]],TR_5ExemptionClaim[Lookup: for arranger tab],0),1))</f>
        <v>0</v>
      </c>
      <c r="N138" s="79">
        <f>IF(TR_6RecyclingArranger[[#This Row],[ID_EC]]="",0,IF(COUNTA(TR_6RecyclingArranger[[#This Row],[Name of Third-Party Recycling Arranger]],TR_6RecyclingArranger[[#This Row],[Pounds of Producer''s Material Recycled by this Recycling Arranger]:[Recycling Arranger Contact Email]])=7,0,1))</f>
        <v>0</v>
      </c>
      <c r="O138" s="79">
        <f>IF(TR_6RecyclingArranger[[#This Row],[ID_EC]]&lt;&gt;"",0,IF(COUNTA(TR_6RecyclingArranger[[#This Row],[Name of Third-Party Recycling Arranger]],TR_6RecyclingArranger[[#This Row],[Pounds of Producer''s Material Recycled by this Recycling Arranger]:[Recycling Arranger Contact Email]])&gt;0,1,0))</f>
        <v>0</v>
      </c>
      <c r="P138" s="79">
        <f>IF(TR_6RecyclingArranger[[#This Row],[Lookup: pounds (this table)]]&gt;TR_6RecyclingArranger[[#This Row],[Lookup: pounds (5B tab)]],1,0)</f>
        <v>0</v>
      </c>
      <c r="Q138" s="77">
        <f>SUMIFS(TR_6RecyclingArranger[Pounds of Producer''s Material Recycled by this Recycling Arranger],TR_6RecyclingArranger[ID_EC],TR_6RecyclingArranger[[#This Row],[ID_EC]])</f>
        <v>0</v>
      </c>
      <c r="R138" s="77">
        <f>IFERROR(INDEX(TR_5ExemptionClaim[How many of the pounds recycled through this pathway were supplied by this producer?],MATCH(TR_6RecyclingArranger[[#This Row],[ID_EC]],TR_5ExemptionClaim[ID_EC],0)),0)</f>
        <v>0</v>
      </c>
      <c r="S138" s="80" t="str">
        <f t="shared" si="2"/>
        <v/>
      </c>
      <c r="T138" s="40"/>
      <c r="U138" s="58"/>
    </row>
    <row r="139" spans="1:21" ht="30.75" customHeight="1" x14ac:dyDescent="0.2">
      <c r="A139" s="82" t="s">
        <v>523</v>
      </c>
      <c r="B139" s="46"/>
      <c r="C139" s="113"/>
      <c r="D139" s="214" t="str">
        <f>IF(TR_6RecyclingArranger[[#This Row],[ID_EC]]="","",INDEX(TR_5ExemptionClaim[End Market Name],MATCH(TR_6RecyclingArranger[[#This Row],[ID_EC]],TR_5ExemptionClaim[ID_EC],0)))</f>
        <v/>
      </c>
      <c r="E139" s="214" t="str">
        <f>IF(TR_6RecyclingArranger[[#This Row],[ID_EC]]="","",INDEX(TR_5ExemptionClaim[Collection or Transportation Service Provider Name],MATCH(TR_6RecyclingArranger[[#This Row],[ID_EC]],TR_5ExemptionClaim[ID_EC],0)))</f>
        <v/>
      </c>
      <c r="F139" s="214" t="str">
        <f>IF(TR_6RecyclingArranger[[#This Row],[ID_EC]]="","",IF(INDEX(TR_5ExemptionClaim[CRPF name],MATCH(TR_6RecyclingArranger[[#This Row],[ID_EC]],TR_5ExemptionClaim[ID_EC],0))=0,"None",INDEX(TR_5ExemptionClaim[CRPF name],MATCH(TR_6RecyclingArranger[[#This Row],[ID_EC]],TR_5ExemptionClaim[ID_EC],0))))</f>
        <v/>
      </c>
      <c r="G139" s="45"/>
      <c r="H139" s="108"/>
      <c r="I139" s="47"/>
      <c r="J139" s="48"/>
      <c r="K139" s="47"/>
      <c r="L139" s="79">
        <f>IF(COUNTIFS(TR_6RecyclingArranger[ID_EC],TR_6RecyclingArranger[[#This Row],[ID_EC]],TR_6RecyclingArranger[Name of Third-Party Recycling Arranger],TR_6RecyclingArranger[[#This Row],[Name of Third-Party Recycling Arranger]])&gt;1,1,0)</f>
        <v>0</v>
      </c>
      <c r="M139" s="79">
        <f>IF(TR_6RecyclingArranger[[#This Row],[ID_EC]]="",0,IFERROR(0*MATCH(TR_6RecyclingArranger[[#This Row],[ID_EC]],TR_5ExemptionClaim[Lookup: for arranger tab],0),1))</f>
        <v>0</v>
      </c>
      <c r="N139" s="79">
        <f>IF(TR_6RecyclingArranger[[#This Row],[ID_EC]]="",0,IF(COUNTA(TR_6RecyclingArranger[[#This Row],[Name of Third-Party Recycling Arranger]],TR_6RecyclingArranger[[#This Row],[Pounds of Producer''s Material Recycled by this Recycling Arranger]:[Recycling Arranger Contact Email]])=7,0,1))</f>
        <v>0</v>
      </c>
      <c r="O139" s="79">
        <f>IF(TR_6RecyclingArranger[[#This Row],[ID_EC]]&lt;&gt;"",0,IF(COUNTA(TR_6RecyclingArranger[[#This Row],[Name of Third-Party Recycling Arranger]],TR_6RecyclingArranger[[#This Row],[Pounds of Producer''s Material Recycled by this Recycling Arranger]:[Recycling Arranger Contact Email]])&gt;0,1,0))</f>
        <v>0</v>
      </c>
      <c r="P139" s="79">
        <f>IF(TR_6RecyclingArranger[[#This Row],[Lookup: pounds (this table)]]&gt;TR_6RecyclingArranger[[#This Row],[Lookup: pounds (5B tab)]],1,0)</f>
        <v>0</v>
      </c>
      <c r="Q139" s="77">
        <f>SUMIFS(TR_6RecyclingArranger[Pounds of Producer''s Material Recycled by this Recycling Arranger],TR_6RecyclingArranger[ID_EC],TR_6RecyclingArranger[[#This Row],[ID_EC]])</f>
        <v>0</v>
      </c>
      <c r="R139" s="77">
        <f>IFERROR(INDEX(TR_5ExemptionClaim[How many of the pounds recycled through this pathway were supplied by this producer?],MATCH(TR_6RecyclingArranger[[#This Row],[ID_EC]],TR_5ExemptionClaim[ID_EC],0)),0)</f>
        <v>0</v>
      </c>
      <c r="S139" s="80" t="str">
        <f t="shared" si="2"/>
        <v/>
      </c>
      <c r="T139" s="40"/>
      <c r="U139" s="58"/>
    </row>
    <row r="140" spans="1:21" ht="30.75" customHeight="1" x14ac:dyDescent="0.2">
      <c r="A140" s="82" t="s">
        <v>524</v>
      </c>
      <c r="B140" s="46"/>
      <c r="C140" s="113"/>
      <c r="D140" s="214" t="str">
        <f>IF(TR_6RecyclingArranger[[#This Row],[ID_EC]]="","",INDEX(TR_5ExemptionClaim[End Market Name],MATCH(TR_6RecyclingArranger[[#This Row],[ID_EC]],TR_5ExemptionClaim[ID_EC],0)))</f>
        <v/>
      </c>
      <c r="E140" s="214" t="str">
        <f>IF(TR_6RecyclingArranger[[#This Row],[ID_EC]]="","",INDEX(TR_5ExemptionClaim[Collection or Transportation Service Provider Name],MATCH(TR_6RecyclingArranger[[#This Row],[ID_EC]],TR_5ExemptionClaim[ID_EC],0)))</f>
        <v/>
      </c>
      <c r="F140" s="214" t="str">
        <f>IF(TR_6RecyclingArranger[[#This Row],[ID_EC]]="","",IF(INDEX(TR_5ExemptionClaim[CRPF name],MATCH(TR_6RecyclingArranger[[#This Row],[ID_EC]],TR_5ExemptionClaim[ID_EC],0))=0,"None",INDEX(TR_5ExemptionClaim[CRPF name],MATCH(TR_6RecyclingArranger[[#This Row],[ID_EC]],TR_5ExemptionClaim[ID_EC],0))))</f>
        <v/>
      </c>
      <c r="G140" s="45"/>
      <c r="H140" s="108"/>
      <c r="I140" s="47"/>
      <c r="J140" s="48"/>
      <c r="K140" s="47"/>
      <c r="L140" s="79">
        <f>IF(COUNTIFS(TR_6RecyclingArranger[ID_EC],TR_6RecyclingArranger[[#This Row],[ID_EC]],TR_6RecyclingArranger[Name of Third-Party Recycling Arranger],TR_6RecyclingArranger[[#This Row],[Name of Third-Party Recycling Arranger]])&gt;1,1,0)</f>
        <v>0</v>
      </c>
      <c r="M140" s="79">
        <f>IF(TR_6RecyclingArranger[[#This Row],[ID_EC]]="",0,IFERROR(0*MATCH(TR_6RecyclingArranger[[#This Row],[ID_EC]],TR_5ExemptionClaim[Lookup: for arranger tab],0),1))</f>
        <v>0</v>
      </c>
      <c r="N140" s="79">
        <f>IF(TR_6RecyclingArranger[[#This Row],[ID_EC]]="",0,IF(COUNTA(TR_6RecyclingArranger[[#This Row],[Name of Third-Party Recycling Arranger]],TR_6RecyclingArranger[[#This Row],[Pounds of Producer''s Material Recycled by this Recycling Arranger]:[Recycling Arranger Contact Email]])=7,0,1))</f>
        <v>0</v>
      </c>
      <c r="O140" s="79">
        <f>IF(TR_6RecyclingArranger[[#This Row],[ID_EC]]&lt;&gt;"",0,IF(COUNTA(TR_6RecyclingArranger[[#This Row],[Name of Third-Party Recycling Arranger]],TR_6RecyclingArranger[[#This Row],[Pounds of Producer''s Material Recycled by this Recycling Arranger]:[Recycling Arranger Contact Email]])&gt;0,1,0))</f>
        <v>0</v>
      </c>
      <c r="P140" s="79">
        <f>IF(TR_6RecyclingArranger[[#This Row],[Lookup: pounds (this table)]]&gt;TR_6RecyclingArranger[[#This Row],[Lookup: pounds (5B tab)]],1,0)</f>
        <v>0</v>
      </c>
      <c r="Q140" s="77">
        <f>SUMIFS(TR_6RecyclingArranger[Pounds of Producer''s Material Recycled by this Recycling Arranger],TR_6RecyclingArranger[ID_EC],TR_6RecyclingArranger[[#This Row],[ID_EC]])</f>
        <v>0</v>
      </c>
      <c r="R140" s="77">
        <f>IFERROR(INDEX(TR_5ExemptionClaim[How many of the pounds recycled through this pathway were supplied by this producer?],MATCH(TR_6RecyclingArranger[[#This Row],[ID_EC]],TR_5ExemptionClaim[ID_EC],0)),0)</f>
        <v>0</v>
      </c>
      <c r="S140" s="80" t="str">
        <f t="shared" si="2"/>
        <v/>
      </c>
      <c r="T140" s="40"/>
      <c r="U140" s="58"/>
    </row>
    <row r="141" spans="1:21" ht="30.75" customHeight="1" x14ac:dyDescent="0.2">
      <c r="A141" s="82" t="s">
        <v>525</v>
      </c>
      <c r="B141" s="46"/>
      <c r="C141" s="113"/>
      <c r="D141" s="214" t="str">
        <f>IF(TR_6RecyclingArranger[[#This Row],[ID_EC]]="","",INDEX(TR_5ExemptionClaim[End Market Name],MATCH(TR_6RecyclingArranger[[#This Row],[ID_EC]],TR_5ExemptionClaim[ID_EC],0)))</f>
        <v/>
      </c>
      <c r="E141" s="214" t="str">
        <f>IF(TR_6RecyclingArranger[[#This Row],[ID_EC]]="","",INDEX(TR_5ExemptionClaim[Collection or Transportation Service Provider Name],MATCH(TR_6RecyclingArranger[[#This Row],[ID_EC]],TR_5ExemptionClaim[ID_EC],0)))</f>
        <v/>
      </c>
      <c r="F141" s="214" t="str">
        <f>IF(TR_6RecyclingArranger[[#This Row],[ID_EC]]="","",IF(INDEX(TR_5ExemptionClaim[CRPF name],MATCH(TR_6RecyclingArranger[[#This Row],[ID_EC]],TR_5ExemptionClaim[ID_EC],0))=0,"None",INDEX(TR_5ExemptionClaim[CRPF name],MATCH(TR_6RecyclingArranger[[#This Row],[ID_EC]],TR_5ExemptionClaim[ID_EC],0))))</f>
        <v/>
      </c>
      <c r="G141" s="45"/>
      <c r="H141" s="108"/>
      <c r="I141" s="47"/>
      <c r="J141" s="48"/>
      <c r="K141" s="47"/>
      <c r="L141" s="79">
        <f>IF(COUNTIFS(TR_6RecyclingArranger[ID_EC],TR_6RecyclingArranger[[#This Row],[ID_EC]],TR_6RecyclingArranger[Name of Third-Party Recycling Arranger],TR_6RecyclingArranger[[#This Row],[Name of Third-Party Recycling Arranger]])&gt;1,1,0)</f>
        <v>0</v>
      </c>
      <c r="M141" s="79">
        <f>IF(TR_6RecyclingArranger[[#This Row],[ID_EC]]="",0,IFERROR(0*MATCH(TR_6RecyclingArranger[[#This Row],[ID_EC]],TR_5ExemptionClaim[Lookup: for arranger tab],0),1))</f>
        <v>0</v>
      </c>
      <c r="N141" s="79">
        <f>IF(TR_6RecyclingArranger[[#This Row],[ID_EC]]="",0,IF(COUNTA(TR_6RecyclingArranger[[#This Row],[Name of Third-Party Recycling Arranger]],TR_6RecyclingArranger[[#This Row],[Pounds of Producer''s Material Recycled by this Recycling Arranger]:[Recycling Arranger Contact Email]])=7,0,1))</f>
        <v>0</v>
      </c>
      <c r="O141" s="79">
        <f>IF(TR_6RecyclingArranger[[#This Row],[ID_EC]]&lt;&gt;"",0,IF(COUNTA(TR_6RecyclingArranger[[#This Row],[Name of Third-Party Recycling Arranger]],TR_6RecyclingArranger[[#This Row],[Pounds of Producer''s Material Recycled by this Recycling Arranger]:[Recycling Arranger Contact Email]])&gt;0,1,0))</f>
        <v>0</v>
      </c>
      <c r="P141" s="79">
        <f>IF(TR_6RecyclingArranger[[#This Row],[Lookup: pounds (this table)]]&gt;TR_6RecyclingArranger[[#This Row],[Lookup: pounds (5B tab)]],1,0)</f>
        <v>0</v>
      </c>
      <c r="Q141" s="77">
        <f>SUMIFS(TR_6RecyclingArranger[Pounds of Producer''s Material Recycled by this Recycling Arranger],TR_6RecyclingArranger[ID_EC],TR_6RecyclingArranger[[#This Row],[ID_EC]])</f>
        <v>0</v>
      </c>
      <c r="R141" s="77">
        <f>IFERROR(INDEX(TR_5ExemptionClaim[How many of the pounds recycled through this pathway were supplied by this producer?],MATCH(TR_6RecyclingArranger[[#This Row],[ID_EC]],TR_5ExemptionClaim[ID_EC],0)),0)</f>
        <v>0</v>
      </c>
      <c r="S141" s="80" t="str">
        <f t="shared" si="2"/>
        <v/>
      </c>
      <c r="T141" s="40"/>
      <c r="U141" s="58"/>
    </row>
    <row r="142" spans="1:21" ht="30.75" customHeight="1" x14ac:dyDescent="0.2">
      <c r="A142" s="82" t="s">
        <v>526</v>
      </c>
      <c r="B142" s="46"/>
      <c r="C142" s="113"/>
      <c r="D142" s="214" t="str">
        <f>IF(TR_6RecyclingArranger[[#This Row],[ID_EC]]="","",INDEX(TR_5ExemptionClaim[End Market Name],MATCH(TR_6RecyclingArranger[[#This Row],[ID_EC]],TR_5ExemptionClaim[ID_EC],0)))</f>
        <v/>
      </c>
      <c r="E142" s="214" t="str">
        <f>IF(TR_6RecyclingArranger[[#This Row],[ID_EC]]="","",INDEX(TR_5ExemptionClaim[Collection or Transportation Service Provider Name],MATCH(TR_6RecyclingArranger[[#This Row],[ID_EC]],TR_5ExemptionClaim[ID_EC],0)))</f>
        <v/>
      </c>
      <c r="F142" s="214" t="str">
        <f>IF(TR_6RecyclingArranger[[#This Row],[ID_EC]]="","",IF(INDEX(TR_5ExemptionClaim[CRPF name],MATCH(TR_6RecyclingArranger[[#This Row],[ID_EC]],TR_5ExemptionClaim[ID_EC],0))=0,"None",INDEX(TR_5ExemptionClaim[CRPF name],MATCH(TR_6RecyclingArranger[[#This Row],[ID_EC]],TR_5ExemptionClaim[ID_EC],0))))</f>
        <v/>
      </c>
      <c r="G142" s="45"/>
      <c r="H142" s="108"/>
      <c r="I142" s="47"/>
      <c r="J142" s="48"/>
      <c r="K142" s="47"/>
      <c r="L142" s="79">
        <f>IF(COUNTIFS(TR_6RecyclingArranger[ID_EC],TR_6RecyclingArranger[[#This Row],[ID_EC]],TR_6RecyclingArranger[Name of Third-Party Recycling Arranger],TR_6RecyclingArranger[[#This Row],[Name of Third-Party Recycling Arranger]])&gt;1,1,0)</f>
        <v>0</v>
      </c>
      <c r="M142" s="79">
        <f>IF(TR_6RecyclingArranger[[#This Row],[ID_EC]]="",0,IFERROR(0*MATCH(TR_6RecyclingArranger[[#This Row],[ID_EC]],TR_5ExemptionClaim[Lookup: for arranger tab],0),1))</f>
        <v>0</v>
      </c>
      <c r="N142" s="79">
        <f>IF(TR_6RecyclingArranger[[#This Row],[ID_EC]]="",0,IF(COUNTA(TR_6RecyclingArranger[[#This Row],[Name of Third-Party Recycling Arranger]],TR_6RecyclingArranger[[#This Row],[Pounds of Producer''s Material Recycled by this Recycling Arranger]:[Recycling Arranger Contact Email]])=7,0,1))</f>
        <v>0</v>
      </c>
      <c r="O142" s="79">
        <f>IF(TR_6RecyclingArranger[[#This Row],[ID_EC]]&lt;&gt;"",0,IF(COUNTA(TR_6RecyclingArranger[[#This Row],[Name of Third-Party Recycling Arranger]],TR_6RecyclingArranger[[#This Row],[Pounds of Producer''s Material Recycled by this Recycling Arranger]:[Recycling Arranger Contact Email]])&gt;0,1,0))</f>
        <v>0</v>
      </c>
      <c r="P142" s="79">
        <f>IF(TR_6RecyclingArranger[[#This Row],[Lookup: pounds (this table)]]&gt;TR_6RecyclingArranger[[#This Row],[Lookup: pounds (5B tab)]],1,0)</f>
        <v>0</v>
      </c>
      <c r="Q142" s="77">
        <f>SUMIFS(TR_6RecyclingArranger[Pounds of Producer''s Material Recycled by this Recycling Arranger],TR_6RecyclingArranger[ID_EC],TR_6RecyclingArranger[[#This Row],[ID_EC]])</f>
        <v>0</v>
      </c>
      <c r="R142" s="77">
        <f>IFERROR(INDEX(TR_5ExemptionClaim[How many of the pounds recycled through this pathway were supplied by this producer?],MATCH(TR_6RecyclingArranger[[#This Row],[ID_EC]],TR_5ExemptionClaim[ID_EC],0)),0)</f>
        <v>0</v>
      </c>
      <c r="S142" s="80" t="str">
        <f t="shared" si="2"/>
        <v/>
      </c>
      <c r="T142" s="40"/>
      <c r="U142" s="58"/>
    </row>
    <row r="143" spans="1:21" ht="30.75" customHeight="1" x14ac:dyDescent="0.2">
      <c r="A143" s="82" t="s">
        <v>527</v>
      </c>
      <c r="B143" s="46"/>
      <c r="C143" s="113"/>
      <c r="D143" s="214" t="str">
        <f>IF(TR_6RecyclingArranger[[#This Row],[ID_EC]]="","",INDEX(TR_5ExemptionClaim[End Market Name],MATCH(TR_6RecyclingArranger[[#This Row],[ID_EC]],TR_5ExemptionClaim[ID_EC],0)))</f>
        <v/>
      </c>
      <c r="E143" s="214" t="str">
        <f>IF(TR_6RecyclingArranger[[#This Row],[ID_EC]]="","",INDEX(TR_5ExemptionClaim[Collection or Transportation Service Provider Name],MATCH(TR_6RecyclingArranger[[#This Row],[ID_EC]],TR_5ExemptionClaim[ID_EC],0)))</f>
        <v/>
      </c>
      <c r="F143" s="214" t="str">
        <f>IF(TR_6RecyclingArranger[[#This Row],[ID_EC]]="","",IF(INDEX(TR_5ExemptionClaim[CRPF name],MATCH(TR_6RecyclingArranger[[#This Row],[ID_EC]],TR_5ExemptionClaim[ID_EC],0))=0,"None",INDEX(TR_5ExemptionClaim[CRPF name],MATCH(TR_6RecyclingArranger[[#This Row],[ID_EC]],TR_5ExemptionClaim[ID_EC],0))))</f>
        <v/>
      </c>
      <c r="G143" s="45"/>
      <c r="H143" s="108"/>
      <c r="I143" s="47"/>
      <c r="J143" s="48"/>
      <c r="K143" s="47"/>
      <c r="L143" s="79">
        <f>IF(COUNTIFS(TR_6RecyclingArranger[ID_EC],TR_6RecyclingArranger[[#This Row],[ID_EC]],TR_6RecyclingArranger[Name of Third-Party Recycling Arranger],TR_6RecyclingArranger[[#This Row],[Name of Third-Party Recycling Arranger]])&gt;1,1,0)</f>
        <v>0</v>
      </c>
      <c r="M143" s="79">
        <f>IF(TR_6RecyclingArranger[[#This Row],[ID_EC]]="",0,IFERROR(0*MATCH(TR_6RecyclingArranger[[#This Row],[ID_EC]],TR_5ExemptionClaim[Lookup: for arranger tab],0),1))</f>
        <v>0</v>
      </c>
      <c r="N143" s="79">
        <f>IF(TR_6RecyclingArranger[[#This Row],[ID_EC]]="",0,IF(COUNTA(TR_6RecyclingArranger[[#This Row],[Name of Third-Party Recycling Arranger]],TR_6RecyclingArranger[[#This Row],[Pounds of Producer''s Material Recycled by this Recycling Arranger]:[Recycling Arranger Contact Email]])=7,0,1))</f>
        <v>0</v>
      </c>
      <c r="O143" s="79">
        <f>IF(TR_6RecyclingArranger[[#This Row],[ID_EC]]&lt;&gt;"",0,IF(COUNTA(TR_6RecyclingArranger[[#This Row],[Name of Third-Party Recycling Arranger]],TR_6RecyclingArranger[[#This Row],[Pounds of Producer''s Material Recycled by this Recycling Arranger]:[Recycling Arranger Contact Email]])&gt;0,1,0))</f>
        <v>0</v>
      </c>
      <c r="P143" s="79">
        <f>IF(TR_6RecyclingArranger[[#This Row],[Lookup: pounds (this table)]]&gt;TR_6RecyclingArranger[[#This Row],[Lookup: pounds (5B tab)]],1,0)</f>
        <v>0</v>
      </c>
      <c r="Q143" s="77">
        <f>SUMIFS(TR_6RecyclingArranger[Pounds of Producer''s Material Recycled by this Recycling Arranger],TR_6RecyclingArranger[ID_EC],TR_6RecyclingArranger[[#This Row],[ID_EC]])</f>
        <v>0</v>
      </c>
      <c r="R143" s="77">
        <f>IFERROR(INDEX(TR_5ExemptionClaim[How many of the pounds recycled through this pathway were supplied by this producer?],MATCH(TR_6RecyclingArranger[[#This Row],[ID_EC]],TR_5ExemptionClaim[ID_EC],0)),0)</f>
        <v>0</v>
      </c>
      <c r="S143" s="80" t="str">
        <f t="shared" si="2"/>
        <v/>
      </c>
      <c r="T143" s="40"/>
      <c r="U143" s="58"/>
    </row>
    <row r="144" spans="1:21" ht="30.75" customHeight="1" x14ac:dyDescent="0.2">
      <c r="A144" s="82" t="s">
        <v>528</v>
      </c>
      <c r="B144" s="46"/>
      <c r="C144" s="113"/>
      <c r="D144" s="214" t="str">
        <f>IF(TR_6RecyclingArranger[[#This Row],[ID_EC]]="","",INDEX(TR_5ExemptionClaim[End Market Name],MATCH(TR_6RecyclingArranger[[#This Row],[ID_EC]],TR_5ExemptionClaim[ID_EC],0)))</f>
        <v/>
      </c>
      <c r="E144" s="214" t="str">
        <f>IF(TR_6RecyclingArranger[[#This Row],[ID_EC]]="","",INDEX(TR_5ExemptionClaim[Collection or Transportation Service Provider Name],MATCH(TR_6RecyclingArranger[[#This Row],[ID_EC]],TR_5ExemptionClaim[ID_EC],0)))</f>
        <v/>
      </c>
      <c r="F144" s="214" t="str">
        <f>IF(TR_6RecyclingArranger[[#This Row],[ID_EC]]="","",IF(INDEX(TR_5ExemptionClaim[CRPF name],MATCH(TR_6RecyclingArranger[[#This Row],[ID_EC]],TR_5ExemptionClaim[ID_EC],0))=0,"None",INDEX(TR_5ExemptionClaim[CRPF name],MATCH(TR_6RecyclingArranger[[#This Row],[ID_EC]],TR_5ExemptionClaim[ID_EC],0))))</f>
        <v/>
      </c>
      <c r="G144" s="45"/>
      <c r="H144" s="108"/>
      <c r="I144" s="47"/>
      <c r="J144" s="48"/>
      <c r="K144" s="47"/>
      <c r="L144" s="79">
        <f>IF(COUNTIFS(TR_6RecyclingArranger[ID_EC],TR_6RecyclingArranger[[#This Row],[ID_EC]],TR_6RecyclingArranger[Name of Third-Party Recycling Arranger],TR_6RecyclingArranger[[#This Row],[Name of Third-Party Recycling Arranger]])&gt;1,1,0)</f>
        <v>0</v>
      </c>
      <c r="M144" s="79">
        <f>IF(TR_6RecyclingArranger[[#This Row],[ID_EC]]="",0,IFERROR(0*MATCH(TR_6RecyclingArranger[[#This Row],[ID_EC]],TR_5ExemptionClaim[Lookup: for arranger tab],0),1))</f>
        <v>0</v>
      </c>
      <c r="N144" s="79">
        <f>IF(TR_6RecyclingArranger[[#This Row],[ID_EC]]="",0,IF(COUNTA(TR_6RecyclingArranger[[#This Row],[Name of Third-Party Recycling Arranger]],TR_6RecyclingArranger[[#This Row],[Pounds of Producer''s Material Recycled by this Recycling Arranger]:[Recycling Arranger Contact Email]])=7,0,1))</f>
        <v>0</v>
      </c>
      <c r="O144" s="79">
        <f>IF(TR_6RecyclingArranger[[#This Row],[ID_EC]]&lt;&gt;"",0,IF(COUNTA(TR_6RecyclingArranger[[#This Row],[Name of Third-Party Recycling Arranger]],TR_6RecyclingArranger[[#This Row],[Pounds of Producer''s Material Recycled by this Recycling Arranger]:[Recycling Arranger Contact Email]])&gt;0,1,0))</f>
        <v>0</v>
      </c>
      <c r="P144" s="79">
        <f>IF(TR_6RecyclingArranger[[#This Row],[Lookup: pounds (this table)]]&gt;TR_6RecyclingArranger[[#This Row],[Lookup: pounds (5B tab)]],1,0)</f>
        <v>0</v>
      </c>
      <c r="Q144" s="77">
        <f>SUMIFS(TR_6RecyclingArranger[Pounds of Producer''s Material Recycled by this Recycling Arranger],TR_6RecyclingArranger[ID_EC],TR_6RecyclingArranger[[#This Row],[ID_EC]])</f>
        <v>0</v>
      </c>
      <c r="R144" s="77">
        <f>IFERROR(INDEX(TR_5ExemptionClaim[How many of the pounds recycled through this pathway were supplied by this producer?],MATCH(TR_6RecyclingArranger[[#This Row],[ID_EC]],TR_5ExemptionClaim[ID_EC],0)),0)</f>
        <v>0</v>
      </c>
      <c r="S144" s="80" t="str">
        <f t="shared" si="2"/>
        <v/>
      </c>
      <c r="T144" s="40"/>
      <c r="U144" s="58"/>
    </row>
    <row r="145" spans="1:21" ht="30.75" customHeight="1" x14ac:dyDescent="0.2">
      <c r="A145" s="82" t="s">
        <v>529</v>
      </c>
      <c r="B145" s="46"/>
      <c r="C145" s="113"/>
      <c r="D145" s="214" t="str">
        <f>IF(TR_6RecyclingArranger[[#This Row],[ID_EC]]="","",INDEX(TR_5ExemptionClaim[End Market Name],MATCH(TR_6RecyclingArranger[[#This Row],[ID_EC]],TR_5ExemptionClaim[ID_EC],0)))</f>
        <v/>
      </c>
      <c r="E145" s="214" t="str">
        <f>IF(TR_6RecyclingArranger[[#This Row],[ID_EC]]="","",INDEX(TR_5ExemptionClaim[Collection or Transportation Service Provider Name],MATCH(TR_6RecyclingArranger[[#This Row],[ID_EC]],TR_5ExemptionClaim[ID_EC],0)))</f>
        <v/>
      </c>
      <c r="F145" s="214" t="str">
        <f>IF(TR_6RecyclingArranger[[#This Row],[ID_EC]]="","",IF(INDEX(TR_5ExemptionClaim[CRPF name],MATCH(TR_6RecyclingArranger[[#This Row],[ID_EC]],TR_5ExemptionClaim[ID_EC],0))=0,"None",INDEX(TR_5ExemptionClaim[CRPF name],MATCH(TR_6RecyclingArranger[[#This Row],[ID_EC]],TR_5ExemptionClaim[ID_EC],0))))</f>
        <v/>
      </c>
      <c r="G145" s="45"/>
      <c r="H145" s="108"/>
      <c r="I145" s="47"/>
      <c r="J145" s="48"/>
      <c r="K145" s="47"/>
      <c r="L145" s="79">
        <f>IF(COUNTIFS(TR_6RecyclingArranger[ID_EC],TR_6RecyclingArranger[[#This Row],[ID_EC]],TR_6RecyclingArranger[Name of Third-Party Recycling Arranger],TR_6RecyclingArranger[[#This Row],[Name of Third-Party Recycling Arranger]])&gt;1,1,0)</f>
        <v>0</v>
      </c>
      <c r="M145" s="79">
        <f>IF(TR_6RecyclingArranger[[#This Row],[ID_EC]]="",0,IFERROR(0*MATCH(TR_6RecyclingArranger[[#This Row],[ID_EC]],TR_5ExemptionClaim[Lookup: for arranger tab],0),1))</f>
        <v>0</v>
      </c>
      <c r="N145" s="79">
        <f>IF(TR_6RecyclingArranger[[#This Row],[ID_EC]]="",0,IF(COUNTA(TR_6RecyclingArranger[[#This Row],[Name of Third-Party Recycling Arranger]],TR_6RecyclingArranger[[#This Row],[Pounds of Producer''s Material Recycled by this Recycling Arranger]:[Recycling Arranger Contact Email]])=7,0,1))</f>
        <v>0</v>
      </c>
      <c r="O145" s="79">
        <f>IF(TR_6RecyclingArranger[[#This Row],[ID_EC]]&lt;&gt;"",0,IF(COUNTA(TR_6RecyclingArranger[[#This Row],[Name of Third-Party Recycling Arranger]],TR_6RecyclingArranger[[#This Row],[Pounds of Producer''s Material Recycled by this Recycling Arranger]:[Recycling Arranger Contact Email]])&gt;0,1,0))</f>
        <v>0</v>
      </c>
      <c r="P145" s="79">
        <f>IF(TR_6RecyclingArranger[[#This Row],[Lookup: pounds (this table)]]&gt;TR_6RecyclingArranger[[#This Row],[Lookup: pounds (5B tab)]],1,0)</f>
        <v>0</v>
      </c>
      <c r="Q145" s="77">
        <f>SUMIFS(TR_6RecyclingArranger[Pounds of Producer''s Material Recycled by this Recycling Arranger],TR_6RecyclingArranger[ID_EC],TR_6RecyclingArranger[[#This Row],[ID_EC]])</f>
        <v>0</v>
      </c>
      <c r="R145" s="77">
        <f>IFERROR(INDEX(TR_5ExemptionClaim[How many of the pounds recycled through this pathway were supplied by this producer?],MATCH(TR_6RecyclingArranger[[#This Row],[ID_EC]],TR_5ExemptionClaim[ID_EC],0)),0)</f>
        <v>0</v>
      </c>
      <c r="S145" s="80" t="str">
        <f t="shared" si="2"/>
        <v/>
      </c>
      <c r="T145" s="40"/>
      <c r="U145" s="58"/>
    </row>
    <row r="146" spans="1:21" ht="30.75" customHeight="1" x14ac:dyDescent="0.2">
      <c r="A146" s="82" t="s">
        <v>530</v>
      </c>
      <c r="B146" s="46"/>
      <c r="C146" s="113"/>
      <c r="D146" s="214" t="str">
        <f>IF(TR_6RecyclingArranger[[#This Row],[ID_EC]]="","",INDEX(TR_5ExemptionClaim[End Market Name],MATCH(TR_6RecyclingArranger[[#This Row],[ID_EC]],TR_5ExemptionClaim[ID_EC],0)))</f>
        <v/>
      </c>
      <c r="E146" s="214" t="str">
        <f>IF(TR_6RecyclingArranger[[#This Row],[ID_EC]]="","",INDEX(TR_5ExemptionClaim[Collection or Transportation Service Provider Name],MATCH(TR_6RecyclingArranger[[#This Row],[ID_EC]],TR_5ExemptionClaim[ID_EC],0)))</f>
        <v/>
      </c>
      <c r="F146" s="214" t="str">
        <f>IF(TR_6RecyclingArranger[[#This Row],[ID_EC]]="","",IF(INDEX(TR_5ExemptionClaim[CRPF name],MATCH(TR_6RecyclingArranger[[#This Row],[ID_EC]],TR_5ExemptionClaim[ID_EC],0))=0,"None",INDEX(TR_5ExemptionClaim[CRPF name],MATCH(TR_6RecyclingArranger[[#This Row],[ID_EC]],TR_5ExemptionClaim[ID_EC],0))))</f>
        <v/>
      </c>
      <c r="G146" s="45"/>
      <c r="H146" s="108"/>
      <c r="I146" s="47"/>
      <c r="J146" s="48"/>
      <c r="K146" s="47"/>
      <c r="L146" s="79">
        <f>IF(COUNTIFS(TR_6RecyclingArranger[ID_EC],TR_6RecyclingArranger[[#This Row],[ID_EC]],TR_6RecyclingArranger[Name of Third-Party Recycling Arranger],TR_6RecyclingArranger[[#This Row],[Name of Third-Party Recycling Arranger]])&gt;1,1,0)</f>
        <v>0</v>
      </c>
      <c r="M146" s="79">
        <f>IF(TR_6RecyclingArranger[[#This Row],[ID_EC]]="",0,IFERROR(0*MATCH(TR_6RecyclingArranger[[#This Row],[ID_EC]],TR_5ExemptionClaim[Lookup: for arranger tab],0),1))</f>
        <v>0</v>
      </c>
      <c r="N146" s="79">
        <f>IF(TR_6RecyclingArranger[[#This Row],[ID_EC]]="",0,IF(COUNTA(TR_6RecyclingArranger[[#This Row],[Name of Third-Party Recycling Arranger]],TR_6RecyclingArranger[[#This Row],[Pounds of Producer''s Material Recycled by this Recycling Arranger]:[Recycling Arranger Contact Email]])=7,0,1))</f>
        <v>0</v>
      </c>
      <c r="O146" s="79">
        <f>IF(TR_6RecyclingArranger[[#This Row],[ID_EC]]&lt;&gt;"",0,IF(COUNTA(TR_6RecyclingArranger[[#This Row],[Name of Third-Party Recycling Arranger]],TR_6RecyclingArranger[[#This Row],[Pounds of Producer''s Material Recycled by this Recycling Arranger]:[Recycling Arranger Contact Email]])&gt;0,1,0))</f>
        <v>0</v>
      </c>
      <c r="P146" s="79">
        <f>IF(TR_6RecyclingArranger[[#This Row],[Lookup: pounds (this table)]]&gt;TR_6RecyclingArranger[[#This Row],[Lookup: pounds (5B tab)]],1,0)</f>
        <v>0</v>
      </c>
      <c r="Q146" s="77">
        <f>SUMIFS(TR_6RecyclingArranger[Pounds of Producer''s Material Recycled by this Recycling Arranger],TR_6RecyclingArranger[ID_EC],TR_6RecyclingArranger[[#This Row],[ID_EC]])</f>
        <v>0</v>
      </c>
      <c r="R146" s="77">
        <f>IFERROR(INDEX(TR_5ExemptionClaim[How many of the pounds recycled through this pathway were supplied by this producer?],MATCH(TR_6RecyclingArranger[[#This Row],[ID_EC]],TR_5ExemptionClaim[ID_EC],0)),0)</f>
        <v>0</v>
      </c>
      <c r="S146" s="80" t="str">
        <f t="shared" si="2"/>
        <v/>
      </c>
      <c r="T146" s="40"/>
      <c r="U146" s="58"/>
    </row>
    <row r="147" spans="1:21" ht="30.75" customHeight="1" x14ac:dyDescent="0.2">
      <c r="A147" s="82" t="s">
        <v>531</v>
      </c>
      <c r="B147" s="46"/>
      <c r="C147" s="113"/>
      <c r="D147" s="214" t="str">
        <f>IF(TR_6RecyclingArranger[[#This Row],[ID_EC]]="","",INDEX(TR_5ExemptionClaim[End Market Name],MATCH(TR_6RecyclingArranger[[#This Row],[ID_EC]],TR_5ExemptionClaim[ID_EC],0)))</f>
        <v/>
      </c>
      <c r="E147" s="214" t="str">
        <f>IF(TR_6RecyclingArranger[[#This Row],[ID_EC]]="","",INDEX(TR_5ExemptionClaim[Collection or Transportation Service Provider Name],MATCH(TR_6RecyclingArranger[[#This Row],[ID_EC]],TR_5ExemptionClaim[ID_EC],0)))</f>
        <v/>
      </c>
      <c r="F147" s="214" t="str">
        <f>IF(TR_6RecyclingArranger[[#This Row],[ID_EC]]="","",IF(INDEX(TR_5ExemptionClaim[CRPF name],MATCH(TR_6RecyclingArranger[[#This Row],[ID_EC]],TR_5ExemptionClaim[ID_EC],0))=0,"None",INDEX(TR_5ExemptionClaim[CRPF name],MATCH(TR_6RecyclingArranger[[#This Row],[ID_EC]],TR_5ExemptionClaim[ID_EC],0))))</f>
        <v/>
      </c>
      <c r="G147" s="45"/>
      <c r="H147" s="108"/>
      <c r="I147" s="47"/>
      <c r="J147" s="48"/>
      <c r="K147" s="47"/>
      <c r="L147" s="79">
        <f>IF(COUNTIFS(TR_6RecyclingArranger[ID_EC],TR_6RecyclingArranger[[#This Row],[ID_EC]],TR_6RecyclingArranger[Name of Third-Party Recycling Arranger],TR_6RecyclingArranger[[#This Row],[Name of Third-Party Recycling Arranger]])&gt;1,1,0)</f>
        <v>0</v>
      </c>
      <c r="M147" s="79">
        <f>IF(TR_6RecyclingArranger[[#This Row],[ID_EC]]="",0,IFERROR(0*MATCH(TR_6RecyclingArranger[[#This Row],[ID_EC]],TR_5ExemptionClaim[Lookup: for arranger tab],0),1))</f>
        <v>0</v>
      </c>
      <c r="N147" s="79">
        <f>IF(TR_6RecyclingArranger[[#This Row],[ID_EC]]="",0,IF(COUNTA(TR_6RecyclingArranger[[#This Row],[Name of Third-Party Recycling Arranger]],TR_6RecyclingArranger[[#This Row],[Pounds of Producer''s Material Recycled by this Recycling Arranger]:[Recycling Arranger Contact Email]])=7,0,1))</f>
        <v>0</v>
      </c>
      <c r="O147" s="79">
        <f>IF(TR_6RecyclingArranger[[#This Row],[ID_EC]]&lt;&gt;"",0,IF(COUNTA(TR_6RecyclingArranger[[#This Row],[Name of Third-Party Recycling Arranger]],TR_6RecyclingArranger[[#This Row],[Pounds of Producer''s Material Recycled by this Recycling Arranger]:[Recycling Arranger Contact Email]])&gt;0,1,0))</f>
        <v>0</v>
      </c>
      <c r="P147" s="79">
        <f>IF(TR_6RecyclingArranger[[#This Row],[Lookup: pounds (this table)]]&gt;TR_6RecyclingArranger[[#This Row],[Lookup: pounds (5B tab)]],1,0)</f>
        <v>0</v>
      </c>
      <c r="Q147" s="77">
        <f>SUMIFS(TR_6RecyclingArranger[Pounds of Producer''s Material Recycled by this Recycling Arranger],TR_6RecyclingArranger[ID_EC],TR_6RecyclingArranger[[#This Row],[ID_EC]])</f>
        <v>0</v>
      </c>
      <c r="R147" s="77">
        <f>IFERROR(INDEX(TR_5ExemptionClaim[How many of the pounds recycled through this pathway were supplied by this producer?],MATCH(TR_6RecyclingArranger[[#This Row],[ID_EC]],TR_5ExemptionClaim[ID_EC],0)),0)</f>
        <v>0</v>
      </c>
      <c r="S147" s="80" t="str">
        <f t="shared" si="2"/>
        <v/>
      </c>
      <c r="T147" s="40"/>
      <c r="U147" s="58"/>
    </row>
    <row r="148" spans="1:21" ht="30.75" customHeight="1" x14ac:dyDescent="0.2">
      <c r="A148" s="82" t="s">
        <v>532</v>
      </c>
      <c r="B148" s="46"/>
      <c r="C148" s="113"/>
      <c r="D148" s="214" t="str">
        <f>IF(TR_6RecyclingArranger[[#This Row],[ID_EC]]="","",INDEX(TR_5ExemptionClaim[End Market Name],MATCH(TR_6RecyclingArranger[[#This Row],[ID_EC]],TR_5ExemptionClaim[ID_EC],0)))</f>
        <v/>
      </c>
      <c r="E148" s="214" t="str">
        <f>IF(TR_6RecyclingArranger[[#This Row],[ID_EC]]="","",INDEX(TR_5ExemptionClaim[Collection or Transportation Service Provider Name],MATCH(TR_6RecyclingArranger[[#This Row],[ID_EC]],TR_5ExemptionClaim[ID_EC],0)))</f>
        <v/>
      </c>
      <c r="F148" s="214" t="str">
        <f>IF(TR_6RecyclingArranger[[#This Row],[ID_EC]]="","",IF(INDEX(TR_5ExemptionClaim[CRPF name],MATCH(TR_6RecyclingArranger[[#This Row],[ID_EC]],TR_5ExemptionClaim[ID_EC],0))=0,"None",INDEX(TR_5ExemptionClaim[CRPF name],MATCH(TR_6RecyclingArranger[[#This Row],[ID_EC]],TR_5ExemptionClaim[ID_EC],0))))</f>
        <v/>
      </c>
      <c r="G148" s="45"/>
      <c r="H148" s="108"/>
      <c r="I148" s="47"/>
      <c r="J148" s="48"/>
      <c r="K148" s="47"/>
      <c r="L148" s="79">
        <f>IF(COUNTIFS(TR_6RecyclingArranger[ID_EC],TR_6RecyclingArranger[[#This Row],[ID_EC]],TR_6RecyclingArranger[Name of Third-Party Recycling Arranger],TR_6RecyclingArranger[[#This Row],[Name of Third-Party Recycling Arranger]])&gt;1,1,0)</f>
        <v>0</v>
      </c>
      <c r="M148" s="79">
        <f>IF(TR_6RecyclingArranger[[#This Row],[ID_EC]]="",0,IFERROR(0*MATCH(TR_6RecyclingArranger[[#This Row],[ID_EC]],TR_5ExemptionClaim[Lookup: for arranger tab],0),1))</f>
        <v>0</v>
      </c>
      <c r="N148" s="79">
        <f>IF(TR_6RecyclingArranger[[#This Row],[ID_EC]]="",0,IF(COUNTA(TR_6RecyclingArranger[[#This Row],[Name of Third-Party Recycling Arranger]],TR_6RecyclingArranger[[#This Row],[Pounds of Producer''s Material Recycled by this Recycling Arranger]:[Recycling Arranger Contact Email]])=7,0,1))</f>
        <v>0</v>
      </c>
      <c r="O148" s="79">
        <f>IF(TR_6RecyclingArranger[[#This Row],[ID_EC]]&lt;&gt;"",0,IF(COUNTA(TR_6RecyclingArranger[[#This Row],[Name of Third-Party Recycling Arranger]],TR_6RecyclingArranger[[#This Row],[Pounds of Producer''s Material Recycled by this Recycling Arranger]:[Recycling Arranger Contact Email]])&gt;0,1,0))</f>
        <v>0</v>
      </c>
      <c r="P148" s="79">
        <f>IF(TR_6RecyclingArranger[[#This Row],[Lookup: pounds (this table)]]&gt;TR_6RecyclingArranger[[#This Row],[Lookup: pounds (5B tab)]],1,0)</f>
        <v>0</v>
      </c>
      <c r="Q148" s="77">
        <f>SUMIFS(TR_6RecyclingArranger[Pounds of Producer''s Material Recycled by this Recycling Arranger],TR_6RecyclingArranger[ID_EC],TR_6RecyclingArranger[[#This Row],[ID_EC]])</f>
        <v>0</v>
      </c>
      <c r="R148" s="77">
        <f>IFERROR(INDEX(TR_5ExemptionClaim[How many of the pounds recycled through this pathway were supplied by this producer?],MATCH(TR_6RecyclingArranger[[#This Row],[ID_EC]],TR_5ExemptionClaim[ID_EC],0)),0)</f>
        <v>0</v>
      </c>
      <c r="S148" s="80" t="str">
        <f t="shared" si="2"/>
        <v/>
      </c>
      <c r="T148" s="40"/>
      <c r="U148" s="58"/>
    </row>
    <row r="149" spans="1:21" ht="30.75" customHeight="1" x14ac:dyDescent="0.2">
      <c r="A149" s="82" t="s">
        <v>533</v>
      </c>
      <c r="B149" s="46"/>
      <c r="C149" s="113"/>
      <c r="D149" s="214" t="str">
        <f>IF(TR_6RecyclingArranger[[#This Row],[ID_EC]]="","",INDEX(TR_5ExemptionClaim[End Market Name],MATCH(TR_6RecyclingArranger[[#This Row],[ID_EC]],TR_5ExemptionClaim[ID_EC],0)))</f>
        <v/>
      </c>
      <c r="E149" s="214" t="str">
        <f>IF(TR_6RecyclingArranger[[#This Row],[ID_EC]]="","",INDEX(TR_5ExemptionClaim[Collection or Transportation Service Provider Name],MATCH(TR_6RecyclingArranger[[#This Row],[ID_EC]],TR_5ExemptionClaim[ID_EC],0)))</f>
        <v/>
      </c>
      <c r="F149" s="214" t="str">
        <f>IF(TR_6RecyclingArranger[[#This Row],[ID_EC]]="","",IF(INDEX(TR_5ExemptionClaim[CRPF name],MATCH(TR_6RecyclingArranger[[#This Row],[ID_EC]],TR_5ExemptionClaim[ID_EC],0))=0,"None",INDEX(TR_5ExemptionClaim[CRPF name],MATCH(TR_6RecyclingArranger[[#This Row],[ID_EC]],TR_5ExemptionClaim[ID_EC],0))))</f>
        <v/>
      </c>
      <c r="G149" s="45"/>
      <c r="H149" s="108"/>
      <c r="I149" s="47"/>
      <c r="J149" s="48"/>
      <c r="K149" s="47"/>
      <c r="L149" s="79">
        <f>IF(COUNTIFS(TR_6RecyclingArranger[ID_EC],TR_6RecyclingArranger[[#This Row],[ID_EC]],TR_6RecyclingArranger[Name of Third-Party Recycling Arranger],TR_6RecyclingArranger[[#This Row],[Name of Third-Party Recycling Arranger]])&gt;1,1,0)</f>
        <v>0</v>
      </c>
      <c r="M149" s="79">
        <f>IF(TR_6RecyclingArranger[[#This Row],[ID_EC]]="",0,IFERROR(0*MATCH(TR_6RecyclingArranger[[#This Row],[ID_EC]],TR_5ExemptionClaim[Lookup: for arranger tab],0),1))</f>
        <v>0</v>
      </c>
      <c r="N149" s="79">
        <f>IF(TR_6RecyclingArranger[[#This Row],[ID_EC]]="",0,IF(COUNTA(TR_6RecyclingArranger[[#This Row],[Name of Third-Party Recycling Arranger]],TR_6RecyclingArranger[[#This Row],[Pounds of Producer''s Material Recycled by this Recycling Arranger]:[Recycling Arranger Contact Email]])=7,0,1))</f>
        <v>0</v>
      </c>
      <c r="O149" s="79">
        <f>IF(TR_6RecyclingArranger[[#This Row],[ID_EC]]&lt;&gt;"",0,IF(COUNTA(TR_6RecyclingArranger[[#This Row],[Name of Third-Party Recycling Arranger]],TR_6RecyclingArranger[[#This Row],[Pounds of Producer''s Material Recycled by this Recycling Arranger]:[Recycling Arranger Contact Email]])&gt;0,1,0))</f>
        <v>0</v>
      </c>
      <c r="P149" s="79">
        <f>IF(TR_6RecyclingArranger[[#This Row],[Lookup: pounds (this table)]]&gt;TR_6RecyclingArranger[[#This Row],[Lookup: pounds (5B tab)]],1,0)</f>
        <v>0</v>
      </c>
      <c r="Q149" s="77">
        <f>SUMIFS(TR_6RecyclingArranger[Pounds of Producer''s Material Recycled by this Recycling Arranger],TR_6RecyclingArranger[ID_EC],TR_6RecyclingArranger[[#This Row],[ID_EC]])</f>
        <v>0</v>
      </c>
      <c r="R149" s="77">
        <f>IFERROR(INDEX(TR_5ExemptionClaim[How many of the pounds recycled through this pathway were supplied by this producer?],MATCH(TR_6RecyclingArranger[[#This Row],[ID_EC]],TR_5ExemptionClaim[ID_EC],0)),0)</f>
        <v>0</v>
      </c>
      <c r="S149" s="80" t="str">
        <f t="shared" si="2"/>
        <v/>
      </c>
      <c r="T149" s="40"/>
      <c r="U149" s="58"/>
    </row>
    <row r="150" spans="1:21" ht="30.75" customHeight="1" x14ac:dyDescent="0.2">
      <c r="A150" s="82" t="s">
        <v>534</v>
      </c>
      <c r="B150" s="46"/>
      <c r="C150" s="113"/>
      <c r="D150" s="214" t="str">
        <f>IF(TR_6RecyclingArranger[[#This Row],[ID_EC]]="","",INDEX(TR_5ExemptionClaim[End Market Name],MATCH(TR_6RecyclingArranger[[#This Row],[ID_EC]],TR_5ExemptionClaim[ID_EC],0)))</f>
        <v/>
      </c>
      <c r="E150" s="214" t="str">
        <f>IF(TR_6RecyclingArranger[[#This Row],[ID_EC]]="","",INDEX(TR_5ExemptionClaim[Collection or Transportation Service Provider Name],MATCH(TR_6RecyclingArranger[[#This Row],[ID_EC]],TR_5ExemptionClaim[ID_EC],0)))</f>
        <v/>
      </c>
      <c r="F150" s="214" t="str">
        <f>IF(TR_6RecyclingArranger[[#This Row],[ID_EC]]="","",IF(INDEX(TR_5ExemptionClaim[CRPF name],MATCH(TR_6RecyclingArranger[[#This Row],[ID_EC]],TR_5ExemptionClaim[ID_EC],0))=0,"None",INDEX(TR_5ExemptionClaim[CRPF name],MATCH(TR_6RecyclingArranger[[#This Row],[ID_EC]],TR_5ExemptionClaim[ID_EC],0))))</f>
        <v/>
      </c>
      <c r="G150" s="45"/>
      <c r="H150" s="108"/>
      <c r="I150" s="47"/>
      <c r="J150" s="48"/>
      <c r="K150" s="47"/>
      <c r="L150" s="79">
        <f>IF(COUNTIFS(TR_6RecyclingArranger[ID_EC],TR_6RecyclingArranger[[#This Row],[ID_EC]],TR_6RecyclingArranger[Name of Third-Party Recycling Arranger],TR_6RecyclingArranger[[#This Row],[Name of Third-Party Recycling Arranger]])&gt;1,1,0)</f>
        <v>0</v>
      </c>
      <c r="M150" s="79">
        <f>IF(TR_6RecyclingArranger[[#This Row],[ID_EC]]="",0,IFERROR(0*MATCH(TR_6RecyclingArranger[[#This Row],[ID_EC]],TR_5ExemptionClaim[Lookup: for arranger tab],0),1))</f>
        <v>0</v>
      </c>
      <c r="N150" s="79">
        <f>IF(TR_6RecyclingArranger[[#This Row],[ID_EC]]="",0,IF(COUNTA(TR_6RecyclingArranger[[#This Row],[Name of Third-Party Recycling Arranger]],TR_6RecyclingArranger[[#This Row],[Pounds of Producer''s Material Recycled by this Recycling Arranger]:[Recycling Arranger Contact Email]])=7,0,1))</f>
        <v>0</v>
      </c>
      <c r="O150" s="79">
        <f>IF(TR_6RecyclingArranger[[#This Row],[ID_EC]]&lt;&gt;"",0,IF(COUNTA(TR_6RecyclingArranger[[#This Row],[Name of Third-Party Recycling Arranger]],TR_6RecyclingArranger[[#This Row],[Pounds of Producer''s Material Recycled by this Recycling Arranger]:[Recycling Arranger Contact Email]])&gt;0,1,0))</f>
        <v>0</v>
      </c>
      <c r="P150" s="79">
        <f>IF(TR_6RecyclingArranger[[#This Row],[Lookup: pounds (this table)]]&gt;TR_6RecyclingArranger[[#This Row],[Lookup: pounds (5B tab)]],1,0)</f>
        <v>0</v>
      </c>
      <c r="Q150" s="77">
        <f>SUMIFS(TR_6RecyclingArranger[Pounds of Producer''s Material Recycled by this Recycling Arranger],TR_6RecyclingArranger[ID_EC],TR_6RecyclingArranger[[#This Row],[ID_EC]])</f>
        <v>0</v>
      </c>
      <c r="R150" s="77">
        <f>IFERROR(INDEX(TR_5ExemptionClaim[How many of the pounds recycled through this pathway were supplied by this producer?],MATCH(TR_6RecyclingArranger[[#This Row],[ID_EC]],TR_5ExemptionClaim[ID_EC],0)),0)</f>
        <v>0</v>
      </c>
      <c r="S150" s="80" t="str">
        <f t="shared" si="2"/>
        <v/>
      </c>
      <c r="T150" s="40"/>
      <c r="U150" s="58"/>
    </row>
    <row r="151" spans="1:21" ht="30.75" customHeight="1" x14ac:dyDescent="0.2">
      <c r="A151" s="82" t="s">
        <v>535</v>
      </c>
      <c r="B151" s="46"/>
      <c r="C151" s="113"/>
      <c r="D151" s="214" t="str">
        <f>IF(TR_6RecyclingArranger[[#This Row],[ID_EC]]="","",INDEX(TR_5ExemptionClaim[End Market Name],MATCH(TR_6RecyclingArranger[[#This Row],[ID_EC]],TR_5ExemptionClaim[ID_EC],0)))</f>
        <v/>
      </c>
      <c r="E151" s="214" t="str">
        <f>IF(TR_6RecyclingArranger[[#This Row],[ID_EC]]="","",INDEX(TR_5ExemptionClaim[Collection or Transportation Service Provider Name],MATCH(TR_6RecyclingArranger[[#This Row],[ID_EC]],TR_5ExemptionClaim[ID_EC],0)))</f>
        <v/>
      </c>
      <c r="F151" s="214" t="str">
        <f>IF(TR_6RecyclingArranger[[#This Row],[ID_EC]]="","",IF(INDEX(TR_5ExemptionClaim[CRPF name],MATCH(TR_6RecyclingArranger[[#This Row],[ID_EC]],TR_5ExemptionClaim[ID_EC],0))=0,"None",INDEX(TR_5ExemptionClaim[CRPF name],MATCH(TR_6RecyclingArranger[[#This Row],[ID_EC]],TR_5ExemptionClaim[ID_EC],0))))</f>
        <v/>
      </c>
      <c r="G151" s="45"/>
      <c r="H151" s="108"/>
      <c r="I151" s="47"/>
      <c r="J151" s="48"/>
      <c r="K151" s="47"/>
      <c r="L151" s="79">
        <f>IF(COUNTIFS(TR_6RecyclingArranger[ID_EC],TR_6RecyclingArranger[[#This Row],[ID_EC]],TR_6RecyclingArranger[Name of Third-Party Recycling Arranger],TR_6RecyclingArranger[[#This Row],[Name of Third-Party Recycling Arranger]])&gt;1,1,0)</f>
        <v>0</v>
      </c>
      <c r="M151" s="79">
        <f>IF(TR_6RecyclingArranger[[#This Row],[ID_EC]]="",0,IFERROR(0*MATCH(TR_6RecyclingArranger[[#This Row],[ID_EC]],TR_5ExemptionClaim[Lookup: for arranger tab],0),1))</f>
        <v>0</v>
      </c>
      <c r="N151" s="79">
        <f>IF(TR_6RecyclingArranger[[#This Row],[ID_EC]]="",0,IF(COUNTA(TR_6RecyclingArranger[[#This Row],[Name of Third-Party Recycling Arranger]],TR_6RecyclingArranger[[#This Row],[Pounds of Producer''s Material Recycled by this Recycling Arranger]:[Recycling Arranger Contact Email]])=7,0,1))</f>
        <v>0</v>
      </c>
      <c r="O151" s="79">
        <f>IF(TR_6RecyclingArranger[[#This Row],[ID_EC]]&lt;&gt;"",0,IF(COUNTA(TR_6RecyclingArranger[[#This Row],[Name of Third-Party Recycling Arranger]],TR_6RecyclingArranger[[#This Row],[Pounds of Producer''s Material Recycled by this Recycling Arranger]:[Recycling Arranger Contact Email]])&gt;0,1,0))</f>
        <v>0</v>
      </c>
      <c r="P151" s="79">
        <f>IF(TR_6RecyclingArranger[[#This Row],[Lookup: pounds (this table)]]&gt;TR_6RecyclingArranger[[#This Row],[Lookup: pounds (5B tab)]],1,0)</f>
        <v>0</v>
      </c>
      <c r="Q151" s="77">
        <f>SUMIFS(TR_6RecyclingArranger[Pounds of Producer''s Material Recycled by this Recycling Arranger],TR_6RecyclingArranger[ID_EC],TR_6RecyclingArranger[[#This Row],[ID_EC]])</f>
        <v>0</v>
      </c>
      <c r="R151" s="77">
        <f>IFERROR(INDEX(TR_5ExemptionClaim[How many of the pounds recycled through this pathway were supplied by this producer?],MATCH(TR_6RecyclingArranger[[#This Row],[ID_EC]],TR_5ExemptionClaim[ID_EC],0)),0)</f>
        <v>0</v>
      </c>
      <c r="S151" s="80" t="str">
        <f t="shared" si="2"/>
        <v/>
      </c>
      <c r="T151" s="40"/>
      <c r="U151" s="58"/>
    </row>
    <row r="152" spans="1:21" ht="30.75" customHeight="1" x14ac:dyDescent="0.2">
      <c r="A152" s="82" t="s">
        <v>536</v>
      </c>
      <c r="B152" s="46"/>
      <c r="C152" s="113"/>
      <c r="D152" s="214" t="str">
        <f>IF(TR_6RecyclingArranger[[#This Row],[ID_EC]]="","",INDEX(TR_5ExemptionClaim[End Market Name],MATCH(TR_6RecyclingArranger[[#This Row],[ID_EC]],TR_5ExemptionClaim[ID_EC],0)))</f>
        <v/>
      </c>
      <c r="E152" s="214" t="str">
        <f>IF(TR_6RecyclingArranger[[#This Row],[ID_EC]]="","",INDEX(TR_5ExemptionClaim[Collection or Transportation Service Provider Name],MATCH(TR_6RecyclingArranger[[#This Row],[ID_EC]],TR_5ExemptionClaim[ID_EC],0)))</f>
        <v/>
      </c>
      <c r="F152" s="214" t="str">
        <f>IF(TR_6RecyclingArranger[[#This Row],[ID_EC]]="","",IF(INDEX(TR_5ExemptionClaim[CRPF name],MATCH(TR_6RecyclingArranger[[#This Row],[ID_EC]],TR_5ExemptionClaim[ID_EC],0))=0,"None",INDEX(TR_5ExemptionClaim[CRPF name],MATCH(TR_6RecyclingArranger[[#This Row],[ID_EC]],TR_5ExemptionClaim[ID_EC],0))))</f>
        <v/>
      </c>
      <c r="G152" s="45"/>
      <c r="H152" s="108"/>
      <c r="I152" s="47"/>
      <c r="J152" s="48"/>
      <c r="K152" s="47"/>
      <c r="L152" s="79">
        <f>IF(COUNTIFS(TR_6RecyclingArranger[ID_EC],TR_6RecyclingArranger[[#This Row],[ID_EC]],TR_6RecyclingArranger[Name of Third-Party Recycling Arranger],TR_6RecyclingArranger[[#This Row],[Name of Third-Party Recycling Arranger]])&gt;1,1,0)</f>
        <v>0</v>
      </c>
      <c r="M152" s="79">
        <f>IF(TR_6RecyclingArranger[[#This Row],[ID_EC]]="",0,IFERROR(0*MATCH(TR_6RecyclingArranger[[#This Row],[ID_EC]],TR_5ExemptionClaim[Lookup: for arranger tab],0),1))</f>
        <v>0</v>
      </c>
      <c r="N152" s="79">
        <f>IF(TR_6RecyclingArranger[[#This Row],[ID_EC]]="",0,IF(COUNTA(TR_6RecyclingArranger[[#This Row],[Name of Third-Party Recycling Arranger]],TR_6RecyclingArranger[[#This Row],[Pounds of Producer''s Material Recycled by this Recycling Arranger]:[Recycling Arranger Contact Email]])=7,0,1))</f>
        <v>0</v>
      </c>
      <c r="O152" s="79">
        <f>IF(TR_6RecyclingArranger[[#This Row],[ID_EC]]&lt;&gt;"",0,IF(COUNTA(TR_6RecyclingArranger[[#This Row],[Name of Third-Party Recycling Arranger]],TR_6RecyclingArranger[[#This Row],[Pounds of Producer''s Material Recycled by this Recycling Arranger]:[Recycling Arranger Contact Email]])&gt;0,1,0))</f>
        <v>0</v>
      </c>
      <c r="P152" s="79">
        <f>IF(TR_6RecyclingArranger[[#This Row],[Lookup: pounds (this table)]]&gt;TR_6RecyclingArranger[[#This Row],[Lookup: pounds (5B tab)]],1,0)</f>
        <v>0</v>
      </c>
      <c r="Q152" s="77">
        <f>SUMIFS(TR_6RecyclingArranger[Pounds of Producer''s Material Recycled by this Recycling Arranger],TR_6RecyclingArranger[ID_EC],TR_6RecyclingArranger[[#This Row],[ID_EC]])</f>
        <v>0</v>
      </c>
      <c r="R152" s="77">
        <f>IFERROR(INDEX(TR_5ExemptionClaim[How many of the pounds recycled through this pathway were supplied by this producer?],MATCH(TR_6RecyclingArranger[[#This Row],[ID_EC]],TR_5ExemptionClaim[ID_EC],0)),0)</f>
        <v>0</v>
      </c>
      <c r="S152" s="80" t="str">
        <f t="shared" si="2"/>
        <v/>
      </c>
      <c r="T152" s="40"/>
      <c r="U152" s="58"/>
    </row>
    <row r="153" spans="1:21" ht="30.75" customHeight="1" x14ac:dyDescent="0.2">
      <c r="A153" s="82" t="s">
        <v>537</v>
      </c>
      <c r="B153" s="46"/>
      <c r="C153" s="113"/>
      <c r="D153" s="214" t="str">
        <f>IF(TR_6RecyclingArranger[[#This Row],[ID_EC]]="","",INDEX(TR_5ExemptionClaim[End Market Name],MATCH(TR_6RecyclingArranger[[#This Row],[ID_EC]],TR_5ExemptionClaim[ID_EC],0)))</f>
        <v/>
      </c>
      <c r="E153" s="214" t="str">
        <f>IF(TR_6RecyclingArranger[[#This Row],[ID_EC]]="","",INDEX(TR_5ExemptionClaim[Collection or Transportation Service Provider Name],MATCH(TR_6RecyclingArranger[[#This Row],[ID_EC]],TR_5ExemptionClaim[ID_EC],0)))</f>
        <v/>
      </c>
      <c r="F153" s="214" t="str">
        <f>IF(TR_6RecyclingArranger[[#This Row],[ID_EC]]="","",IF(INDEX(TR_5ExemptionClaim[CRPF name],MATCH(TR_6RecyclingArranger[[#This Row],[ID_EC]],TR_5ExemptionClaim[ID_EC],0))=0,"None",INDEX(TR_5ExemptionClaim[CRPF name],MATCH(TR_6RecyclingArranger[[#This Row],[ID_EC]],TR_5ExemptionClaim[ID_EC],0))))</f>
        <v/>
      </c>
      <c r="G153" s="45"/>
      <c r="H153" s="108"/>
      <c r="I153" s="47"/>
      <c r="J153" s="48"/>
      <c r="K153" s="47"/>
      <c r="L153" s="79">
        <f>IF(COUNTIFS(TR_6RecyclingArranger[ID_EC],TR_6RecyclingArranger[[#This Row],[ID_EC]],TR_6RecyclingArranger[Name of Third-Party Recycling Arranger],TR_6RecyclingArranger[[#This Row],[Name of Third-Party Recycling Arranger]])&gt;1,1,0)</f>
        <v>0</v>
      </c>
      <c r="M153" s="79">
        <f>IF(TR_6RecyclingArranger[[#This Row],[ID_EC]]="",0,IFERROR(0*MATCH(TR_6RecyclingArranger[[#This Row],[ID_EC]],TR_5ExemptionClaim[Lookup: for arranger tab],0),1))</f>
        <v>0</v>
      </c>
      <c r="N153" s="79">
        <f>IF(TR_6RecyclingArranger[[#This Row],[ID_EC]]="",0,IF(COUNTA(TR_6RecyclingArranger[[#This Row],[Name of Third-Party Recycling Arranger]],TR_6RecyclingArranger[[#This Row],[Pounds of Producer''s Material Recycled by this Recycling Arranger]:[Recycling Arranger Contact Email]])=7,0,1))</f>
        <v>0</v>
      </c>
      <c r="O153" s="79">
        <f>IF(TR_6RecyclingArranger[[#This Row],[ID_EC]]&lt;&gt;"",0,IF(COUNTA(TR_6RecyclingArranger[[#This Row],[Name of Third-Party Recycling Arranger]],TR_6RecyclingArranger[[#This Row],[Pounds of Producer''s Material Recycled by this Recycling Arranger]:[Recycling Arranger Contact Email]])&gt;0,1,0))</f>
        <v>0</v>
      </c>
      <c r="P153" s="79">
        <f>IF(TR_6RecyclingArranger[[#This Row],[Lookup: pounds (this table)]]&gt;TR_6RecyclingArranger[[#This Row],[Lookup: pounds (5B tab)]],1,0)</f>
        <v>0</v>
      </c>
      <c r="Q153" s="77">
        <f>SUMIFS(TR_6RecyclingArranger[Pounds of Producer''s Material Recycled by this Recycling Arranger],TR_6RecyclingArranger[ID_EC],TR_6RecyclingArranger[[#This Row],[ID_EC]])</f>
        <v>0</v>
      </c>
      <c r="R153" s="77">
        <f>IFERROR(INDEX(TR_5ExemptionClaim[How many of the pounds recycled through this pathway were supplied by this producer?],MATCH(TR_6RecyclingArranger[[#This Row],[ID_EC]],TR_5ExemptionClaim[ID_EC],0)),0)</f>
        <v>0</v>
      </c>
      <c r="S153" s="80" t="str">
        <f t="shared" si="2"/>
        <v/>
      </c>
      <c r="T153" s="40"/>
      <c r="U153" s="58"/>
    </row>
    <row r="154" spans="1:21" ht="30.75" customHeight="1" x14ac:dyDescent="0.2">
      <c r="A154" s="82" t="s">
        <v>538</v>
      </c>
      <c r="B154" s="46"/>
      <c r="C154" s="113"/>
      <c r="D154" s="214" t="str">
        <f>IF(TR_6RecyclingArranger[[#This Row],[ID_EC]]="","",INDEX(TR_5ExemptionClaim[End Market Name],MATCH(TR_6RecyclingArranger[[#This Row],[ID_EC]],TR_5ExemptionClaim[ID_EC],0)))</f>
        <v/>
      </c>
      <c r="E154" s="214" t="str">
        <f>IF(TR_6RecyclingArranger[[#This Row],[ID_EC]]="","",INDEX(TR_5ExemptionClaim[Collection or Transportation Service Provider Name],MATCH(TR_6RecyclingArranger[[#This Row],[ID_EC]],TR_5ExemptionClaim[ID_EC],0)))</f>
        <v/>
      </c>
      <c r="F154" s="214" t="str">
        <f>IF(TR_6RecyclingArranger[[#This Row],[ID_EC]]="","",IF(INDEX(TR_5ExemptionClaim[CRPF name],MATCH(TR_6RecyclingArranger[[#This Row],[ID_EC]],TR_5ExemptionClaim[ID_EC],0))=0,"None",INDEX(TR_5ExemptionClaim[CRPF name],MATCH(TR_6RecyclingArranger[[#This Row],[ID_EC]],TR_5ExemptionClaim[ID_EC],0))))</f>
        <v/>
      </c>
      <c r="G154" s="45"/>
      <c r="H154" s="108"/>
      <c r="I154" s="47"/>
      <c r="J154" s="48"/>
      <c r="K154" s="47"/>
      <c r="L154" s="79">
        <f>IF(COUNTIFS(TR_6RecyclingArranger[ID_EC],TR_6RecyclingArranger[[#This Row],[ID_EC]],TR_6RecyclingArranger[Name of Third-Party Recycling Arranger],TR_6RecyclingArranger[[#This Row],[Name of Third-Party Recycling Arranger]])&gt;1,1,0)</f>
        <v>0</v>
      </c>
      <c r="M154" s="79">
        <f>IF(TR_6RecyclingArranger[[#This Row],[ID_EC]]="",0,IFERROR(0*MATCH(TR_6RecyclingArranger[[#This Row],[ID_EC]],TR_5ExemptionClaim[Lookup: for arranger tab],0),1))</f>
        <v>0</v>
      </c>
      <c r="N154" s="79">
        <f>IF(TR_6RecyclingArranger[[#This Row],[ID_EC]]="",0,IF(COUNTA(TR_6RecyclingArranger[[#This Row],[Name of Third-Party Recycling Arranger]],TR_6RecyclingArranger[[#This Row],[Pounds of Producer''s Material Recycled by this Recycling Arranger]:[Recycling Arranger Contact Email]])=7,0,1))</f>
        <v>0</v>
      </c>
      <c r="O154" s="79">
        <f>IF(TR_6RecyclingArranger[[#This Row],[ID_EC]]&lt;&gt;"",0,IF(COUNTA(TR_6RecyclingArranger[[#This Row],[Name of Third-Party Recycling Arranger]],TR_6RecyclingArranger[[#This Row],[Pounds of Producer''s Material Recycled by this Recycling Arranger]:[Recycling Arranger Contact Email]])&gt;0,1,0))</f>
        <v>0</v>
      </c>
      <c r="P154" s="79">
        <f>IF(TR_6RecyclingArranger[[#This Row],[Lookup: pounds (this table)]]&gt;TR_6RecyclingArranger[[#This Row],[Lookup: pounds (5B tab)]],1,0)</f>
        <v>0</v>
      </c>
      <c r="Q154" s="77">
        <f>SUMIFS(TR_6RecyclingArranger[Pounds of Producer''s Material Recycled by this Recycling Arranger],TR_6RecyclingArranger[ID_EC],TR_6RecyclingArranger[[#This Row],[ID_EC]])</f>
        <v>0</v>
      </c>
      <c r="R154" s="77">
        <f>IFERROR(INDEX(TR_5ExemptionClaim[How many of the pounds recycled through this pathway were supplied by this producer?],MATCH(TR_6RecyclingArranger[[#This Row],[ID_EC]],TR_5ExemptionClaim[ID_EC],0)),0)</f>
        <v>0</v>
      </c>
      <c r="S154" s="80" t="str">
        <f t="shared" si="2"/>
        <v/>
      </c>
      <c r="T154" s="40"/>
      <c r="U154" s="58"/>
    </row>
    <row r="155" spans="1:21" ht="30.75" customHeight="1" x14ac:dyDescent="0.2">
      <c r="A155" s="82" t="s">
        <v>539</v>
      </c>
      <c r="B155" s="46"/>
      <c r="C155" s="113"/>
      <c r="D155" s="214" t="str">
        <f>IF(TR_6RecyclingArranger[[#This Row],[ID_EC]]="","",INDEX(TR_5ExemptionClaim[End Market Name],MATCH(TR_6RecyclingArranger[[#This Row],[ID_EC]],TR_5ExemptionClaim[ID_EC],0)))</f>
        <v/>
      </c>
      <c r="E155" s="214" t="str">
        <f>IF(TR_6RecyclingArranger[[#This Row],[ID_EC]]="","",INDEX(TR_5ExemptionClaim[Collection or Transportation Service Provider Name],MATCH(TR_6RecyclingArranger[[#This Row],[ID_EC]],TR_5ExemptionClaim[ID_EC],0)))</f>
        <v/>
      </c>
      <c r="F155" s="214" t="str">
        <f>IF(TR_6RecyclingArranger[[#This Row],[ID_EC]]="","",IF(INDEX(TR_5ExemptionClaim[CRPF name],MATCH(TR_6RecyclingArranger[[#This Row],[ID_EC]],TR_5ExemptionClaim[ID_EC],0))=0,"None",INDEX(TR_5ExemptionClaim[CRPF name],MATCH(TR_6RecyclingArranger[[#This Row],[ID_EC]],TR_5ExemptionClaim[ID_EC],0))))</f>
        <v/>
      </c>
      <c r="G155" s="45"/>
      <c r="H155" s="108"/>
      <c r="I155" s="47"/>
      <c r="J155" s="48"/>
      <c r="K155" s="47"/>
      <c r="L155" s="79">
        <f>IF(COUNTIFS(TR_6RecyclingArranger[ID_EC],TR_6RecyclingArranger[[#This Row],[ID_EC]],TR_6RecyclingArranger[Name of Third-Party Recycling Arranger],TR_6RecyclingArranger[[#This Row],[Name of Third-Party Recycling Arranger]])&gt;1,1,0)</f>
        <v>0</v>
      </c>
      <c r="M155" s="79">
        <f>IF(TR_6RecyclingArranger[[#This Row],[ID_EC]]="",0,IFERROR(0*MATCH(TR_6RecyclingArranger[[#This Row],[ID_EC]],TR_5ExemptionClaim[Lookup: for arranger tab],0),1))</f>
        <v>0</v>
      </c>
      <c r="N155" s="79">
        <f>IF(TR_6RecyclingArranger[[#This Row],[ID_EC]]="",0,IF(COUNTA(TR_6RecyclingArranger[[#This Row],[Name of Third-Party Recycling Arranger]],TR_6RecyclingArranger[[#This Row],[Pounds of Producer''s Material Recycled by this Recycling Arranger]:[Recycling Arranger Contact Email]])=7,0,1))</f>
        <v>0</v>
      </c>
      <c r="O155" s="79">
        <f>IF(TR_6RecyclingArranger[[#This Row],[ID_EC]]&lt;&gt;"",0,IF(COUNTA(TR_6RecyclingArranger[[#This Row],[Name of Third-Party Recycling Arranger]],TR_6RecyclingArranger[[#This Row],[Pounds of Producer''s Material Recycled by this Recycling Arranger]:[Recycling Arranger Contact Email]])&gt;0,1,0))</f>
        <v>0</v>
      </c>
      <c r="P155" s="79">
        <f>IF(TR_6RecyclingArranger[[#This Row],[Lookup: pounds (this table)]]&gt;TR_6RecyclingArranger[[#This Row],[Lookup: pounds (5B tab)]],1,0)</f>
        <v>0</v>
      </c>
      <c r="Q155" s="77">
        <f>SUMIFS(TR_6RecyclingArranger[Pounds of Producer''s Material Recycled by this Recycling Arranger],TR_6RecyclingArranger[ID_EC],TR_6RecyclingArranger[[#This Row],[ID_EC]])</f>
        <v>0</v>
      </c>
      <c r="R155" s="77">
        <f>IFERROR(INDEX(TR_5ExemptionClaim[How many of the pounds recycled through this pathway were supplied by this producer?],MATCH(TR_6RecyclingArranger[[#This Row],[ID_EC]],TR_5ExemptionClaim[ID_EC],0)),0)</f>
        <v>0</v>
      </c>
      <c r="S155" s="80" t="str">
        <f t="shared" si="2"/>
        <v/>
      </c>
      <c r="T155" s="40"/>
      <c r="U155" s="58"/>
    </row>
    <row r="156" spans="1:21" ht="30.75" customHeight="1" x14ac:dyDescent="0.2">
      <c r="A156" s="82" t="s">
        <v>540</v>
      </c>
      <c r="B156" s="46"/>
      <c r="C156" s="113"/>
      <c r="D156" s="214" t="str">
        <f>IF(TR_6RecyclingArranger[[#This Row],[ID_EC]]="","",INDEX(TR_5ExemptionClaim[End Market Name],MATCH(TR_6RecyclingArranger[[#This Row],[ID_EC]],TR_5ExemptionClaim[ID_EC],0)))</f>
        <v/>
      </c>
      <c r="E156" s="214" t="str">
        <f>IF(TR_6RecyclingArranger[[#This Row],[ID_EC]]="","",INDEX(TR_5ExemptionClaim[Collection or Transportation Service Provider Name],MATCH(TR_6RecyclingArranger[[#This Row],[ID_EC]],TR_5ExemptionClaim[ID_EC],0)))</f>
        <v/>
      </c>
      <c r="F156" s="214" t="str">
        <f>IF(TR_6RecyclingArranger[[#This Row],[ID_EC]]="","",IF(INDEX(TR_5ExemptionClaim[CRPF name],MATCH(TR_6RecyclingArranger[[#This Row],[ID_EC]],TR_5ExemptionClaim[ID_EC],0))=0,"None",INDEX(TR_5ExemptionClaim[CRPF name],MATCH(TR_6RecyclingArranger[[#This Row],[ID_EC]],TR_5ExemptionClaim[ID_EC],0))))</f>
        <v/>
      </c>
      <c r="G156" s="45"/>
      <c r="H156" s="108"/>
      <c r="I156" s="47"/>
      <c r="J156" s="48"/>
      <c r="K156" s="47"/>
      <c r="L156" s="79">
        <f>IF(COUNTIFS(TR_6RecyclingArranger[ID_EC],TR_6RecyclingArranger[[#This Row],[ID_EC]],TR_6RecyclingArranger[Name of Third-Party Recycling Arranger],TR_6RecyclingArranger[[#This Row],[Name of Third-Party Recycling Arranger]])&gt;1,1,0)</f>
        <v>0</v>
      </c>
      <c r="M156" s="79">
        <f>IF(TR_6RecyclingArranger[[#This Row],[ID_EC]]="",0,IFERROR(0*MATCH(TR_6RecyclingArranger[[#This Row],[ID_EC]],TR_5ExemptionClaim[Lookup: for arranger tab],0),1))</f>
        <v>0</v>
      </c>
      <c r="N156" s="79">
        <f>IF(TR_6RecyclingArranger[[#This Row],[ID_EC]]="",0,IF(COUNTA(TR_6RecyclingArranger[[#This Row],[Name of Third-Party Recycling Arranger]],TR_6RecyclingArranger[[#This Row],[Pounds of Producer''s Material Recycled by this Recycling Arranger]:[Recycling Arranger Contact Email]])=7,0,1))</f>
        <v>0</v>
      </c>
      <c r="O156" s="79">
        <f>IF(TR_6RecyclingArranger[[#This Row],[ID_EC]]&lt;&gt;"",0,IF(COUNTA(TR_6RecyclingArranger[[#This Row],[Name of Third-Party Recycling Arranger]],TR_6RecyclingArranger[[#This Row],[Pounds of Producer''s Material Recycled by this Recycling Arranger]:[Recycling Arranger Contact Email]])&gt;0,1,0))</f>
        <v>0</v>
      </c>
      <c r="P156" s="79">
        <f>IF(TR_6RecyclingArranger[[#This Row],[Lookup: pounds (this table)]]&gt;TR_6RecyclingArranger[[#This Row],[Lookup: pounds (5B tab)]],1,0)</f>
        <v>0</v>
      </c>
      <c r="Q156" s="77">
        <f>SUMIFS(TR_6RecyclingArranger[Pounds of Producer''s Material Recycled by this Recycling Arranger],TR_6RecyclingArranger[ID_EC],TR_6RecyclingArranger[[#This Row],[ID_EC]])</f>
        <v>0</v>
      </c>
      <c r="R156" s="77">
        <f>IFERROR(INDEX(TR_5ExemptionClaim[How many of the pounds recycled through this pathway were supplied by this producer?],MATCH(TR_6RecyclingArranger[[#This Row],[ID_EC]],TR_5ExemptionClaim[ID_EC],0)),0)</f>
        <v>0</v>
      </c>
      <c r="S156" s="80" t="str">
        <f t="shared" si="2"/>
        <v/>
      </c>
      <c r="T156" s="40"/>
      <c r="U156" s="58"/>
    </row>
    <row r="157" spans="1:21" ht="30.75" customHeight="1" x14ac:dyDescent="0.2">
      <c r="A157" s="82" t="s">
        <v>541</v>
      </c>
      <c r="B157" s="46"/>
      <c r="C157" s="113"/>
      <c r="D157" s="214" t="str">
        <f>IF(TR_6RecyclingArranger[[#This Row],[ID_EC]]="","",INDEX(TR_5ExemptionClaim[End Market Name],MATCH(TR_6RecyclingArranger[[#This Row],[ID_EC]],TR_5ExemptionClaim[ID_EC],0)))</f>
        <v/>
      </c>
      <c r="E157" s="214" t="str">
        <f>IF(TR_6RecyclingArranger[[#This Row],[ID_EC]]="","",INDEX(TR_5ExemptionClaim[Collection or Transportation Service Provider Name],MATCH(TR_6RecyclingArranger[[#This Row],[ID_EC]],TR_5ExemptionClaim[ID_EC],0)))</f>
        <v/>
      </c>
      <c r="F157" s="214" t="str">
        <f>IF(TR_6RecyclingArranger[[#This Row],[ID_EC]]="","",IF(INDEX(TR_5ExemptionClaim[CRPF name],MATCH(TR_6RecyclingArranger[[#This Row],[ID_EC]],TR_5ExemptionClaim[ID_EC],0))=0,"None",INDEX(TR_5ExemptionClaim[CRPF name],MATCH(TR_6RecyclingArranger[[#This Row],[ID_EC]],TR_5ExemptionClaim[ID_EC],0))))</f>
        <v/>
      </c>
      <c r="G157" s="45"/>
      <c r="H157" s="108"/>
      <c r="I157" s="47"/>
      <c r="J157" s="48"/>
      <c r="K157" s="47"/>
      <c r="L157" s="79">
        <f>IF(COUNTIFS(TR_6RecyclingArranger[ID_EC],TR_6RecyclingArranger[[#This Row],[ID_EC]],TR_6RecyclingArranger[Name of Third-Party Recycling Arranger],TR_6RecyclingArranger[[#This Row],[Name of Third-Party Recycling Arranger]])&gt;1,1,0)</f>
        <v>0</v>
      </c>
      <c r="M157" s="79">
        <f>IF(TR_6RecyclingArranger[[#This Row],[ID_EC]]="",0,IFERROR(0*MATCH(TR_6RecyclingArranger[[#This Row],[ID_EC]],TR_5ExemptionClaim[Lookup: for arranger tab],0),1))</f>
        <v>0</v>
      </c>
      <c r="N157" s="79">
        <f>IF(TR_6RecyclingArranger[[#This Row],[ID_EC]]="",0,IF(COUNTA(TR_6RecyclingArranger[[#This Row],[Name of Third-Party Recycling Arranger]],TR_6RecyclingArranger[[#This Row],[Pounds of Producer''s Material Recycled by this Recycling Arranger]:[Recycling Arranger Contact Email]])=7,0,1))</f>
        <v>0</v>
      </c>
      <c r="O157" s="79">
        <f>IF(TR_6RecyclingArranger[[#This Row],[ID_EC]]&lt;&gt;"",0,IF(COUNTA(TR_6RecyclingArranger[[#This Row],[Name of Third-Party Recycling Arranger]],TR_6RecyclingArranger[[#This Row],[Pounds of Producer''s Material Recycled by this Recycling Arranger]:[Recycling Arranger Contact Email]])&gt;0,1,0))</f>
        <v>0</v>
      </c>
      <c r="P157" s="79">
        <f>IF(TR_6RecyclingArranger[[#This Row],[Lookup: pounds (this table)]]&gt;TR_6RecyclingArranger[[#This Row],[Lookup: pounds (5B tab)]],1,0)</f>
        <v>0</v>
      </c>
      <c r="Q157" s="77">
        <f>SUMIFS(TR_6RecyclingArranger[Pounds of Producer''s Material Recycled by this Recycling Arranger],TR_6RecyclingArranger[ID_EC],TR_6RecyclingArranger[[#This Row],[ID_EC]])</f>
        <v>0</v>
      </c>
      <c r="R157" s="77">
        <f>IFERROR(INDEX(TR_5ExemptionClaim[How many of the pounds recycled through this pathway were supplied by this producer?],MATCH(TR_6RecyclingArranger[[#This Row],[ID_EC]],TR_5ExemptionClaim[ID_EC],0)),0)</f>
        <v>0</v>
      </c>
      <c r="S157" s="80" t="str">
        <f t="shared" si="2"/>
        <v/>
      </c>
      <c r="T157" s="40"/>
      <c r="U157" s="58"/>
    </row>
    <row r="158" spans="1:21" ht="30.75" customHeight="1" x14ac:dyDescent="0.2">
      <c r="A158" s="82" t="s">
        <v>542</v>
      </c>
      <c r="B158" s="46"/>
      <c r="C158" s="113"/>
      <c r="D158" s="214" t="str">
        <f>IF(TR_6RecyclingArranger[[#This Row],[ID_EC]]="","",INDEX(TR_5ExemptionClaim[End Market Name],MATCH(TR_6RecyclingArranger[[#This Row],[ID_EC]],TR_5ExemptionClaim[ID_EC],0)))</f>
        <v/>
      </c>
      <c r="E158" s="214" t="str">
        <f>IF(TR_6RecyclingArranger[[#This Row],[ID_EC]]="","",INDEX(TR_5ExemptionClaim[Collection or Transportation Service Provider Name],MATCH(TR_6RecyclingArranger[[#This Row],[ID_EC]],TR_5ExemptionClaim[ID_EC],0)))</f>
        <v/>
      </c>
      <c r="F158" s="214" t="str">
        <f>IF(TR_6RecyclingArranger[[#This Row],[ID_EC]]="","",IF(INDEX(TR_5ExemptionClaim[CRPF name],MATCH(TR_6RecyclingArranger[[#This Row],[ID_EC]],TR_5ExemptionClaim[ID_EC],0))=0,"None",INDEX(TR_5ExemptionClaim[CRPF name],MATCH(TR_6RecyclingArranger[[#This Row],[ID_EC]],TR_5ExemptionClaim[ID_EC],0))))</f>
        <v/>
      </c>
      <c r="G158" s="45"/>
      <c r="H158" s="108"/>
      <c r="I158" s="47"/>
      <c r="J158" s="48"/>
      <c r="K158" s="47"/>
      <c r="L158" s="79">
        <f>IF(COUNTIFS(TR_6RecyclingArranger[ID_EC],TR_6RecyclingArranger[[#This Row],[ID_EC]],TR_6RecyclingArranger[Name of Third-Party Recycling Arranger],TR_6RecyclingArranger[[#This Row],[Name of Third-Party Recycling Arranger]])&gt;1,1,0)</f>
        <v>0</v>
      </c>
      <c r="M158" s="79">
        <f>IF(TR_6RecyclingArranger[[#This Row],[ID_EC]]="",0,IFERROR(0*MATCH(TR_6RecyclingArranger[[#This Row],[ID_EC]],TR_5ExemptionClaim[Lookup: for arranger tab],0),1))</f>
        <v>0</v>
      </c>
      <c r="N158" s="79">
        <f>IF(TR_6RecyclingArranger[[#This Row],[ID_EC]]="",0,IF(COUNTA(TR_6RecyclingArranger[[#This Row],[Name of Third-Party Recycling Arranger]],TR_6RecyclingArranger[[#This Row],[Pounds of Producer''s Material Recycled by this Recycling Arranger]:[Recycling Arranger Contact Email]])=7,0,1))</f>
        <v>0</v>
      </c>
      <c r="O158" s="79">
        <f>IF(TR_6RecyclingArranger[[#This Row],[ID_EC]]&lt;&gt;"",0,IF(COUNTA(TR_6RecyclingArranger[[#This Row],[Name of Third-Party Recycling Arranger]],TR_6RecyclingArranger[[#This Row],[Pounds of Producer''s Material Recycled by this Recycling Arranger]:[Recycling Arranger Contact Email]])&gt;0,1,0))</f>
        <v>0</v>
      </c>
      <c r="P158" s="79">
        <f>IF(TR_6RecyclingArranger[[#This Row],[Lookup: pounds (this table)]]&gt;TR_6RecyclingArranger[[#This Row],[Lookup: pounds (5B tab)]],1,0)</f>
        <v>0</v>
      </c>
      <c r="Q158" s="77">
        <f>SUMIFS(TR_6RecyclingArranger[Pounds of Producer''s Material Recycled by this Recycling Arranger],TR_6RecyclingArranger[ID_EC],TR_6RecyclingArranger[[#This Row],[ID_EC]])</f>
        <v>0</v>
      </c>
      <c r="R158" s="77">
        <f>IFERROR(INDEX(TR_5ExemptionClaim[How many of the pounds recycled through this pathway were supplied by this producer?],MATCH(TR_6RecyclingArranger[[#This Row],[ID_EC]],TR_5ExemptionClaim[ID_EC],0)),0)</f>
        <v>0</v>
      </c>
      <c r="S158" s="80" t="str">
        <f t="shared" si="2"/>
        <v/>
      </c>
      <c r="T158" s="40"/>
      <c r="U158" s="58"/>
    </row>
    <row r="159" spans="1:21" ht="30.75" customHeight="1" x14ac:dyDescent="0.2">
      <c r="A159" s="82" t="s">
        <v>543</v>
      </c>
      <c r="B159" s="46"/>
      <c r="C159" s="113"/>
      <c r="D159" s="214" t="str">
        <f>IF(TR_6RecyclingArranger[[#This Row],[ID_EC]]="","",INDEX(TR_5ExemptionClaim[End Market Name],MATCH(TR_6RecyclingArranger[[#This Row],[ID_EC]],TR_5ExemptionClaim[ID_EC],0)))</f>
        <v/>
      </c>
      <c r="E159" s="214" t="str">
        <f>IF(TR_6RecyclingArranger[[#This Row],[ID_EC]]="","",INDEX(TR_5ExemptionClaim[Collection or Transportation Service Provider Name],MATCH(TR_6RecyclingArranger[[#This Row],[ID_EC]],TR_5ExemptionClaim[ID_EC],0)))</f>
        <v/>
      </c>
      <c r="F159" s="214" t="str">
        <f>IF(TR_6RecyclingArranger[[#This Row],[ID_EC]]="","",IF(INDEX(TR_5ExemptionClaim[CRPF name],MATCH(TR_6RecyclingArranger[[#This Row],[ID_EC]],TR_5ExemptionClaim[ID_EC],0))=0,"None",INDEX(TR_5ExemptionClaim[CRPF name],MATCH(TR_6RecyclingArranger[[#This Row],[ID_EC]],TR_5ExemptionClaim[ID_EC],0))))</f>
        <v/>
      </c>
      <c r="G159" s="45"/>
      <c r="H159" s="108"/>
      <c r="I159" s="47"/>
      <c r="J159" s="48"/>
      <c r="K159" s="47"/>
      <c r="L159" s="79">
        <f>IF(COUNTIFS(TR_6RecyclingArranger[ID_EC],TR_6RecyclingArranger[[#This Row],[ID_EC]],TR_6RecyclingArranger[Name of Third-Party Recycling Arranger],TR_6RecyclingArranger[[#This Row],[Name of Third-Party Recycling Arranger]])&gt;1,1,0)</f>
        <v>0</v>
      </c>
      <c r="M159" s="79">
        <f>IF(TR_6RecyclingArranger[[#This Row],[ID_EC]]="",0,IFERROR(0*MATCH(TR_6RecyclingArranger[[#This Row],[ID_EC]],TR_5ExemptionClaim[Lookup: for arranger tab],0),1))</f>
        <v>0</v>
      </c>
      <c r="N159" s="79">
        <f>IF(TR_6RecyclingArranger[[#This Row],[ID_EC]]="",0,IF(COUNTA(TR_6RecyclingArranger[[#This Row],[Name of Third-Party Recycling Arranger]],TR_6RecyclingArranger[[#This Row],[Pounds of Producer''s Material Recycled by this Recycling Arranger]:[Recycling Arranger Contact Email]])=7,0,1))</f>
        <v>0</v>
      </c>
      <c r="O159" s="79">
        <f>IF(TR_6RecyclingArranger[[#This Row],[ID_EC]]&lt;&gt;"",0,IF(COUNTA(TR_6RecyclingArranger[[#This Row],[Name of Third-Party Recycling Arranger]],TR_6RecyclingArranger[[#This Row],[Pounds of Producer''s Material Recycled by this Recycling Arranger]:[Recycling Arranger Contact Email]])&gt;0,1,0))</f>
        <v>0</v>
      </c>
      <c r="P159" s="79">
        <f>IF(TR_6RecyclingArranger[[#This Row],[Lookup: pounds (this table)]]&gt;TR_6RecyclingArranger[[#This Row],[Lookup: pounds (5B tab)]],1,0)</f>
        <v>0</v>
      </c>
      <c r="Q159" s="77">
        <f>SUMIFS(TR_6RecyclingArranger[Pounds of Producer''s Material Recycled by this Recycling Arranger],TR_6RecyclingArranger[ID_EC],TR_6RecyclingArranger[[#This Row],[ID_EC]])</f>
        <v>0</v>
      </c>
      <c r="R159" s="77">
        <f>IFERROR(INDEX(TR_5ExemptionClaim[How many of the pounds recycled through this pathway were supplied by this producer?],MATCH(TR_6RecyclingArranger[[#This Row],[ID_EC]],TR_5ExemptionClaim[ID_EC],0)),0)</f>
        <v>0</v>
      </c>
      <c r="S159" s="80" t="str">
        <f t="shared" si="2"/>
        <v/>
      </c>
      <c r="T159" s="40"/>
      <c r="U159" s="58"/>
    </row>
    <row r="160" spans="1:21" ht="30.75" customHeight="1" x14ac:dyDescent="0.2">
      <c r="A160" s="82" t="s">
        <v>544</v>
      </c>
      <c r="B160" s="46"/>
      <c r="C160" s="113"/>
      <c r="D160" s="214" t="str">
        <f>IF(TR_6RecyclingArranger[[#This Row],[ID_EC]]="","",INDEX(TR_5ExemptionClaim[End Market Name],MATCH(TR_6RecyclingArranger[[#This Row],[ID_EC]],TR_5ExemptionClaim[ID_EC],0)))</f>
        <v/>
      </c>
      <c r="E160" s="214" t="str">
        <f>IF(TR_6RecyclingArranger[[#This Row],[ID_EC]]="","",INDEX(TR_5ExemptionClaim[Collection or Transportation Service Provider Name],MATCH(TR_6RecyclingArranger[[#This Row],[ID_EC]],TR_5ExemptionClaim[ID_EC],0)))</f>
        <v/>
      </c>
      <c r="F160" s="214" t="str">
        <f>IF(TR_6RecyclingArranger[[#This Row],[ID_EC]]="","",IF(INDEX(TR_5ExemptionClaim[CRPF name],MATCH(TR_6RecyclingArranger[[#This Row],[ID_EC]],TR_5ExemptionClaim[ID_EC],0))=0,"None",INDEX(TR_5ExemptionClaim[CRPF name],MATCH(TR_6RecyclingArranger[[#This Row],[ID_EC]],TR_5ExemptionClaim[ID_EC],0))))</f>
        <v/>
      </c>
      <c r="G160" s="45"/>
      <c r="H160" s="108"/>
      <c r="I160" s="47"/>
      <c r="J160" s="48"/>
      <c r="K160" s="47"/>
      <c r="L160" s="79">
        <f>IF(COUNTIFS(TR_6RecyclingArranger[ID_EC],TR_6RecyclingArranger[[#This Row],[ID_EC]],TR_6RecyclingArranger[Name of Third-Party Recycling Arranger],TR_6RecyclingArranger[[#This Row],[Name of Third-Party Recycling Arranger]])&gt;1,1,0)</f>
        <v>0</v>
      </c>
      <c r="M160" s="79">
        <f>IF(TR_6RecyclingArranger[[#This Row],[ID_EC]]="",0,IFERROR(0*MATCH(TR_6RecyclingArranger[[#This Row],[ID_EC]],TR_5ExemptionClaim[Lookup: for arranger tab],0),1))</f>
        <v>0</v>
      </c>
      <c r="N160" s="79">
        <f>IF(TR_6RecyclingArranger[[#This Row],[ID_EC]]="",0,IF(COUNTA(TR_6RecyclingArranger[[#This Row],[Name of Third-Party Recycling Arranger]],TR_6RecyclingArranger[[#This Row],[Pounds of Producer''s Material Recycled by this Recycling Arranger]:[Recycling Arranger Contact Email]])=7,0,1))</f>
        <v>0</v>
      </c>
      <c r="O160" s="79">
        <f>IF(TR_6RecyclingArranger[[#This Row],[ID_EC]]&lt;&gt;"",0,IF(COUNTA(TR_6RecyclingArranger[[#This Row],[Name of Third-Party Recycling Arranger]],TR_6RecyclingArranger[[#This Row],[Pounds of Producer''s Material Recycled by this Recycling Arranger]:[Recycling Arranger Contact Email]])&gt;0,1,0))</f>
        <v>0</v>
      </c>
      <c r="P160" s="79">
        <f>IF(TR_6RecyclingArranger[[#This Row],[Lookup: pounds (this table)]]&gt;TR_6RecyclingArranger[[#This Row],[Lookup: pounds (5B tab)]],1,0)</f>
        <v>0</v>
      </c>
      <c r="Q160" s="77">
        <f>SUMIFS(TR_6RecyclingArranger[Pounds of Producer''s Material Recycled by this Recycling Arranger],TR_6RecyclingArranger[ID_EC],TR_6RecyclingArranger[[#This Row],[ID_EC]])</f>
        <v>0</v>
      </c>
      <c r="R160" s="77">
        <f>IFERROR(INDEX(TR_5ExemptionClaim[How many of the pounds recycled through this pathway were supplied by this producer?],MATCH(TR_6RecyclingArranger[[#This Row],[ID_EC]],TR_5ExemptionClaim[ID_EC],0)),0)</f>
        <v>0</v>
      </c>
      <c r="S160" s="80" t="str">
        <f t="shared" si="2"/>
        <v/>
      </c>
      <c r="T160" s="40"/>
      <c r="U160" s="58"/>
    </row>
    <row r="161" spans="1:21" ht="30.75" customHeight="1" x14ac:dyDescent="0.2">
      <c r="A161" s="82" t="s">
        <v>545</v>
      </c>
      <c r="B161" s="46"/>
      <c r="C161" s="113"/>
      <c r="D161" s="214" t="str">
        <f>IF(TR_6RecyclingArranger[[#This Row],[ID_EC]]="","",INDEX(TR_5ExemptionClaim[End Market Name],MATCH(TR_6RecyclingArranger[[#This Row],[ID_EC]],TR_5ExemptionClaim[ID_EC],0)))</f>
        <v/>
      </c>
      <c r="E161" s="214" t="str">
        <f>IF(TR_6RecyclingArranger[[#This Row],[ID_EC]]="","",INDEX(TR_5ExemptionClaim[Collection or Transportation Service Provider Name],MATCH(TR_6RecyclingArranger[[#This Row],[ID_EC]],TR_5ExemptionClaim[ID_EC],0)))</f>
        <v/>
      </c>
      <c r="F161" s="214" t="str">
        <f>IF(TR_6RecyclingArranger[[#This Row],[ID_EC]]="","",IF(INDEX(TR_5ExemptionClaim[CRPF name],MATCH(TR_6RecyclingArranger[[#This Row],[ID_EC]],TR_5ExemptionClaim[ID_EC],0))=0,"None",INDEX(TR_5ExemptionClaim[CRPF name],MATCH(TR_6RecyclingArranger[[#This Row],[ID_EC]],TR_5ExemptionClaim[ID_EC],0))))</f>
        <v/>
      </c>
      <c r="G161" s="45"/>
      <c r="H161" s="108"/>
      <c r="I161" s="47"/>
      <c r="J161" s="48"/>
      <c r="K161" s="47"/>
      <c r="L161" s="79">
        <f>IF(COUNTIFS(TR_6RecyclingArranger[ID_EC],TR_6RecyclingArranger[[#This Row],[ID_EC]],TR_6RecyclingArranger[Name of Third-Party Recycling Arranger],TR_6RecyclingArranger[[#This Row],[Name of Third-Party Recycling Arranger]])&gt;1,1,0)</f>
        <v>0</v>
      </c>
      <c r="M161" s="79">
        <f>IF(TR_6RecyclingArranger[[#This Row],[ID_EC]]="",0,IFERROR(0*MATCH(TR_6RecyclingArranger[[#This Row],[ID_EC]],TR_5ExemptionClaim[Lookup: for arranger tab],0),1))</f>
        <v>0</v>
      </c>
      <c r="N161" s="79">
        <f>IF(TR_6RecyclingArranger[[#This Row],[ID_EC]]="",0,IF(COUNTA(TR_6RecyclingArranger[[#This Row],[Name of Third-Party Recycling Arranger]],TR_6RecyclingArranger[[#This Row],[Pounds of Producer''s Material Recycled by this Recycling Arranger]:[Recycling Arranger Contact Email]])=7,0,1))</f>
        <v>0</v>
      </c>
      <c r="O161" s="79">
        <f>IF(TR_6RecyclingArranger[[#This Row],[ID_EC]]&lt;&gt;"",0,IF(COUNTA(TR_6RecyclingArranger[[#This Row],[Name of Third-Party Recycling Arranger]],TR_6RecyclingArranger[[#This Row],[Pounds of Producer''s Material Recycled by this Recycling Arranger]:[Recycling Arranger Contact Email]])&gt;0,1,0))</f>
        <v>0</v>
      </c>
      <c r="P161" s="79">
        <f>IF(TR_6RecyclingArranger[[#This Row],[Lookup: pounds (this table)]]&gt;TR_6RecyclingArranger[[#This Row],[Lookup: pounds (5B tab)]],1,0)</f>
        <v>0</v>
      </c>
      <c r="Q161" s="77">
        <f>SUMIFS(TR_6RecyclingArranger[Pounds of Producer''s Material Recycled by this Recycling Arranger],TR_6RecyclingArranger[ID_EC],TR_6RecyclingArranger[[#This Row],[ID_EC]])</f>
        <v>0</v>
      </c>
      <c r="R161" s="77">
        <f>IFERROR(INDEX(TR_5ExemptionClaim[How many of the pounds recycled through this pathway were supplied by this producer?],MATCH(TR_6RecyclingArranger[[#This Row],[ID_EC]],TR_5ExemptionClaim[ID_EC],0)),0)</f>
        <v>0</v>
      </c>
      <c r="S161" s="80" t="str">
        <f t="shared" si="2"/>
        <v/>
      </c>
      <c r="T161" s="40"/>
      <c r="U161" s="58"/>
    </row>
    <row r="162" spans="1:21" ht="30.75" customHeight="1" x14ac:dyDescent="0.2">
      <c r="A162" s="82" t="s">
        <v>546</v>
      </c>
      <c r="B162" s="46"/>
      <c r="C162" s="113"/>
      <c r="D162" s="214" t="str">
        <f>IF(TR_6RecyclingArranger[[#This Row],[ID_EC]]="","",INDEX(TR_5ExemptionClaim[End Market Name],MATCH(TR_6RecyclingArranger[[#This Row],[ID_EC]],TR_5ExemptionClaim[ID_EC],0)))</f>
        <v/>
      </c>
      <c r="E162" s="214" t="str">
        <f>IF(TR_6RecyclingArranger[[#This Row],[ID_EC]]="","",INDEX(TR_5ExemptionClaim[Collection or Transportation Service Provider Name],MATCH(TR_6RecyclingArranger[[#This Row],[ID_EC]],TR_5ExemptionClaim[ID_EC],0)))</f>
        <v/>
      </c>
      <c r="F162" s="214" t="str">
        <f>IF(TR_6RecyclingArranger[[#This Row],[ID_EC]]="","",IF(INDEX(TR_5ExemptionClaim[CRPF name],MATCH(TR_6RecyclingArranger[[#This Row],[ID_EC]],TR_5ExemptionClaim[ID_EC],0))=0,"None",INDEX(TR_5ExemptionClaim[CRPF name],MATCH(TR_6RecyclingArranger[[#This Row],[ID_EC]],TR_5ExemptionClaim[ID_EC],0))))</f>
        <v/>
      </c>
      <c r="G162" s="45"/>
      <c r="H162" s="108"/>
      <c r="I162" s="47"/>
      <c r="J162" s="48"/>
      <c r="K162" s="47"/>
      <c r="L162" s="79">
        <f>IF(COUNTIFS(TR_6RecyclingArranger[ID_EC],TR_6RecyclingArranger[[#This Row],[ID_EC]],TR_6RecyclingArranger[Name of Third-Party Recycling Arranger],TR_6RecyclingArranger[[#This Row],[Name of Third-Party Recycling Arranger]])&gt;1,1,0)</f>
        <v>0</v>
      </c>
      <c r="M162" s="79">
        <f>IF(TR_6RecyclingArranger[[#This Row],[ID_EC]]="",0,IFERROR(0*MATCH(TR_6RecyclingArranger[[#This Row],[ID_EC]],TR_5ExemptionClaim[Lookup: for arranger tab],0),1))</f>
        <v>0</v>
      </c>
      <c r="N162" s="79">
        <f>IF(TR_6RecyclingArranger[[#This Row],[ID_EC]]="",0,IF(COUNTA(TR_6RecyclingArranger[[#This Row],[Name of Third-Party Recycling Arranger]],TR_6RecyclingArranger[[#This Row],[Pounds of Producer''s Material Recycled by this Recycling Arranger]:[Recycling Arranger Contact Email]])=7,0,1))</f>
        <v>0</v>
      </c>
      <c r="O162" s="79">
        <f>IF(TR_6RecyclingArranger[[#This Row],[ID_EC]]&lt;&gt;"",0,IF(COUNTA(TR_6RecyclingArranger[[#This Row],[Name of Third-Party Recycling Arranger]],TR_6RecyclingArranger[[#This Row],[Pounds of Producer''s Material Recycled by this Recycling Arranger]:[Recycling Arranger Contact Email]])&gt;0,1,0))</f>
        <v>0</v>
      </c>
      <c r="P162" s="79">
        <f>IF(TR_6RecyclingArranger[[#This Row],[Lookup: pounds (this table)]]&gt;TR_6RecyclingArranger[[#This Row],[Lookup: pounds (5B tab)]],1,0)</f>
        <v>0</v>
      </c>
      <c r="Q162" s="77">
        <f>SUMIFS(TR_6RecyclingArranger[Pounds of Producer''s Material Recycled by this Recycling Arranger],TR_6RecyclingArranger[ID_EC],TR_6RecyclingArranger[[#This Row],[ID_EC]])</f>
        <v>0</v>
      </c>
      <c r="R162" s="77">
        <f>IFERROR(INDEX(TR_5ExemptionClaim[How many of the pounds recycled through this pathway were supplied by this producer?],MATCH(TR_6RecyclingArranger[[#This Row],[ID_EC]],TR_5ExemptionClaim[ID_EC],0)),0)</f>
        <v>0</v>
      </c>
      <c r="S162" s="80" t="str">
        <f t="shared" si="2"/>
        <v/>
      </c>
      <c r="T162" s="40"/>
      <c r="U162" s="58"/>
    </row>
    <row r="163" spans="1:21" ht="30.75" customHeight="1" x14ac:dyDescent="0.2">
      <c r="A163" s="82" t="s">
        <v>547</v>
      </c>
      <c r="B163" s="46"/>
      <c r="C163" s="113"/>
      <c r="D163" s="214" t="str">
        <f>IF(TR_6RecyclingArranger[[#This Row],[ID_EC]]="","",INDEX(TR_5ExemptionClaim[End Market Name],MATCH(TR_6RecyclingArranger[[#This Row],[ID_EC]],TR_5ExemptionClaim[ID_EC],0)))</f>
        <v/>
      </c>
      <c r="E163" s="214" t="str">
        <f>IF(TR_6RecyclingArranger[[#This Row],[ID_EC]]="","",INDEX(TR_5ExemptionClaim[Collection or Transportation Service Provider Name],MATCH(TR_6RecyclingArranger[[#This Row],[ID_EC]],TR_5ExemptionClaim[ID_EC],0)))</f>
        <v/>
      </c>
      <c r="F163" s="214" t="str">
        <f>IF(TR_6RecyclingArranger[[#This Row],[ID_EC]]="","",IF(INDEX(TR_5ExemptionClaim[CRPF name],MATCH(TR_6RecyclingArranger[[#This Row],[ID_EC]],TR_5ExemptionClaim[ID_EC],0))=0,"None",INDEX(TR_5ExemptionClaim[CRPF name],MATCH(TR_6RecyclingArranger[[#This Row],[ID_EC]],TR_5ExemptionClaim[ID_EC],0))))</f>
        <v/>
      </c>
      <c r="G163" s="45"/>
      <c r="H163" s="108"/>
      <c r="I163" s="47"/>
      <c r="J163" s="48"/>
      <c r="K163" s="47"/>
      <c r="L163" s="79">
        <f>IF(COUNTIFS(TR_6RecyclingArranger[ID_EC],TR_6RecyclingArranger[[#This Row],[ID_EC]],TR_6RecyclingArranger[Name of Third-Party Recycling Arranger],TR_6RecyclingArranger[[#This Row],[Name of Third-Party Recycling Arranger]])&gt;1,1,0)</f>
        <v>0</v>
      </c>
      <c r="M163" s="79">
        <f>IF(TR_6RecyclingArranger[[#This Row],[ID_EC]]="",0,IFERROR(0*MATCH(TR_6RecyclingArranger[[#This Row],[ID_EC]],TR_5ExemptionClaim[Lookup: for arranger tab],0),1))</f>
        <v>0</v>
      </c>
      <c r="N163" s="79">
        <f>IF(TR_6RecyclingArranger[[#This Row],[ID_EC]]="",0,IF(COUNTA(TR_6RecyclingArranger[[#This Row],[Name of Third-Party Recycling Arranger]],TR_6RecyclingArranger[[#This Row],[Pounds of Producer''s Material Recycled by this Recycling Arranger]:[Recycling Arranger Contact Email]])=7,0,1))</f>
        <v>0</v>
      </c>
      <c r="O163" s="79">
        <f>IF(TR_6RecyclingArranger[[#This Row],[ID_EC]]&lt;&gt;"",0,IF(COUNTA(TR_6RecyclingArranger[[#This Row],[Name of Third-Party Recycling Arranger]],TR_6RecyclingArranger[[#This Row],[Pounds of Producer''s Material Recycled by this Recycling Arranger]:[Recycling Arranger Contact Email]])&gt;0,1,0))</f>
        <v>0</v>
      </c>
      <c r="P163" s="79">
        <f>IF(TR_6RecyclingArranger[[#This Row],[Lookup: pounds (this table)]]&gt;TR_6RecyclingArranger[[#This Row],[Lookup: pounds (5B tab)]],1,0)</f>
        <v>0</v>
      </c>
      <c r="Q163" s="77">
        <f>SUMIFS(TR_6RecyclingArranger[Pounds of Producer''s Material Recycled by this Recycling Arranger],TR_6RecyclingArranger[ID_EC],TR_6RecyclingArranger[[#This Row],[ID_EC]])</f>
        <v>0</v>
      </c>
      <c r="R163" s="77">
        <f>IFERROR(INDEX(TR_5ExemptionClaim[How many of the pounds recycled through this pathway were supplied by this producer?],MATCH(TR_6RecyclingArranger[[#This Row],[ID_EC]],TR_5ExemptionClaim[ID_EC],0)),0)</f>
        <v>0</v>
      </c>
      <c r="S163" s="80" t="str">
        <f t="shared" si="2"/>
        <v/>
      </c>
      <c r="T163" s="40"/>
      <c r="U163" s="58"/>
    </row>
    <row r="164" spans="1:21" ht="30.75" customHeight="1" x14ac:dyDescent="0.2">
      <c r="A164" s="82" t="s">
        <v>548</v>
      </c>
      <c r="B164" s="46"/>
      <c r="C164" s="113"/>
      <c r="D164" s="214" t="str">
        <f>IF(TR_6RecyclingArranger[[#This Row],[ID_EC]]="","",INDEX(TR_5ExemptionClaim[End Market Name],MATCH(TR_6RecyclingArranger[[#This Row],[ID_EC]],TR_5ExemptionClaim[ID_EC],0)))</f>
        <v/>
      </c>
      <c r="E164" s="214" t="str">
        <f>IF(TR_6RecyclingArranger[[#This Row],[ID_EC]]="","",INDEX(TR_5ExemptionClaim[Collection or Transportation Service Provider Name],MATCH(TR_6RecyclingArranger[[#This Row],[ID_EC]],TR_5ExemptionClaim[ID_EC],0)))</f>
        <v/>
      </c>
      <c r="F164" s="214" t="str">
        <f>IF(TR_6RecyclingArranger[[#This Row],[ID_EC]]="","",IF(INDEX(TR_5ExemptionClaim[CRPF name],MATCH(TR_6RecyclingArranger[[#This Row],[ID_EC]],TR_5ExemptionClaim[ID_EC],0))=0,"None",INDEX(TR_5ExemptionClaim[CRPF name],MATCH(TR_6RecyclingArranger[[#This Row],[ID_EC]],TR_5ExemptionClaim[ID_EC],0))))</f>
        <v/>
      </c>
      <c r="G164" s="45"/>
      <c r="H164" s="108"/>
      <c r="I164" s="47"/>
      <c r="J164" s="48"/>
      <c r="K164" s="47"/>
      <c r="L164" s="79">
        <f>IF(COUNTIFS(TR_6RecyclingArranger[ID_EC],TR_6RecyclingArranger[[#This Row],[ID_EC]],TR_6RecyclingArranger[Name of Third-Party Recycling Arranger],TR_6RecyclingArranger[[#This Row],[Name of Third-Party Recycling Arranger]])&gt;1,1,0)</f>
        <v>0</v>
      </c>
      <c r="M164" s="79">
        <f>IF(TR_6RecyclingArranger[[#This Row],[ID_EC]]="",0,IFERROR(0*MATCH(TR_6RecyclingArranger[[#This Row],[ID_EC]],TR_5ExemptionClaim[Lookup: for arranger tab],0),1))</f>
        <v>0</v>
      </c>
      <c r="N164" s="79">
        <f>IF(TR_6RecyclingArranger[[#This Row],[ID_EC]]="",0,IF(COUNTA(TR_6RecyclingArranger[[#This Row],[Name of Third-Party Recycling Arranger]],TR_6RecyclingArranger[[#This Row],[Pounds of Producer''s Material Recycled by this Recycling Arranger]:[Recycling Arranger Contact Email]])=7,0,1))</f>
        <v>0</v>
      </c>
      <c r="O164" s="79">
        <f>IF(TR_6RecyclingArranger[[#This Row],[ID_EC]]&lt;&gt;"",0,IF(COUNTA(TR_6RecyclingArranger[[#This Row],[Name of Third-Party Recycling Arranger]],TR_6RecyclingArranger[[#This Row],[Pounds of Producer''s Material Recycled by this Recycling Arranger]:[Recycling Arranger Contact Email]])&gt;0,1,0))</f>
        <v>0</v>
      </c>
      <c r="P164" s="79">
        <f>IF(TR_6RecyclingArranger[[#This Row],[Lookup: pounds (this table)]]&gt;TR_6RecyclingArranger[[#This Row],[Lookup: pounds (5B tab)]],1,0)</f>
        <v>0</v>
      </c>
      <c r="Q164" s="77">
        <f>SUMIFS(TR_6RecyclingArranger[Pounds of Producer''s Material Recycled by this Recycling Arranger],TR_6RecyclingArranger[ID_EC],TR_6RecyclingArranger[[#This Row],[ID_EC]])</f>
        <v>0</v>
      </c>
      <c r="R164" s="77">
        <f>IFERROR(INDEX(TR_5ExemptionClaim[How many of the pounds recycled through this pathway were supplied by this producer?],MATCH(TR_6RecyclingArranger[[#This Row],[ID_EC]],TR_5ExemptionClaim[ID_EC],0)),0)</f>
        <v>0</v>
      </c>
      <c r="S164" s="80" t="str">
        <f t="shared" si="2"/>
        <v/>
      </c>
      <c r="T164" s="40"/>
      <c r="U164" s="58"/>
    </row>
    <row r="165" spans="1:21" ht="30.75" customHeight="1" x14ac:dyDescent="0.2">
      <c r="A165" s="82" t="s">
        <v>549</v>
      </c>
      <c r="B165" s="46"/>
      <c r="C165" s="113"/>
      <c r="D165" s="214" t="str">
        <f>IF(TR_6RecyclingArranger[[#This Row],[ID_EC]]="","",INDEX(TR_5ExemptionClaim[End Market Name],MATCH(TR_6RecyclingArranger[[#This Row],[ID_EC]],TR_5ExemptionClaim[ID_EC],0)))</f>
        <v/>
      </c>
      <c r="E165" s="214" t="str">
        <f>IF(TR_6RecyclingArranger[[#This Row],[ID_EC]]="","",INDEX(TR_5ExemptionClaim[Collection or Transportation Service Provider Name],MATCH(TR_6RecyclingArranger[[#This Row],[ID_EC]],TR_5ExemptionClaim[ID_EC],0)))</f>
        <v/>
      </c>
      <c r="F165" s="214" t="str">
        <f>IF(TR_6RecyclingArranger[[#This Row],[ID_EC]]="","",IF(INDEX(TR_5ExemptionClaim[CRPF name],MATCH(TR_6RecyclingArranger[[#This Row],[ID_EC]],TR_5ExemptionClaim[ID_EC],0))=0,"None",INDEX(TR_5ExemptionClaim[CRPF name],MATCH(TR_6RecyclingArranger[[#This Row],[ID_EC]],TR_5ExemptionClaim[ID_EC],0))))</f>
        <v/>
      </c>
      <c r="G165" s="45"/>
      <c r="H165" s="108"/>
      <c r="I165" s="47"/>
      <c r="J165" s="48"/>
      <c r="K165" s="47"/>
      <c r="L165" s="79">
        <f>IF(COUNTIFS(TR_6RecyclingArranger[ID_EC],TR_6RecyclingArranger[[#This Row],[ID_EC]],TR_6RecyclingArranger[Name of Third-Party Recycling Arranger],TR_6RecyclingArranger[[#This Row],[Name of Third-Party Recycling Arranger]])&gt;1,1,0)</f>
        <v>0</v>
      </c>
      <c r="M165" s="79">
        <f>IF(TR_6RecyclingArranger[[#This Row],[ID_EC]]="",0,IFERROR(0*MATCH(TR_6RecyclingArranger[[#This Row],[ID_EC]],TR_5ExemptionClaim[Lookup: for arranger tab],0),1))</f>
        <v>0</v>
      </c>
      <c r="N165" s="79">
        <f>IF(TR_6RecyclingArranger[[#This Row],[ID_EC]]="",0,IF(COUNTA(TR_6RecyclingArranger[[#This Row],[Name of Third-Party Recycling Arranger]],TR_6RecyclingArranger[[#This Row],[Pounds of Producer''s Material Recycled by this Recycling Arranger]:[Recycling Arranger Contact Email]])=7,0,1))</f>
        <v>0</v>
      </c>
      <c r="O165" s="79">
        <f>IF(TR_6RecyclingArranger[[#This Row],[ID_EC]]&lt;&gt;"",0,IF(COUNTA(TR_6RecyclingArranger[[#This Row],[Name of Third-Party Recycling Arranger]],TR_6RecyclingArranger[[#This Row],[Pounds of Producer''s Material Recycled by this Recycling Arranger]:[Recycling Arranger Contact Email]])&gt;0,1,0))</f>
        <v>0</v>
      </c>
      <c r="P165" s="79">
        <f>IF(TR_6RecyclingArranger[[#This Row],[Lookup: pounds (this table)]]&gt;TR_6RecyclingArranger[[#This Row],[Lookup: pounds (5B tab)]],1,0)</f>
        <v>0</v>
      </c>
      <c r="Q165" s="77">
        <f>SUMIFS(TR_6RecyclingArranger[Pounds of Producer''s Material Recycled by this Recycling Arranger],TR_6RecyclingArranger[ID_EC],TR_6RecyclingArranger[[#This Row],[ID_EC]])</f>
        <v>0</v>
      </c>
      <c r="R165" s="77">
        <f>IFERROR(INDEX(TR_5ExemptionClaim[How many of the pounds recycled through this pathway were supplied by this producer?],MATCH(TR_6RecyclingArranger[[#This Row],[ID_EC]],TR_5ExemptionClaim[ID_EC],0)),0)</f>
        <v>0</v>
      </c>
      <c r="S165" s="80" t="str">
        <f t="shared" si="2"/>
        <v/>
      </c>
      <c r="T165" s="40"/>
      <c r="U165" s="58"/>
    </row>
    <row r="166" spans="1:21" ht="30.75" customHeight="1" x14ac:dyDescent="0.2">
      <c r="A166" s="82" t="s">
        <v>550</v>
      </c>
      <c r="B166" s="46"/>
      <c r="C166" s="113"/>
      <c r="D166" s="214" t="str">
        <f>IF(TR_6RecyclingArranger[[#This Row],[ID_EC]]="","",INDEX(TR_5ExemptionClaim[End Market Name],MATCH(TR_6RecyclingArranger[[#This Row],[ID_EC]],TR_5ExemptionClaim[ID_EC],0)))</f>
        <v/>
      </c>
      <c r="E166" s="214" t="str">
        <f>IF(TR_6RecyclingArranger[[#This Row],[ID_EC]]="","",INDEX(TR_5ExemptionClaim[Collection or Transportation Service Provider Name],MATCH(TR_6RecyclingArranger[[#This Row],[ID_EC]],TR_5ExemptionClaim[ID_EC],0)))</f>
        <v/>
      </c>
      <c r="F166" s="214" t="str">
        <f>IF(TR_6RecyclingArranger[[#This Row],[ID_EC]]="","",IF(INDEX(TR_5ExemptionClaim[CRPF name],MATCH(TR_6RecyclingArranger[[#This Row],[ID_EC]],TR_5ExemptionClaim[ID_EC],0))=0,"None",INDEX(TR_5ExemptionClaim[CRPF name],MATCH(TR_6RecyclingArranger[[#This Row],[ID_EC]],TR_5ExemptionClaim[ID_EC],0))))</f>
        <v/>
      </c>
      <c r="G166" s="45"/>
      <c r="H166" s="108"/>
      <c r="I166" s="47"/>
      <c r="J166" s="48"/>
      <c r="K166" s="47"/>
      <c r="L166" s="79">
        <f>IF(COUNTIFS(TR_6RecyclingArranger[ID_EC],TR_6RecyclingArranger[[#This Row],[ID_EC]],TR_6RecyclingArranger[Name of Third-Party Recycling Arranger],TR_6RecyclingArranger[[#This Row],[Name of Third-Party Recycling Arranger]])&gt;1,1,0)</f>
        <v>0</v>
      </c>
      <c r="M166" s="79">
        <f>IF(TR_6RecyclingArranger[[#This Row],[ID_EC]]="",0,IFERROR(0*MATCH(TR_6RecyclingArranger[[#This Row],[ID_EC]],TR_5ExemptionClaim[Lookup: for arranger tab],0),1))</f>
        <v>0</v>
      </c>
      <c r="N166" s="79">
        <f>IF(TR_6RecyclingArranger[[#This Row],[ID_EC]]="",0,IF(COUNTA(TR_6RecyclingArranger[[#This Row],[Name of Third-Party Recycling Arranger]],TR_6RecyclingArranger[[#This Row],[Pounds of Producer''s Material Recycled by this Recycling Arranger]:[Recycling Arranger Contact Email]])=7,0,1))</f>
        <v>0</v>
      </c>
      <c r="O166" s="79">
        <f>IF(TR_6RecyclingArranger[[#This Row],[ID_EC]]&lt;&gt;"",0,IF(COUNTA(TR_6RecyclingArranger[[#This Row],[Name of Third-Party Recycling Arranger]],TR_6RecyclingArranger[[#This Row],[Pounds of Producer''s Material Recycled by this Recycling Arranger]:[Recycling Arranger Contact Email]])&gt;0,1,0))</f>
        <v>0</v>
      </c>
      <c r="P166" s="79">
        <f>IF(TR_6RecyclingArranger[[#This Row],[Lookup: pounds (this table)]]&gt;TR_6RecyclingArranger[[#This Row],[Lookup: pounds (5B tab)]],1,0)</f>
        <v>0</v>
      </c>
      <c r="Q166" s="77">
        <f>SUMIFS(TR_6RecyclingArranger[Pounds of Producer''s Material Recycled by this Recycling Arranger],TR_6RecyclingArranger[ID_EC],TR_6RecyclingArranger[[#This Row],[ID_EC]])</f>
        <v>0</v>
      </c>
      <c r="R166" s="77">
        <f>IFERROR(INDEX(TR_5ExemptionClaim[How many of the pounds recycled through this pathway were supplied by this producer?],MATCH(TR_6RecyclingArranger[[#This Row],[ID_EC]],TR_5ExemptionClaim[ID_EC],0)),0)</f>
        <v>0</v>
      </c>
      <c r="S166" s="80" t="str">
        <f t="shared" si="2"/>
        <v/>
      </c>
      <c r="T166" s="40"/>
      <c r="U166" s="58"/>
    </row>
    <row r="167" spans="1:21" ht="30.75" customHeight="1" x14ac:dyDescent="0.2">
      <c r="A167" s="82" t="s">
        <v>551</v>
      </c>
      <c r="B167" s="46"/>
      <c r="C167" s="113"/>
      <c r="D167" s="214" t="str">
        <f>IF(TR_6RecyclingArranger[[#This Row],[ID_EC]]="","",INDEX(TR_5ExemptionClaim[End Market Name],MATCH(TR_6RecyclingArranger[[#This Row],[ID_EC]],TR_5ExemptionClaim[ID_EC],0)))</f>
        <v/>
      </c>
      <c r="E167" s="214" t="str">
        <f>IF(TR_6RecyclingArranger[[#This Row],[ID_EC]]="","",INDEX(TR_5ExemptionClaim[Collection or Transportation Service Provider Name],MATCH(TR_6RecyclingArranger[[#This Row],[ID_EC]],TR_5ExemptionClaim[ID_EC],0)))</f>
        <v/>
      </c>
      <c r="F167" s="214" t="str">
        <f>IF(TR_6RecyclingArranger[[#This Row],[ID_EC]]="","",IF(INDEX(TR_5ExemptionClaim[CRPF name],MATCH(TR_6RecyclingArranger[[#This Row],[ID_EC]],TR_5ExemptionClaim[ID_EC],0))=0,"None",INDEX(TR_5ExemptionClaim[CRPF name],MATCH(TR_6RecyclingArranger[[#This Row],[ID_EC]],TR_5ExemptionClaim[ID_EC],0))))</f>
        <v/>
      </c>
      <c r="G167" s="45"/>
      <c r="H167" s="108"/>
      <c r="I167" s="47"/>
      <c r="J167" s="48"/>
      <c r="K167" s="47"/>
      <c r="L167" s="79">
        <f>IF(COUNTIFS(TR_6RecyclingArranger[ID_EC],TR_6RecyclingArranger[[#This Row],[ID_EC]],TR_6RecyclingArranger[Name of Third-Party Recycling Arranger],TR_6RecyclingArranger[[#This Row],[Name of Third-Party Recycling Arranger]])&gt;1,1,0)</f>
        <v>0</v>
      </c>
      <c r="M167" s="79">
        <f>IF(TR_6RecyclingArranger[[#This Row],[ID_EC]]="",0,IFERROR(0*MATCH(TR_6RecyclingArranger[[#This Row],[ID_EC]],TR_5ExemptionClaim[Lookup: for arranger tab],0),1))</f>
        <v>0</v>
      </c>
      <c r="N167" s="79">
        <f>IF(TR_6RecyclingArranger[[#This Row],[ID_EC]]="",0,IF(COUNTA(TR_6RecyclingArranger[[#This Row],[Name of Third-Party Recycling Arranger]],TR_6RecyclingArranger[[#This Row],[Pounds of Producer''s Material Recycled by this Recycling Arranger]:[Recycling Arranger Contact Email]])=7,0,1))</f>
        <v>0</v>
      </c>
      <c r="O167" s="79">
        <f>IF(TR_6RecyclingArranger[[#This Row],[ID_EC]]&lt;&gt;"",0,IF(COUNTA(TR_6RecyclingArranger[[#This Row],[Name of Third-Party Recycling Arranger]],TR_6RecyclingArranger[[#This Row],[Pounds of Producer''s Material Recycled by this Recycling Arranger]:[Recycling Arranger Contact Email]])&gt;0,1,0))</f>
        <v>0</v>
      </c>
      <c r="P167" s="79">
        <f>IF(TR_6RecyclingArranger[[#This Row],[Lookup: pounds (this table)]]&gt;TR_6RecyclingArranger[[#This Row],[Lookup: pounds (5B tab)]],1,0)</f>
        <v>0</v>
      </c>
      <c r="Q167" s="77">
        <f>SUMIFS(TR_6RecyclingArranger[Pounds of Producer''s Material Recycled by this Recycling Arranger],TR_6RecyclingArranger[ID_EC],TR_6RecyclingArranger[[#This Row],[ID_EC]])</f>
        <v>0</v>
      </c>
      <c r="R167" s="77">
        <f>IFERROR(INDEX(TR_5ExemptionClaim[How many of the pounds recycled through this pathway were supplied by this producer?],MATCH(TR_6RecyclingArranger[[#This Row],[ID_EC]],TR_5ExemptionClaim[ID_EC],0)),0)</f>
        <v>0</v>
      </c>
      <c r="S167" s="80" t="str">
        <f t="shared" si="2"/>
        <v/>
      </c>
      <c r="T167" s="40"/>
      <c r="U167" s="58"/>
    </row>
    <row r="168" spans="1:21" ht="30.75" customHeight="1" x14ac:dyDescent="0.2">
      <c r="A168" s="82" t="s">
        <v>552</v>
      </c>
      <c r="B168" s="46"/>
      <c r="C168" s="113"/>
      <c r="D168" s="214" t="str">
        <f>IF(TR_6RecyclingArranger[[#This Row],[ID_EC]]="","",INDEX(TR_5ExemptionClaim[End Market Name],MATCH(TR_6RecyclingArranger[[#This Row],[ID_EC]],TR_5ExemptionClaim[ID_EC],0)))</f>
        <v/>
      </c>
      <c r="E168" s="214" t="str">
        <f>IF(TR_6RecyclingArranger[[#This Row],[ID_EC]]="","",INDEX(TR_5ExemptionClaim[Collection or Transportation Service Provider Name],MATCH(TR_6RecyclingArranger[[#This Row],[ID_EC]],TR_5ExemptionClaim[ID_EC],0)))</f>
        <v/>
      </c>
      <c r="F168" s="214" t="str">
        <f>IF(TR_6RecyclingArranger[[#This Row],[ID_EC]]="","",IF(INDEX(TR_5ExemptionClaim[CRPF name],MATCH(TR_6RecyclingArranger[[#This Row],[ID_EC]],TR_5ExemptionClaim[ID_EC],0))=0,"None",INDEX(TR_5ExemptionClaim[CRPF name],MATCH(TR_6RecyclingArranger[[#This Row],[ID_EC]],TR_5ExemptionClaim[ID_EC],0))))</f>
        <v/>
      </c>
      <c r="G168" s="45"/>
      <c r="H168" s="108"/>
      <c r="I168" s="47"/>
      <c r="J168" s="48"/>
      <c r="K168" s="47"/>
      <c r="L168" s="79">
        <f>IF(COUNTIFS(TR_6RecyclingArranger[ID_EC],TR_6RecyclingArranger[[#This Row],[ID_EC]],TR_6RecyclingArranger[Name of Third-Party Recycling Arranger],TR_6RecyclingArranger[[#This Row],[Name of Third-Party Recycling Arranger]])&gt;1,1,0)</f>
        <v>0</v>
      </c>
      <c r="M168" s="79">
        <f>IF(TR_6RecyclingArranger[[#This Row],[ID_EC]]="",0,IFERROR(0*MATCH(TR_6RecyclingArranger[[#This Row],[ID_EC]],TR_5ExemptionClaim[Lookup: for arranger tab],0),1))</f>
        <v>0</v>
      </c>
      <c r="N168" s="79">
        <f>IF(TR_6RecyclingArranger[[#This Row],[ID_EC]]="",0,IF(COUNTA(TR_6RecyclingArranger[[#This Row],[Name of Third-Party Recycling Arranger]],TR_6RecyclingArranger[[#This Row],[Pounds of Producer''s Material Recycled by this Recycling Arranger]:[Recycling Arranger Contact Email]])=7,0,1))</f>
        <v>0</v>
      </c>
      <c r="O168" s="79">
        <f>IF(TR_6RecyclingArranger[[#This Row],[ID_EC]]&lt;&gt;"",0,IF(COUNTA(TR_6RecyclingArranger[[#This Row],[Name of Third-Party Recycling Arranger]],TR_6RecyclingArranger[[#This Row],[Pounds of Producer''s Material Recycled by this Recycling Arranger]:[Recycling Arranger Contact Email]])&gt;0,1,0))</f>
        <v>0</v>
      </c>
      <c r="P168" s="79">
        <f>IF(TR_6RecyclingArranger[[#This Row],[Lookup: pounds (this table)]]&gt;TR_6RecyclingArranger[[#This Row],[Lookup: pounds (5B tab)]],1,0)</f>
        <v>0</v>
      </c>
      <c r="Q168" s="77">
        <f>SUMIFS(TR_6RecyclingArranger[Pounds of Producer''s Material Recycled by this Recycling Arranger],TR_6RecyclingArranger[ID_EC],TR_6RecyclingArranger[[#This Row],[ID_EC]])</f>
        <v>0</v>
      </c>
      <c r="R168" s="77">
        <f>IFERROR(INDEX(TR_5ExemptionClaim[How many of the pounds recycled through this pathway were supplied by this producer?],MATCH(TR_6RecyclingArranger[[#This Row],[ID_EC]],TR_5ExemptionClaim[ID_EC],0)),0)</f>
        <v>0</v>
      </c>
      <c r="S168" s="80" t="str">
        <f t="shared" si="2"/>
        <v/>
      </c>
      <c r="T168" s="40"/>
      <c r="U168" s="58"/>
    </row>
    <row r="169" spans="1:21" ht="30.75" customHeight="1" x14ac:dyDescent="0.2">
      <c r="A169" s="82" t="s">
        <v>553</v>
      </c>
      <c r="B169" s="46"/>
      <c r="C169" s="113"/>
      <c r="D169" s="214" t="str">
        <f>IF(TR_6RecyclingArranger[[#This Row],[ID_EC]]="","",INDEX(TR_5ExemptionClaim[End Market Name],MATCH(TR_6RecyclingArranger[[#This Row],[ID_EC]],TR_5ExemptionClaim[ID_EC],0)))</f>
        <v/>
      </c>
      <c r="E169" s="214" t="str">
        <f>IF(TR_6RecyclingArranger[[#This Row],[ID_EC]]="","",INDEX(TR_5ExemptionClaim[Collection or Transportation Service Provider Name],MATCH(TR_6RecyclingArranger[[#This Row],[ID_EC]],TR_5ExemptionClaim[ID_EC],0)))</f>
        <v/>
      </c>
      <c r="F169" s="214" t="str">
        <f>IF(TR_6RecyclingArranger[[#This Row],[ID_EC]]="","",IF(INDEX(TR_5ExemptionClaim[CRPF name],MATCH(TR_6RecyclingArranger[[#This Row],[ID_EC]],TR_5ExemptionClaim[ID_EC],0))=0,"None",INDEX(TR_5ExemptionClaim[CRPF name],MATCH(TR_6RecyclingArranger[[#This Row],[ID_EC]],TR_5ExemptionClaim[ID_EC],0))))</f>
        <v/>
      </c>
      <c r="G169" s="45"/>
      <c r="H169" s="108"/>
      <c r="I169" s="47"/>
      <c r="J169" s="48"/>
      <c r="K169" s="47"/>
      <c r="L169" s="79">
        <f>IF(COUNTIFS(TR_6RecyclingArranger[ID_EC],TR_6RecyclingArranger[[#This Row],[ID_EC]],TR_6RecyclingArranger[Name of Third-Party Recycling Arranger],TR_6RecyclingArranger[[#This Row],[Name of Third-Party Recycling Arranger]])&gt;1,1,0)</f>
        <v>0</v>
      </c>
      <c r="M169" s="79">
        <f>IF(TR_6RecyclingArranger[[#This Row],[ID_EC]]="",0,IFERROR(0*MATCH(TR_6RecyclingArranger[[#This Row],[ID_EC]],TR_5ExemptionClaim[Lookup: for arranger tab],0),1))</f>
        <v>0</v>
      </c>
      <c r="N169" s="79">
        <f>IF(TR_6RecyclingArranger[[#This Row],[ID_EC]]="",0,IF(COUNTA(TR_6RecyclingArranger[[#This Row],[Name of Third-Party Recycling Arranger]],TR_6RecyclingArranger[[#This Row],[Pounds of Producer''s Material Recycled by this Recycling Arranger]:[Recycling Arranger Contact Email]])=7,0,1))</f>
        <v>0</v>
      </c>
      <c r="O169" s="79">
        <f>IF(TR_6RecyclingArranger[[#This Row],[ID_EC]]&lt;&gt;"",0,IF(COUNTA(TR_6RecyclingArranger[[#This Row],[Name of Third-Party Recycling Arranger]],TR_6RecyclingArranger[[#This Row],[Pounds of Producer''s Material Recycled by this Recycling Arranger]:[Recycling Arranger Contact Email]])&gt;0,1,0))</f>
        <v>0</v>
      </c>
      <c r="P169" s="79">
        <f>IF(TR_6RecyclingArranger[[#This Row],[Lookup: pounds (this table)]]&gt;TR_6RecyclingArranger[[#This Row],[Lookup: pounds (5B tab)]],1,0)</f>
        <v>0</v>
      </c>
      <c r="Q169" s="77">
        <f>SUMIFS(TR_6RecyclingArranger[Pounds of Producer''s Material Recycled by this Recycling Arranger],TR_6RecyclingArranger[ID_EC],TR_6RecyclingArranger[[#This Row],[ID_EC]])</f>
        <v>0</v>
      </c>
      <c r="R169" s="77">
        <f>IFERROR(INDEX(TR_5ExemptionClaim[How many of the pounds recycled through this pathway were supplied by this producer?],MATCH(TR_6RecyclingArranger[[#This Row],[ID_EC]],TR_5ExemptionClaim[ID_EC],0)),0)</f>
        <v>0</v>
      </c>
      <c r="S169" s="80" t="str">
        <f t="shared" si="2"/>
        <v/>
      </c>
      <c r="T169" s="40"/>
      <c r="U169" s="58"/>
    </row>
    <row r="170" spans="1:21" ht="30.75" customHeight="1" x14ac:dyDescent="0.2">
      <c r="A170" s="82" t="s">
        <v>554</v>
      </c>
      <c r="B170" s="46"/>
      <c r="C170" s="113"/>
      <c r="D170" s="214" t="str">
        <f>IF(TR_6RecyclingArranger[[#This Row],[ID_EC]]="","",INDEX(TR_5ExemptionClaim[End Market Name],MATCH(TR_6RecyclingArranger[[#This Row],[ID_EC]],TR_5ExemptionClaim[ID_EC],0)))</f>
        <v/>
      </c>
      <c r="E170" s="214" t="str">
        <f>IF(TR_6RecyclingArranger[[#This Row],[ID_EC]]="","",INDEX(TR_5ExemptionClaim[Collection or Transportation Service Provider Name],MATCH(TR_6RecyclingArranger[[#This Row],[ID_EC]],TR_5ExemptionClaim[ID_EC],0)))</f>
        <v/>
      </c>
      <c r="F170" s="214" t="str">
        <f>IF(TR_6RecyclingArranger[[#This Row],[ID_EC]]="","",IF(INDEX(TR_5ExemptionClaim[CRPF name],MATCH(TR_6RecyclingArranger[[#This Row],[ID_EC]],TR_5ExemptionClaim[ID_EC],0))=0,"None",INDEX(TR_5ExemptionClaim[CRPF name],MATCH(TR_6RecyclingArranger[[#This Row],[ID_EC]],TR_5ExemptionClaim[ID_EC],0))))</f>
        <v/>
      </c>
      <c r="G170" s="45"/>
      <c r="H170" s="108"/>
      <c r="I170" s="47"/>
      <c r="J170" s="48"/>
      <c r="K170" s="47"/>
      <c r="L170" s="79">
        <f>IF(COUNTIFS(TR_6RecyclingArranger[ID_EC],TR_6RecyclingArranger[[#This Row],[ID_EC]],TR_6RecyclingArranger[Name of Third-Party Recycling Arranger],TR_6RecyclingArranger[[#This Row],[Name of Third-Party Recycling Arranger]])&gt;1,1,0)</f>
        <v>0</v>
      </c>
      <c r="M170" s="79">
        <f>IF(TR_6RecyclingArranger[[#This Row],[ID_EC]]="",0,IFERROR(0*MATCH(TR_6RecyclingArranger[[#This Row],[ID_EC]],TR_5ExemptionClaim[Lookup: for arranger tab],0),1))</f>
        <v>0</v>
      </c>
      <c r="N170" s="79">
        <f>IF(TR_6RecyclingArranger[[#This Row],[ID_EC]]="",0,IF(COUNTA(TR_6RecyclingArranger[[#This Row],[Name of Third-Party Recycling Arranger]],TR_6RecyclingArranger[[#This Row],[Pounds of Producer''s Material Recycled by this Recycling Arranger]:[Recycling Arranger Contact Email]])=7,0,1))</f>
        <v>0</v>
      </c>
      <c r="O170" s="79">
        <f>IF(TR_6RecyclingArranger[[#This Row],[ID_EC]]&lt;&gt;"",0,IF(COUNTA(TR_6RecyclingArranger[[#This Row],[Name of Third-Party Recycling Arranger]],TR_6RecyclingArranger[[#This Row],[Pounds of Producer''s Material Recycled by this Recycling Arranger]:[Recycling Arranger Contact Email]])&gt;0,1,0))</f>
        <v>0</v>
      </c>
      <c r="P170" s="79">
        <f>IF(TR_6RecyclingArranger[[#This Row],[Lookup: pounds (this table)]]&gt;TR_6RecyclingArranger[[#This Row],[Lookup: pounds (5B tab)]],1,0)</f>
        <v>0</v>
      </c>
      <c r="Q170" s="77">
        <f>SUMIFS(TR_6RecyclingArranger[Pounds of Producer''s Material Recycled by this Recycling Arranger],TR_6RecyclingArranger[ID_EC],TR_6RecyclingArranger[[#This Row],[ID_EC]])</f>
        <v>0</v>
      </c>
      <c r="R170" s="77">
        <f>IFERROR(INDEX(TR_5ExemptionClaim[How many of the pounds recycled through this pathway were supplied by this producer?],MATCH(TR_6RecyclingArranger[[#This Row],[ID_EC]],TR_5ExemptionClaim[ID_EC],0)),0)</f>
        <v>0</v>
      </c>
      <c r="S170" s="80" t="str">
        <f t="shared" si="2"/>
        <v/>
      </c>
      <c r="T170" s="40"/>
      <c r="U170" s="58"/>
    </row>
    <row r="171" spans="1:21" ht="30.75" customHeight="1" x14ac:dyDescent="0.2">
      <c r="A171" s="82" t="s">
        <v>555</v>
      </c>
      <c r="B171" s="46"/>
      <c r="C171" s="113"/>
      <c r="D171" s="214" t="str">
        <f>IF(TR_6RecyclingArranger[[#This Row],[ID_EC]]="","",INDEX(TR_5ExemptionClaim[End Market Name],MATCH(TR_6RecyclingArranger[[#This Row],[ID_EC]],TR_5ExemptionClaim[ID_EC],0)))</f>
        <v/>
      </c>
      <c r="E171" s="214" t="str">
        <f>IF(TR_6RecyclingArranger[[#This Row],[ID_EC]]="","",INDEX(TR_5ExemptionClaim[Collection or Transportation Service Provider Name],MATCH(TR_6RecyclingArranger[[#This Row],[ID_EC]],TR_5ExemptionClaim[ID_EC],0)))</f>
        <v/>
      </c>
      <c r="F171" s="214" t="str">
        <f>IF(TR_6RecyclingArranger[[#This Row],[ID_EC]]="","",IF(INDEX(TR_5ExemptionClaim[CRPF name],MATCH(TR_6RecyclingArranger[[#This Row],[ID_EC]],TR_5ExemptionClaim[ID_EC],0))=0,"None",INDEX(TR_5ExemptionClaim[CRPF name],MATCH(TR_6RecyclingArranger[[#This Row],[ID_EC]],TR_5ExemptionClaim[ID_EC],0))))</f>
        <v/>
      </c>
      <c r="G171" s="45"/>
      <c r="H171" s="108"/>
      <c r="I171" s="47"/>
      <c r="J171" s="48"/>
      <c r="K171" s="47"/>
      <c r="L171" s="79">
        <f>IF(COUNTIFS(TR_6RecyclingArranger[ID_EC],TR_6RecyclingArranger[[#This Row],[ID_EC]],TR_6RecyclingArranger[Name of Third-Party Recycling Arranger],TR_6RecyclingArranger[[#This Row],[Name of Third-Party Recycling Arranger]])&gt;1,1,0)</f>
        <v>0</v>
      </c>
      <c r="M171" s="79">
        <f>IF(TR_6RecyclingArranger[[#This Row],[ID_EC]]="",0,IFERROR(0*MATCH(TR_6RecyclingArranger[[#This Row],[ID_EC]],TR_5ExemptionClaim[Lookup: for arranger tab],0),1))</f>
        <v>0</v>
      </c>
      <c r="N171" s="79">
        <f>IF(TR_6RecyclingArranger[[#This Row],[ID_EC]]="",0,IF(COUNTA(TR_6RecyclingArranger[[#This Row],[Name of Third-Party Recycling Arranger]],TR_6RecyclingArranger[[#This Row],[Pounds of Producer''s Material Recycled by this Recycling Arranger]:[Recycling Arranger Contact Email]])=7,0,1))</f>
        <v>0</v>
      </c>
      <c r="O171" s="79">
        <f>IF(TR_6RecyclingArranger[[#This Row],[ID_EC]]&lt;&gt;"",0,IF(COUNTA(TR_6RecyclingArranger[[#This Row],[Name of Third-Party Recycling Arranger]],TR_6RecyclingArranger[[#This Row],[Pounds of Producer''s Material Recycled by this Recycling Arranger]:[Recycling Arranger Contact Email]])&gt;0,1,0))</f>
        <v>0</v>
      </c>
      <c r="P171" s="79">
        <f>IF(TR_6RecyclingArranger[[#This Row],[Lookup: pounds (this table)]]&gt;TR_6RecyclingArranger[[#This Row],[Lookup: pounds (5B tab)]],1,0)</f>
        <v>0</v>
      </c>
      <c r="Q171" s="77">
        <f>SUMIFS(TR_6RecyclingArranger[Pounds of Producer''s Material Recycled by this Recycling Arranger],TR_6RecyclingArranger[ID_EC],TR_6RecyclingArranger[[#This Row],[ID_EC]])</f>
        <v>0</v>
      </c>
      <c r="R171" s="77">
        <f>IFERROR(INDEX(TR_5ExemptionClaim[How many of the pounds recycled through this pathway were supplied by this producer?],MATCH(TR_6RecyclingArranger[[#This Row],[ID_EC]],TR_5ExemptionClaim[ID_EC],0)),0)</f>
        <v>0</v>
      </c>
      <c r="S171" s="80" t="str">
        <f t="shared" si="2"/>
        <v/>
      </c>
      <c r="T171" s="40"/>
      <c r="U171" s="58"/>
    </row>
    <row r="172" spans="1:21" ht="30.75" customHeight="1" x14ac:dyDescent="0.2">
      <c r="A172" s="82" t="s">
        <v>556</v>
      </c>
      <c r="B172" s="46"/>
      <c r="C172" s="113"/>
      <c r="D172" s="214" t="str">
        <f>IF(TR_6RecyclingArranger[[#This Row],[ID_EC]]="","",INDEX(TR_5ExemptionClaim[End Market Name],MATCH(TR_6RecyclingArranger[[#This Row],[ID_EC]],TR_5ExemptionClaim[ID_EC],0)))</f>
        <v/>
      </c>
      <c r="E172" s="214" t="str">
        <f>IF(TR_6RecyclingArranger[[#This Row],[ID_EC]]="","",INDEX(TR_5ExemptionClaim[Collection or Transportation Service Provider Name],MATCH(TR_6RecyclingArranger[[#This Row],[ID_EC]],TR_5ExemptionClaim[ID_EC],0)))</f>
        <v/>
      </c>
      <c r="F172" s="214" t="str">
        <f>IF(TR_6RecyclingArranger[[#This Row],[ID_EC]]="","",IF(INDEX(TR_5ExemptionClaim[CRPF name],MATCH(TR_6RecyclingArranger[[#This Row],[ID_EC]],TR_5ExemptionClaim[ID_EC],0))=0,"None",INDEX(TR_5ExemptionClaim[CRPF name],MATCH(TR_6RecyclingArranger[[#This Row],[ID_EC]],TR_5ExemptionClaim[ID_EC],0))))</f>
        <v/>
      </c>
      <c r="G172" s="45"/>
      <c r="H172" s="108"/>
      <c r="I172" s="47"/>
      <c r="J172" s="48"/>
      <c r="K172" s="47"/>
      <c r="L172" s="79">
        <f>IF(COUNTIFS(TR_6RecyclingArranger[ID_EC],TR_6RecyclingArranger[[#This Row],[ID_EC]],TR_6RecyclingArranger[Name of Third-Party Recycling Arranger],TR_6RecyclingArranger[[#This Row],[Name of Third-Party Recycling Arranger]])&gt;1,1,0)</f>
        <v>0</v>
      </c>
      <c r="M172" s="79">
        <f>IF(TR_6RecyclingArranger[[#This Row],[ID_EC]]="",0,IFERROR(0*MATCH(TR_6RecyclingArranger[[#This Row],[ID_EC]],TR_5ExemptionClaim[Lookup: for arranger tab],0),1))</f>
        <v>0</v>
      </c>
      <c r="N172" s="79">
        <f>IF(TR_6RecyclingArranger[[#This Row],[ID_EC]]="",0,IF(COUNTA(TR_6RecyclingArranger[[#This Row],[Name of Third-Party Recycling Arranger]],TR_6RecyclingArranger[[#This Row],[Pounds of Producer''s Material Recycled by this Recycling Arranger]:[Recycling Arranger Contact Email]])=7,0,1))</f>
        <v>0</v>
      </c>
      <c r="O172" s="79">
        <f>IF(TR_6RecyclingArranger[[#This Row],[ID_EC]]&lt;&gt;"",0,IF(COUNTA(TR_6RecyclingArranger[[#This Row],[Name of Third-Party Recycling Arranger]],TR_6RecyclingArranger[[#This Row],[Pounds of Producer''s Material Recycled by this Recycling Arranger]:[Recycling Arranger Contact Email]])&gt;0,1,0))</f>
        <v>0</v>
      </c>
      <c r="P172" s="79">
        <f>IF(TR_6RecyclingArranger[[#This Row],[Lookup: pounds (this table)]]&gt;TR_6RecyclingArranger[[#This Row],[Lookup: pounds (5B tab)]],1,0)</f>
        <v>0</v>
      </c>
      <c r="Q172" s="77">
        <f>SUMIFS(TR_6RecyclingArranger[Pounds of Producer''s Material Recycled by this Recycling Arranger],TR_6RecyclingArranger[ID_EC],TR_6RecyclingArranger[[#This Row],[ID_EC]])</f>
        <v>0</v>
      </c>
      <c r="R172" s="77">
        <f>IFERROR(INDEX(TR_5ExemptionClaim[How many of the pounds recycled through this pathway were supplied by this producer?],MATCH(TR_6RecyclingArranger[[#This Row],[ID_EC]],TR_5ExemptionClaim[ID_EC],0)),0)</f>
        <v>0</v>
      </c>
      <c r="S172" s="80" t="str">
        <f t="shared" si="2"/>
        <v/>
      </c>
      <c r="T172" s="40"/>
      <c r="U172" s="58"/>
    </row>
    <row r="173" spans="1:21" ht="30.75" customHeight="1" x14ac:dyDescent="0.2">
      <c r="A173" s="82" t="s">
        <v>557</v>
      </c>
      <c r="B173" s="46"/>
      <c r="C173" s="113"/>
      <c r="D173" s="214" t="str">
        <f>IF(TR_6RecyclingArranger[[#This Row],[ID_EC]]="","",INDEX(TR_5ExemptionClaim[End Market Name],MATCH(TR_6RecyclingArranger[[#This Row],[ID_EC]],TR_5ExemptionClaim[ID_EC],0)))</f>
        <v/>
      </c>
      <c r="E173" s="214" t="str">
        <f>IF(TR_6RecyclingArranger[[#This Row],[ID_EC]]="","",INDEX(TR_5ExemptionClaim[Collection or Transportation Service Provider Name],MATCH(TR_6RecyclingArranger[[#This Row],[ID_EC]],TR_5ExemptionClaim[ID_EC],0)))</f>
        <v/>
      </c>
      <c r="F173" s="214" t="str">
        <f>IF(TR_6RecyclingArranger[[#This Row],[ID_EC]]="","",IF(INDEX(TR_5ExemptionClaim[CRPF name],MATCH(TR_6RecyclingArranger[[#This Row],[ID_EC]],TR_5ExemptionClaim[ID_EC],0))=0,"None",INDEX(TR_5ExemptionClaim[CRPF name],MATCH(TR_6RecyclingArranger[[#This Row],[ID_EC]],TR_5ExemptionClaim[ID_EC],0))))</f>
        <v/>
      </c>
      <c r="G173" s="45"/>
      <c r="H173" s="108"/>
      <c r="I173" s="47"/>
      <c r="J173" s="48"/>
      <c r="K173" s="47"/>
      <c r="L173" s="79">
        <f>IF(COUNTIFS(TR_6RecyclingArranger[ID_EC],TR_6RecyclingArranger[[#This Row],[ID_EC]],TR_6RecyclingArranger[Name of Third-Party Recycling Arranger],TR_6RecyclingArranger[[#This Row],[Name of Third-Party Recycling Arranger]])&gt;1,1,0)</f>
        <v>0</v>
      </c>
      <c r="M173" s="79">
        <f>IF(TR_6RecyclingArranger[[#This Row],[ID_EC]]="",0,IFERROR(0*MATCH(TR_6RecyclingArranger[[#This Row],[ID_EC]],TR_5ExemptionClaim[Lookup: for arranger tab],0),1))</f>
        <v>0</v>
      </c>
      <c r="N173" s="79">
        <f>IF(TR_6RecyclingArranger[[#This Row],[ID_EC]]="",0,IF(COUNTA(TR_6RecyclingArranger[[#This Row],[Name of Third-Party Recycling Arranger]],TR_6RecyclingArranger[[#This Row],[Pounds of Producer''s Material Recycled by this Recycling Arranger]:[Recycling Arranger Contact Email]])=7,0,1))</f>
        <v>0</v>
      </c>
      <c r="O173" s="79">
        <f>IF(TR_6RecyclingArranger[[#This Row],[ID_EC]]&lt;&gt;"",0,IF(COUNTA(TR_6RecyclingArranger[[#This Row],[Name of Third-Party Recycling Arranger]],TR_6RecyclingArranger[[#This Row],[Pounds of Producer''s Material Recycled by this Recycling Arranger]:[Recycling Arranger Contact Email]])&gt;0,1,0))</f>
        <v>0</v>
      </c>
      <c r="P173" s="79">
        <f>IF(TR_6RecyclingArranger[[#This Row],[Lookup: pounds (this table)]]&gt;TR_6RecyclingArranger[[#This Row],[Lookup: pounds (5B tab)]],1,0)</f>
        <v>0</v>
      </c>
      <c r="Q173" s="77">
        <f>SUMIFS(TR_6RecyclingArranger[Pounds of Producer''s Material Recycled by this Recycling Arranger],TR_6RecyclingArranger[ID_EC],TR_6RecyclingArranger[[#This Row],[ID_EC]])</f>
        <v>0</v>
      </c>
      <c r="R173" s="77">
        <f>IFERROR(INDEX(TR_5ExemptionClaim[How many of the pounds recycled through this pathway were supplied by this producer?],MATCH(TR_6RecyclingArranger[[#This Row],[ID_EC]],TR_5ExemptionClaim[ID_EC],0)),0)</f>
        <v>0</v>
      </c>
      <c r="S173" s="80" t="str">
        <f t="shared" si="2"/>
        <v/>
      </c>
      <c r="T173" s="40"/>
      <c r="U173" s="58"/>
    </row>
    <row r="174" spans="1:21" ht="30.75" customHeight="1" x14ac:dyDescent="0.2">
      <c r="A174" s="82" t="s">
        <v>558</v>
      </c>
      <c r="B174" s="46"/>
      <c r="C174" s="113"/>
      <c r="D174" s="214" t="str">
        <f>IF(TR_6RecyclingArranger[[#This Row],[ID_EC]]="","",INDEX(TR_5ExemptionClaim[End Market Name],MATCH(TR_6RecyclingArranger[[#This Row],[ID_EC]],TR_5ExemptionClaim[ID_EC],0)))</f>
        <v/>
      </c>
      <c r="E174" s="214" t="str">
        <f>IF(TR_6RecyclingArranger[[#This Row],[ID_EC]]="","",INDEX(TR_5ExemptionClaim[Collection or Transportation Service Provider Name],MATCH(TR_6RecyclingArranger[[#This Row],[ID_EC]],TR_5ExemptionClaim[ID_EC],0)))</f>
        <v/>
      </c>
      <c r="F174" s="214" t="str">
        <f>IF(TR_6RecyclingArranger[[#This Row],[ID_EC]]="","",IF(INDEX(TR_5ExemptionClaim[CRPF name],MATCH(TR_6RecyclingArranger[[#This Row],[ID_EC]],TR_5ExemptionClaim[ID_EC],0))=0,"None",INDEX(TR_5ExemptionClaim[CRPF name],MATCH(TR_6RecyclingArranger[[#This Row],[ID_EC]],TR_5ExemptionClaim[ID_EC],0))))</f>
        <v/>
      </c>
      <c r="G174" s="45"/>
      <c r="H174" s="108"/>
      <c r="I174" s="47"/>
      <c r="J174" s="48"/>
      <c r="K174" s="47"/>
      <c r="L174" s="79">
        <f>IF(COUNTIFS(TR_6RecyclingArranger[ID_EC],TR_6RecyclingArranger[[#This Row],[ID_EC]],TR_6RecyclingArranger[Name of Third-Party Recycling Arranger],TR_6RecyclingArranger[[#This Row],[Name of Third-Party Recycling Arranger]])&gt;1,1,0)</f>
        <v>0</v>
      </c>
      <c r="M174" s="79">
        <f>IF(TR_6RecyclingArranger[[#This Row],[ID_EC]]="",0,IFERROR(0*MATCH(TR_6RecyclingArranger[[#This Row],[ID_EC]],TR_5ExemptionClaim[Lookup: for arranger tab],0),1))</f>
        <v>0</v>
      </c>
      <c r="N174" s="79">
        <f>IF(TR_6RecyclingArranger[[#This Row],[ID_EC]]="",0,IF(COUNTA(TR_6RecyclingArranger[[#This Row],[Name of Third-Party Recycling Arranger]],TR_6RecyclingArranger[[#This Row],[Pounds of Producer''s Material Recycled by this Recycling Arranger]:[Recycling Arranger Contact Email]])=7,0,1))</f>
        <v>0</v>
      </c>
      <c r="O174" s="79">
        <f>IF(TR_6RecyclingArranger[[#This Row],[ID_EC]]&lt;&gt;"",0,IF(COUNTA(TR_6RecyclingArranger[[#This Row],[Name of Third-Party Recycling Arranger]],TR_6RecyclingArranger[[#This Row],[Pounds of Producer''s Material Recycled by this Recycling Arranger]:[Recycling Arranger Contact Email]])&gt;0,1,0))</f>
        <v>0</v>
      </c>
      <c r="P174" s="79">
        <f>IF(TR_6RecyclingArranger[[#This Row],[Lookup: pounds (this table)]]&gt;TR_6RecyclingArranger[[#This Row],[Lookup: pounds (5B tab)]],1,0)</f>
        <v>0</v>
      </c>
      <c r="Q174" s="77">
        <f>SUMIFS(TR_6RecyclingArranger[Pounds of Producer''s Material Recycled by this Recycling Arranger],TR_6RecyclingArranger[ID_EC],TR_6RecyclingArranger[[#This Row],[ID_EC]])</f>
        <v>0</v>
      </c>
      <c r="R174" s="77">
        <f>IFERROR(INDEX(TR_5ExemptionClaim[How many of the pounds recycled through this pathway were supplied by this producer?],MATCH(TR_6RecyclingArranger[[#This Row],[ID_EC]],TR_5ExemptionClaim[ID_EC],0)),0)</f>
        <v>0</v>
      </c>
      <c r="S174" s="80" t="str">
        <f t="shared" si="2"/>
        <v/>
      </c>
      <c r="T174" s="40"/>
      <c r="U174" s="58"/>
    </row>
    <row r="175" spans="1:21" ht="30.75" customHeight="1" x14ac:dyDescent="0.2">
      <c r="A175" s="82" t="s">
        <v>559</v>
      </c>
      <c r="B175" s="46"/>
      <c r="C175" s="113"/>
      <c r="D175" s="214" t="str">
        <f>IF(TR_6RecyclingArranger[[#This Row],[ID_EC]]="","",INDEX(TR_5ExemptionClaim[End Market Name],MATCH(TR_6RecyclingArranger[[#This Row],[ID_EC]],TR_5ExemptionClaim[ID_EC],0)))</f>
        <v/>
      </c>
      <c r="E175" s="214" t="str">
        <f>IF(TR_6RecyclingArranger[[#This Row],[ID_EC]]="","",INDEX(TR_5ExemptionClaim[Collection or Transportation Service Provider Name],MATCH(TR_6RecyclingArranger[[#This Row],[ID_EC]],TR_5ExemptionClaim[ID_EC],0)))</f>
        <v/>
      </c>
      <c r="F175" s="214" t="str">
        <f>IF(TR_6RecyclingArranger[[#This Row],[ID_EC]]="","",IF(INDEX(TR_5ExemptionClaim[CRPF name],MATCH(TR_6RecyclingArranger[[#This Row],[ID_EC]],TR_5ExemptionClaim[ID_EC],0))=0,"None",INDEX(TR_5ExemptionClaim[CRPF name],MATCH(TR_6RecyclingArranger[[#This Row],[ID_EC]],TR_5ExemptionClaim[ID_EC],0))))</f>
        <v/>
      </c>
      <c r="G175" s="45"/>
      <c r="H175" s="108"/>
      <c r="I175" s="47"/>
      <c r="J175" s="48"/>
      <c r="K175" s="47"/>
      <c r="L175" s="79">
        <f>IF(COUNTIFS(TR_6RecyclingArranger[ID_EC],TR_6RecyclingArranger[[#This Row],[ID_EC]],TR_6RecyclingArranger[Name of Third-Party Recycling Arranger],TR_6RecyclingArranger[[#This Row],[Name of Third-Party Recycling Arranger]])&gt;1,1,0)</f>
        <v>0</v>
      </c>
      <c r="M175" s="79">
        <f>IF(TR_6RecyclingArranger[[#This Row],[ID_EC]]="",0,IFERROR(0*MATCH(TR_6RecyclingArranger[[#This Row],[ID_EC]],TR_5ExemptionClaim[Lookup: for arranger tab],0),1))</f>
        <v>0</v>
      </c>
      <c r="N175" s="79">
        <f>IF(TR_6RecyclingArranger[[#This Row],[ID_EC]]="",0,IF(COUNTA(TR_6RecyclingArranger[[#This Row],[Name of Third-Party Recycling Arranger]],TR_6RecyclingArranger[[#This Row],[Pounds of Producer''s Material Recycled by this Recycling Arranger]:[Recycling Arranger Contact Email]])=7,0,1))</f>
        <v>0</v>
      </c>
      <c r="O175" s="79">
        <f>IF(TR_6RecyclingArranger[[#This Row],[ID_EC]]&lt;&gt;"",0,IF(COUNTA(TR_6RecyclingArranger[[#This Row],[Name of Third-Party Recycling Arranger]],TR_6RecyclingArranger[[#This Row],[Pounds of Producer''s Material Recycled by this Recycling Arranger]:[Recycling Arranger Contact Email]])&gt;0,1,0))</f>
        <v>0</v>
      </c>
      <c r="P175" s="79">
        <f>IF(TR_6RecyclingArranger[[#This Row],[Lookup: pounds (this table)]]&gt;TR_6RecyclingArranger[[#This Row],[Lookup: pounds (5B tab)]],1,0)</f>
        <v>0</v>
      </c>
      <c r="Q175" s="77">
        <f>SUMIFS(TR_6RecyclingArranger[Pounds of Producer''s Material Recycled by this Recycling Arranger],TR_6RecyclingArranger[ID_EC],TR_6RecyclingArranger[[#This Row],[ID_EC]])</f>
        <v>0</v>
      </c>
      <c r="R175" s="77">
        <f>IFERROR(INDEX(TR_5ExemptionClaim[How many of the pounds recycled through this pathway were supplied by this producer?],MATCH(TR_6RecyclingArranger[[#This Row],[ID_EC]],TR_5ExemptionClaim[ID_EC],0)),0)</f>
        <v>0</v>
      </c>
      <c r="S175" s="80" t="str">
        <f t="shared" si="2"/>
        <v/>
      </c>
      <c r="T175" s="40"/>
      <c r="U175" s="58"/>
    </row>
    <row r="176" spans="1:21" ht="30.75" customHeight="1" x14ac:dyDescent="0.2">
      <c r="A176" s="82" t="s">
        <v>560</v>
      </c>
      <c r="B176" s="46"/>
      <c r="C176" s="113"/>
      <c r="D176" s="214" t="str">
        <f>IF(TR_6RecyclingArranger[[#This Row],[ID_EC]]="","",INDEX(TR_5ExemptionClaim[End Market Name],MATCH(TR_6RecyclingArranger[[#This Row],[ID_EC]],TR_5ExemptionClaim[ID_EC],0)))</f>
        <v/>
      </c>
      <c r="E176" s="214" t="str">
        <f>IF(TR_6RecyclingArranger[[#This Row],[ID_EC]]="","",INDEX(TR_5ExemptionClaim[Collection or Transportation Service Provider Name],MATCH(TR_6RecyclingArranger[[#This Row],[ID_EC]],TR_5ExemptionClaim[ID_EC],0)))</f>
        <v/>
      </c>
      <c r="F176" s="214" t="str">
        <f>IF(TR_6RecyclingArranger[[#This Row],[ID_EC]]="","",IF(INDEX(TR_5ExemptionClaim[CRPF name],MATCH(TR_6RecyclingArranger[[#This Row],[ID_EC]],TR_5ExemptionClaim[ID_EC],0))=0,"None",INDEX(TR_5ExemptionClaim[CRPF name],MATCH(TR_6RecyclingArranger[[#This Row],[ID_EC]],TR_5ExemptionClaim[ID_EC],0))))</f>
        <v/>
      </c>
      <c r="G176" s="45"/>
      <c r="H176" s="108"/>
      <c r="I176" s="47"/>
      <c r="J176" s="48"/>
      <c r="K176" s="47"/>
      <c r="L176" s="79">
        <f>IF(COUNTIFS(TR_6RecyclingArranger[ID_EC],TR_6RecyclingArranger[[#This Row],[ID_EC]],TR_6RecyclingArranger[Name of Third-Party Recycling Arranger],TR_6RecyclingArranger[[#This Row],[Name of Third-Party Recycling Arranger]])&gt;1,1,0)</f>
        <v>0</v>
      </c>
      <c r="M176" s="79">
        <f>IF(TR_6RecyclingArranger[[#This Row],[ID_EC]]="",0,IFERROR(0*MATCH(TR_6RecyclingArranger[[#This Row],[ID_EC]],TR_5ExemptionClaim[Lookup: for arranger tab],0),1))</f>
        <v>0</v>
      </c>
      <c r="N176" s="79">
        <f>IF(TR_6RecyclingArranger[[#This Row],[ID_EC]]="",0,IF(COUNTA(TR_6RecyclingArranger[[#This Row],[Name of Third-Party Recycling Arranger]],TR_6RecyclingArranger[[#This Row],[Pounds of Producer''s Material Recycled by this Recycling Arranger]:[Recycling Arranger Contact Email]])=7,0,1))</f>
        <v>0</v>
      </c>
      <c r="O176" s="79">
        <f>IF(TR_6RecyclingArranger[[#This Row],[ID_EC]]&lt;&gt;"",0,IF(COUNTA(TR_6RecyclingArranger[[#This Row],[Name of Third-Party Recycling Arranger]],TR_6RecyclingArranger[[#This Row],[Pounds of Producer''s Material Recycled by this Recycling Arranger]:[Recycling Arranger Contact Email]])&gt;0,1,0))</f>
        <v>0</v>
      </c>
      <c r="P176" s="79">
        <f>IF(TR_6RecyclingArranger[[#This Row],[Lookup: pounds (this table)]]&gt;TR_6RecyclingArranger[[#This Row],[Lookup: pounds (5B tab)]],1,0)</f>
        <v>0</v>
      </c>
      <c r="Q176" s="77">
        <f>SUMIFS(TR_6RecyclingArranger[Pounds of Producer''s Material Recycled by this Recycling Arranger],TR_6RecyclingArranger[ID_EC],TR_6RecyclingArranger[[#This Row],[ID_EC]])</f>
        <v>0</v>
      </c>
      <c r="R176" s="77">
        <f>IFERROR(INDEX(TR_5ExemptionClaim[How many of the pounds recycled through this pathway were supplied by this producer?],MATCH(TR_6RecyclingArranger[[#This Row],[ID_EC]],TR_5ExemptionClaim[ID_EC],0)),0)</f>
        <v>0</v>
      </c>
      <c r="S176" s="80" t="str">
        <f t="shared" si="2"/>
        <v/>
      </c>
      <c r="T176" s="40"/>
      <c r="U176" s="58"/>
    </row>
    <row r="177" spans="1:21" ht="30.75" customHeight="1" x14ac:dyDescent="0.2">
      <c r="A177" s="82" t="s">
        <v>561</v>
      </c>
      <c r="B177" s="46"/>
      <c r="C177" s="113"/>
      <c r="D177" s="214" t="str">
        <f>IF(TR_6RecyclingArranger[[#This Row],[ID_EC]]="","",INDEX(TR_5ExemptionClaim[End Market Name],MATCH(TR_6RecyclingArranger[[#This Row],[ID_EC]],TR_5ExemptionClaim[ID_EC],0)))</f>
        <v/>
      </c>
      <c r="E177" s="214" t="str">
        <f>IF(TR_6RecyclingArranger[[#This Row],[ID_EC]]="","",INDEX(TR_5ExemptionClaim[Collection or Transportation Service Provider Name],MATCH(TR_6RecyclingArranger[[#This Row],[ID_EC]],TR_5ExemptionClaim[ID_EC],0)))</f>
        <v/>
      </c>
      <c r="F177" s="214" t="str">
        <f>IF(TR_6RecyclingArranger[[#This Row],[ID_EC]]="","",IF(INDEX(TR_5ExemptionClaim[CRPF name],MATCH(TR_6RecyclingArranger[[#This Row],[ID_EC]],TR_5ExemptionClaim[ID_EC],0))=0,"None",INDEX(TR_5ExemptionClaim[CRPF name],MATCH(TR_6RecyclingArranger[[#This Row],[ID_EC]],TR_5ExemptionClaim[ID_EC],0))))</f>
        <v/>
      </c>
      <c r="G177" s="45"/>
      <c r="H177" s="108"/>
      <c r="I177" s="47"/>
      <c r="J177" s="48"/>
      <c r="K177" s="47"/>
      <c r="L177" s="79">
        <f>IF(COUNTIFS(TR_6RecyclingArranger[ID_EC],TR_6RecyclingArranger[[#This Row],[ID_EC]],TR_6RecyclingArranger[Name of Third-Party Recycling Arranger],TR_6RecyclingArranger[[#This Row],[Name of Third-Party Recycling Arranger]])&gt;1,1,0)</f>
        <v>0</v>
      </c>
      <c r="M177" s="79">
        <f>IF(TR_6RecyclingArranger[[#This Row],[ID_EC]]="",0,IFERROR(0*MATCH(TR_6RecyclingArranger[[#This Row],[ID_EC]],TR_5ExemptionClaim[Lookup: for arranger tab],0),1))</f>
        <v>0</v>
      </c>
      <c r="N177" s="79">
        <f>IF(TR_6RecyclingArranger[[#This Row],[ID_EC]]="",0,IF(COUNTA(TR_6RecyclingArranger[[#This Row],[Name of Third-Party Recycling Arranger]],TR_6RecyclingArranger[[#This Row],[Pounds of Producer''s Material Recycled by this Recycling Arranger]:[Recycling Arranger Contact Email]])=7,0,1))</f>
        <v>0</v>
      </c>
      <c r="O177" s="79">
        <f>IF(TR_6RecyclingArranger[[#This Row],[ID_EC]]&lt;&gt;"",0,IF(COUNTA(TR_6RecyclingArranger[[#This Row],[Name of Third-Party Recycling Arranger]],TR_6RecyclingArranger[[#This Row],[Pounds of Producer''s Material Recycled by this Recycling Arranger]:[Recycling Arranger Contact Email]])&gt;0,1,0))</f>
        <v>0</v>
      </c>
      <c r="P177" s="79">
        <f>IF(TR_6RecyclingArranger[[#This Row],[Lookup: pounds (this table)]]&gt;TR_6RecyclingArranger[[#This Row],[Lookup: pounds (5B tab)]],1,0)</f>
        <v>0</v>
      </c>
      <c r="Q177" s="77">
        <f>SUMIFS(TR_6RecyclingArranger[Pounds of Producer''s Material Recycled by this Recycling Arranger],TR_6RecyclingArranger[ID_EC],TR_6RecyclingArranger[[#This Row],[ID_EC]])</f>
        <v>0</v>
      </c>
      <c r="R177" s="77">
        <f>IFERROR(INDEX(TR_5ExemptionClaim[How many of the pounds recycled through this pathway were supplied by this producer?],MATCH(TR_6RecyclingArranger[[#This Row],[ID_EC]],TR_5ExemptionClaim[ID_EC],0)),0)</f>
        <v>0</v>
      </c>
      <c r="S177" s="80" t="str">
        <f t="shared" si="2"/>
        <v/>
      </c>
      <c r="T177" s="40"/>
      <c r="U177" s="58"/>
    </row>
    <row r="178" spans="1:21" ht="30.75" customHeight="1" x14ac:dyDescent="0.2">
      <c r="A178" s="82" t="s">
        <v>562</v>
      </c>
      <c r="B178" s="46"/>
      <c r="C178" s="113"/>
      <c r="D178" s="214" t="str">
        <f>IF(TR_6RecyclingArranger[[#This Row],[ID_EC]]="","",INDEX(TR_5ExemptionClaim[End Market Name],MATCH(TR_6RecyclingArranger[[#This Row],[ID_EC]],TR_5ExemptionClaim[ID_EC],0)))</f>
        <v/>
      </c>
      <c r="E178" s="214" t="str">
        <f>IF(TR_6RecyclingArranger[[#This Row],[ID_EC]]="","",INDEX(TR_5ExemptionClaim[Collection or Transportation Service Provider Name],MATCH(TR_6RecyclingArranger[[#This Row],[ID_EC]],TR_5ExemptionClaim[ID_EC],0)))</f>
        <v/>
      </c>
      <c r="F178" s="214" t="str">
        <f>IF(TR_6RecyclingArranger[[#This Row],[ID_EC]]="","",IF(INDEX(TR_5ExemptionClaim[CRPF name],MATCH(TR_6RecyclingArranger[[#This Row],[ID_EC]],TR_5ExemptionClaim[ID_EC],0))=0,"None",INDEX(TR_5ExemptionClaim[CRPF name],MATCH(TR_6RecyclingArranger[[#This Row],[ID_EC]],TR_5ExemptionClaim[ID_EC],0))))</f>
        <v/>
      </c>
      <c r="G178" s="45"/>
      <c r="H178" s="108"/>
      <c r="I178" s="47"/>
      <c r="J178" s="48"/>
      <c r="K178" s="47"/>
      <c r="L178" s="79">
        <f>IF(COUNTIFS(TR_6RecyclingArranger[ID_EC],TR_6RecyclingArranger[[#This Row],[ID_EC]],TR_6RecyclingArranger[Name of Third-Party Recycling Arranger],TR_6RecyclingArranger[[#This Row],[Name of Third-Party Recycling Arranger]])&gt;1,1,0)</f>
        <v>0</v>
      </c>
      <c r="M178" s="79">
        <f>IF(TR_6RecyclingArranger[[#This Row],[ID_EC]]="",0,IFERROR(0*MATCH(TR_6RecyclingArranger[[#This Row],[ID_EC]],TR_5ExemptionClaim[Lookup: for arranger tab],0),1))</f>
        <v>0</v>
      </c>
      <c r="N178" s="79">
        <f>IF(TR_6RecyclingArranger[[#This Row],[ID_EC]]="",0,IF(COUNTA(TR_6RecyclingArranger[[#This Row],[Name of Third-Party Recycling Arranger]],TR_6RecyclingArranger[[#This Row],[Pounds of Producer''s Material Recycled by this Recycling Arranger]:[Recycling Arranger Contact Email]])=7,0,1))</f>
        <v>0</v>
      </c>
      <c r="O178" s="79">
        <f>IF(TR_6RecyclingArranger[[#This Row],[ID_EC]]&lt;&gt;"",0,IF(COUNTA(TR_6RecyclingArranger[[#This Row],[Name of Third-Party Recycling Arranger]],TR_6RecyclingArranger[[#This Row],[Pounds of Producer''s Material Recycled by this Recycling Arranger]:[Recycling Arranger Contact Email]])&gt;0,1,0))</f>
        <v>0</v>
      </c>
      <c r="P178" s="79">
        <f>IF(TR_6RecyclingArranger[[#This Row],[Lookup: pounds (this table)]]&gt;TR_6RecyclingArranger[[#This Row],[Lookup: pounds (5B tab)]],1,0)</f>
        <v>0</v>
      </c>
      <c r="Q178" s="77">
        <f>SUMIFS(TR_6RecyclingArranger[Pounds of Producer''s Material Recycled by this Recycling Arranger],TR_6RecyclingArranger[ID_EC],TR_6RecyclingArranger[[#This Row],[ID_EC]])</f>
        <v>0</v>
      </c>
      <c r="R178" s="77">
        <f>IFERROR(INDEX(TR_5ExemptionClaim[How many of the pounds recycled through this pathway were supplied by this producer?],MATCH(TR_6RecyclingArranger[[#This Row],[ID_EC]],TR_5ExemptionClaim[ID_EC],0)),0)</f>
        <v>0</v>
      </c>
      <c r="S178" s="80" t="str">
        <f t="shared" si="2"/>
        <v/>
      </c>
      <c r="T178" s="40"/>
      <c r="U178" s="58"/>
    </row>
    <row r="179" spans="1:21" ht="30.75" customHeight="1" x14ac:dyDescent="0.2">
      <c r="A179" s="82" t="s">
        <v>563</v>
      </c>
      <c r="B179" s="46"/>
      <c r="C179" s="113"/>
      <c r="D179" s="214" t="str">
        <f>IF(TR_6RecyclingArranger[[#This Row],[ID_EC]]="","",INDEX(TR_5ExemptionClaim[End Market Name],MATCH(TR_6RecyclingArranger[[#This Row],[ID_EC]],TR_5ExemptionClaim[ID_EC],0)))</f>
        <v/>
      </c>
      <c r="E179" s="214" t="str">
        <f>IF(TR_6RecyclingArranger[[#This Row],[ID_EC]]="","",INDEX(TR_5ExemptionClaim[Collection or Transportation Service Provider Name],MATCH(TR_6RecyclingArranger[[#This Row],[ID_EC]],TR_5ExemptionClaim[ID_EC],0)))</f>
        <v/>
      </c>
      <c r="F179" s="214" t="str">
        <f>IF(TR_6RecyclingArranger[[#This Row],[ID_EC]]="","",IF(INDEX(TR_5ExemptionClaim[CRPF name],MATCH(TR_6RecyclingArranger[[#This Row],[ID_EC]],TR_5ExemptionClaim[ID_EC],0))=0,"None",INDEX(TR_5ExemptionClaim[CRPF name],MATCH(TR_6RecyclingArranger[[#This Row],[ID_EC]],TR_5ExemptionClaim[ID_EC],0))))</f>
        <v/>
      </c>
      <c r="G179" s="45"/>
      <c r="H179" s="108"/>
      <c r="I179" s="47"/>
      <c r="J179" s="48"/>
      <c r="K179" s="47"/>
      <c r="L179" s="79">
        <f>IF(COUNTIFS(TR_6RecyclingArranger[ID_EC],TR_6RecyclingArranger[[#This Row],[ID_EC]],TR_6RecyclingArranger[Name of Third-Party Recycling Arranger],TR_6RecyclingArranger[[#This Row],[Name of Third-Party Recycling Arranger]])&gt;1,1,0)</f>
        <v>0</v>
      </c>
      <c r="M179" s="79">
        <f>IF(TR_6RecyclingArranger[[#This Row],[ID_EC]]="",0,IFERROR(0*MATCH(TR_6RecyclingArranger[[#This Row],[ID_EC]],TR_5ExemptionClaim[Lookup: for arranger tab],0),1))</f>
        <v>0</v>
      </c>
      <c r="N179" s="79">
        <f>IF(TR_6RecyclingArranger[[#This Row],[ID_EC]]="",0,IF(COUNTA(TR_6RecyclingArranger[[#This Row],[Name of Third-Party Recycling Arranger]],TR_6RecyclingArranger[[#This Row],[Pounds of Producer''s Material Recycled by this Recycling Arranger]:[Recycling Arranger Contact Email]])=7,0,1))</f>
        <v>0</v>
      </c>
      <c r="O179" s="79">
        <f>IF(TR_6RecyclingArranger[[#This Row],[ID_EC]]&lt;&gt;"",0,IF(COUNTA(TR_6RecyclingArranger[[#This Row],[Name of Third-Party Recycling Arranger]],TR_6RecyclingArranger[[#This Row],[Pounds of Producer''s Material Recycled by this Recycling Arranger]:[Recycling Arranger Contact Email]])&gt;0,1,0))</f>
        <v>0</v>
      </c>
      <c r="P179" s="79">
        <f>IF(TR_6RecyclingArranger[[#This Row],[Lookup: pounds (this table)]]&gt;TR_6RecyclingArranger[[#This Row],[Lookup: pounds (5B tab)]],1,0)</f>
        <v>0</v>
      </c>
      <c r="Q179" s="77">
        <f>SUMIFS(TR_6RecyclingArranger[Pounds of Producer''s Material Recycled by this Recycling Arranger],TR_6RecyclingArranger[ID_EC],TR_6RecyclingArranger[[#This Row],[ID_EC]])</f>
        <v>0</v>
      </c>
      <c r="R179" s="77">
        <f>IFERROR(INDEX(TR_5ExemptionClaim[How many of the pounds recycled through this pathway were supplied by this producer?],MATCH(TR_6RecyclingArranger[[#This Row],[ID_EC]],TR_5ExemptionClaim[ID_EC],0)),0)</f>
        <v>0</v>
      </c>
      <c r="S179" s="80" t="str">
        <f t="shared" si="2"/>
        <v/>
      </c>
      <c r="T179" s="40"/>
      <c r="U179" s="58"/>
    </row>
    <row r="180" spans="1:21" ht="30.75" customHeight="1" x14ac:dyDescent="0.2">
      <c r="A180" s="82" t="s">
        <v>564</v>
      </c>
      <c r="B180" s="46"/>
      <c r="C180" s="113"/>
      <c r="D180" s="214" t="str">
        <f>IF(TR_6RecyclingArranger[[#This Row],[ID_EC]]="","",INDEX(TR_5ExemptionClaim[End Market Name],MATCH(TR_6RecyclingArranger[[#This Row],[ID_EC]],TR_5ExemptionClaim[ID_EC],0)))</f>
        <v/>
      </c>
      <c r="E180" s="214" t="str">
        <f>IF(TR_6RecyclingArranger[[#This Row],[ID_EC]]="","",INDEX(TR_5ExemptionClaim[Collection or Transportation Service Provider Name],MATCH(TR_6RecyclingArranger[[#This Row],[ID_EC]],TR_5ExemptionClaim[ID_EC],0)))</f>
        <v/>
      </c>
      <c r="F180" s="214" t="str">
        <f>IF(TR_6RecyclingArranger[[#This Row],[ID_EC]]="","",IF(INDEX(TR_5ExemptionClaim[CRPF name],MATCH(TR_6RecyclingArranger[[#This Row],[ID_EC]],TR_5ExemptionClaim[ID_EC],0))=0,"None",INDEX(TR_5ExemptionClaim[CRPF name],MATCH(TR_6RecyclingArranger[[#This Row],[ID_EC]],TR_5ExemptionClaim[ID_EC],0))))</f>
        <v/>
      </c>
      <c r="G180" s="45"/>
      <c r="H180" s="108"/>
      <c r="I180" s="47"/>
      <c r="J180" s="48"/>
      <c r="K180" s="47"/>
      <c r="L180" s="79">
        <f>IF(COUNTIFS(TR_6RecyclingArranger[ID_EC],TR_6RecyclingArranger[[#This Row],[ID_EC]],TR_6RecyclingArranger[Name of Third-Party Recycling Arranger],TR_6RecyclingArranger[[#This Row],[Name of Third-Party Recycling Arranger]])&gt;1,1,0)</f>
        <v>0</v>
      </c>
      <c r="M180" s="79">
        <f>IF(TR_6RecyclingArranger[[#This Row],[ID_EC]]="",0,IFERROR(0*MATCH(TR_6RecyclingArranger[[#This Row],[ID_EC]],TR_5ExemptionClaim[Lookup: for arranger tab],0),1))</f>
        <v>0</v>
      </c>
      <c r="N180" s="79">
        <f>IF(TR_6RecyclingArranger[[#This Row],[ID_EC]]="",0,IF(COUNTA(TR_6RecyclingArranger[[#This Row],[Name of Third-Party Recycling Arranger]],TR_6RecyclingArranger[[#This Row],[Pounds of Producer''s Material Recycled by this Recycling Arranger]:[Recycling Arranger Contact Email]])=7,0,1))</f>
        <v>0</v>
      </c>
      <c r="O180" s="79">
        <f>IF(TR_6RecyclingArranger[[#This Row],[ID_EC]]&lt;&gt;"",0,IF(COUNTA(TR_6RecyclingArranger[[#This Row],[Name of Third-Party Recycling Arranger]],TR_6RecyclingArranger[[#This Row],[Pounds of Producer''s Material Recycled by this Recycling Arranger]:[Recycling Arranger Contact Email]])&gt;0,1,0))</f>
        <v>0</v>
      </c>
      <c r="P180" s="79">
        <f>IF(TR_6RecyclingArranger[[#This Row],[Lookup: pounds (this table)]]&gt;TR_6RecyclingArranger[[#This Row],[Lookup: pounds (5B tab)]],1,0)</f>
        <v>0</v>
      </c>
      <c r="Q180" s="77">
        <f>SUMIFS(TR_6RecyclingArranger[Pounds of Producer''s Material Recycled by this Recycling Arranger],TR_6RecyclingArranger[ID_EC],TR_6RecyclingArranger[[#This Row],[ID_EC]])</f>
        <v>0</v>
      </c>
      <c r="R180" s="77">
        <f>IFERROR(INDEX(TR_5ExemptionClaim[How many of the pounds recycled through this pathway were supplied by this producer?],MATCH(TR_6RecyclingArranger[[#This Row],[ID_EC]],TR_5ExemptionClaim[ID_EC],0)),0)</f>
        <v>0</v>
      </c>
      <c r="S180" s="80" t="str">
        <f t="shared" si="2"/>
        <v/>
      </c>
      <c r="T180" s="40"/>
      <c r="U180" s="58"/>
    </row>
    <row r="181" spans="1:21" ht="30.75" customHeight="1" x14ac:dyDescent="0.2">
      <c r="A181" s="82" t="s">
        <v>565</v>
      </c>
      <c r="B181" s="46"/>
      <c r="C181" s="113"/>
      <c r="D181" s="214" t="str">
        <f>IF(TR_6RecyclingArranger[[#This Row],[ID_EC]]="","",INDEX(TR_5ExemptionClaim[End Market Name],MATCH(TR_6RecyclingArranger[[#This Row],[ID_EC]],TR_5ExemptionClaim[ID_EC],0)))</f>
        <v/>
      </c>
      <c r="E181" s="214" t="str">
        <f>IF(TR_6RecyclingArranger[[#This Row],[ID_EC]]="","",INDEX(TR_5ExemptionClaim[Collection or Transportation Service Provider Name],MATCH(TR_6RecyclingArranger[[#This Row],[ID_EC]],TR_5ExemptionClaim[ID_EC],0)))</f>
        <v/>
      </c>
      <c r="F181" s="214" t="str">
        <f>IF(TR_6RecyclingArranger[[#This Row],[ID_EC]]="","",IF(INDEX(TR_5ExemptionClaim[CRPF name],MATCH(TR_6RecyclingArranger[[#This Row],[ID_EC]],TR_5ExemptionClaim[ID_EC],0))=0,"None",INDEX(TR_5ExemptionClaim[CRPF name],MATCH(TR_6RecyclingArranger[[#This Row],[ID_EC]],TR_5ExemptionClaim[ID_EC],0))))</f>
        <v/>
      </c>
      <c r="G181" s="45"/>
      <c r="H181" s="108"/>
      <c r="I181" s="47"/>
      <c r="J181" s="48"/>
      <c r="K181" s="47"/>
      <c r="L181" s="79">
        <f>IF(COUNTIFS(TR_6RecyclingArranger[ID_EC],TR_6RecyclingArranger[[#This Row],[ID_EC]],TR_6RecyclingArranger[Name of Third-Party Recycling Arranger],TR_6RecyclingArranger[[#This Row],[Name of Third-Party Recycling Arranger]])&gt;1,1,0)</f>
        <v>0</v>
      </c>
      <c r="M181" s="79">
        <f>IF(TR_6RecyclingArranger[[#This Row],[ID_EC]]="",0,IFERROR(0*MATCH(TR_6RecyclingArranger[[#This Row],[ID_EC]],TR_5ExemptionClaim[Lookup: for arranger tab],0),1))</f>
        <v>0</v>
      </c>
      <c r="N181" s="79">
        <f>IF(TR_6RecyclingArranger[[#This Row],[ID_EC]]="",0,IF(COUNTA(TR_6RecyclingArranger[[#This Row],[Name of Third-Party Recycling Arranger]],TR_6RecyclingArranger[[#This Row],[Pounds of Producer''s Material Recycled by this Recycling Arranger]:[Recycling Arranger Contact Email]])=7,0,1))</f>
        <v>0</v>
      </c>
      <c r="O181" s="79">
        <f>IF(TR_6RecyclingArranger[[#This Row],[ID_EC]]&lt;&gt;"",0,IF(COUNTA(TR_6RecyclingArranger[[#This Row],[Name of Third-Party Recycling Arranger]],TR_6RecyclingArranger[[#This Row],[Pounds of Producer''s Material Recycled by this Recycling Arranger]:[Recycling Arranger Contact Email]])&gt;0,1,0))</f>
        <v>0</v>
      </c>
      <c r="P181" s="79">
        <f>IF(TR_6RecyclingArranger[[#This Row],[Lookup: pounds (this table)]]&gt;TR_6RecyclingArranger[[#This Row],[Lookup: pounds (5B tab)]],1,0)</f>
        <v>0</v>
      </c>
      <c r="Q181" s="77">
        <f>SUMIFS(TR_6RecyclingArranger[Pounds of Producer''s Material Recycled by this Recycling Arranger],TR_6RecyclingArranger[ID_EC],TR_6RecyclingArranger[[#This Row],[ID_EC]])</f>
        <v>0</v>
      </c>
      <c r="R181" s="77">
        <f>IFERROR(INDEX(TR_5ExemptionClaim[How many of the pounds recycled through this pathway were supplied by this producer?],MATCH(TR_6RecyclingArranger[[#This Row],[ID_EC]],TR_5ExemptionClaim[ID_EC],0)),0)</f>
        <v>0</v>
      </c>
      <c r="S181" s="80" t="str">
        <f t="shared" si="2"/>
        <v/>
      </c>
      <c r="T181" s="40"/>
      <c r="U181" s="58"/>
    </row>
    <row r="182" spans="1:21" ht="30.75" customHeight="1" x14ac:dyDescent="0.2">
      <c r="A182" s="82" t="s">
        <v>566</v>
      </c>
      <c r="B182" s="46"/>
      <c r="C182" s="113"/>
      <c r="D182" s="214" t="str">
        <f>IF(TR_6RecyclingArranger[[#This Row],[ID_EC]]="","",INDEX(TR_5ExemptionClaim[End Market Name],MATCH(TR_6RecyclingArranger[[#This Row],[ID_EC]],TR_5ExemptionClaim[ID_EC],0)))</f>
        <v/>
      </c>
      <c r="E182" s="214" t="str">
        <f>IF(TR_6RecyclingArranger[[#This Row],[ID_EC]]="","",INDEX(TR_5ExemptionClaim[Collection or Transportation Service Provider Name],MATCH(TR_6RecyclingArranger[[#This Row],[ID_EC]],TR_5ExemptionClaim[ID_EC],0)))</f>
        <v/>
      </c>
      <c r="F182" s="214" t="str">
        <f>IF(TR_6RecyclingArranger[[#This Row],[ID_EC]]="","",IF(INDEX(TR_5ExemptionClaim[CRPF name],MATCH(TR_6RecyclingArranger[[#This Row],[ID_EC]],TR_5ExemptionClaim[ID_EC],0))=0,"None",INDEX(TR_5ExemptionClaim[CRPF name],MATCH(TR_6RecyclingArranger[[#This Row],[ID_EC]],TR_5ExemptionClaim[ID_EC],0))))</f>
        <v/>
      </c>
      <c r="G182" s="45"/>
      <c r="H182" s="108"/>
      <c r="I182" s="47"/>
      <c r="J182" s="48"/>
      <c r="K182" s="47"/>
      <c r="L182" s="79">
        <f>IF(COUNTIFS(TR_6RecyclingArranger[ID_EC],TR_6RecyclingArranger[[#This Row],[ID_EC]],TR_6RecyclingArranger[Name of Third-Party Recycling Arranger],TR_6RecyclingArranger[[#This Row],[Name of Third-Party Recycling Arranger]])&gt;1,1,0)</f>
        <v>0</v>
      </c>
      <c r="M182" s="79">
        <f>IF(TR_6RecyclingArranger[[#This Row],[ID_EC]]="",0,IFERROR(0*MATCH(TR_6RecyclingArranger[[#This Row],[ID_EC]],TR_5ExemptionClaim[Lookup: for arranger tab],0),1))</f>
        <v>0</v>
      </c>
      <c r="N182" s="79">
        <f>IF(TR_6RecyclingArranger[[#This Row],[ID_EC]]="",0,IF(COUNTA(TR_6RecyclingArranger[[#This Row],[Name of Third-Party Recycling Arranger]],TR_6RecyclingArranger[[#This Row],[Pounds of Producer''s Material Recycled by this Recycling Arranger]:[Recycling Arranger Contact Email]])=7,0,1))</f>
        <v>0</v>
      </c>
      <c r="O182" s="79">
        <f>IF(TR_6RecyclingArranger[[#This Row],[ID_EC]]&lt;&gt;"",0,IF(COUNTA(TR_6RecyclingArranger[[#This Row],[Name of Third-Party Recycling Arranger]],TR_6RecyclingArranger[[#This Row],[Pounds of Producer''s Material Recycled by this Recycling Arranger]:[Recycling Arranger Contact Email]])&gt;0,1,0))</f>
        <v>0</v>
      </c>
      <c r="P182" s="79">
        <f>IF(TR_6RecyclingArranger[[#This Row],[Lookup: pounds (this table)]]&gt;TR_6RecyclingArranger[[#This Row],[Lookup: pounds (5B tab)]],1,0)</f>
        <v>0</v>
      </c>
      <c r="Q182" s="77">
        <f>SUMIFS(TR_6RecyclingArranger[Pounds of Producer''s Material Recycled by this Recycling Arranger],TR_6RecyclingArranger[ID_EC],TR_6RecyclingArranger[[#This Row],[ID_EC]])</f>
        <v>0</v>
      </c>
      <c r="R182" s="77">
        <f>IFERROR(INDEX(TR_5ExemptionClaim[How many of the pounds recycled through this pathway were supplied by this producer?],MATCH(TR_6RecyclingArranger[[#This Row],[ID_EC]],TR_5ExemptionClaim[ID_EC],0)),0)</f>
        <v>0</v>
      </c>
      <c r="S182" s="80" t="str">
        <f t="shared" si="2"/>
        <v/>
      </c>
      <c r="T182" s="40"/>
      <c r="U182" s="58"/>
    </row>
    <row r="183" spans="1:21" ht="30.75" customHeight="1" x14ac:dyDescent="0.2">
      <c r="A183" s="82" t="s">
        <v>567</v>
      </c>
      <c r="B183" s="46"/>
      <c r="C183" s="113"/>
      <c r="D183" s="214" t="str">
        <f>IF(TR_6RecyclingArranger[[#This Row],[ID_EC]]="","",INDEX(TR_5ExemptionClaim[End Market Name],MATCH(TR_6RecyclingArranger[[#This Row],[ID_EC]],TR_5ExemptionClaim[ID_EC],0)))</f>
        <v/>
      </c>
      <c r="E183" s="214" t="str">
        <f>IF(TR_6RecyclingArranger[[#This Row],[ID_EC]]="","",INDEX(TR_5ExemptionClaim[Collection or Transportation Service Provider Name],MATCH(TR_6RecyclingArranger[[#This Row],[ID_EC]],TR_5ExemptionClaim[ID_EC],0)))</f>
        <v/>
      </c>
      <c r="F183" s="214" t="str">
        <f>IF(TR_6RecyclingArranger[[#This Row],[ID_EC]]="","",IF(INDEX(TR_5ExemptionClaim[CRPF name],MATCH(TR_6RecyclingArranger[[#This Row],[ID_EC]],TR_5ExemptionClaim[ID_EC],0))=0,"None",INDEX(TR_5ExemptionClaim[CRPF name],MATCH(TR_6RecyclingArranger[[#This Row],[ID_EC]],TR_5ExemptionClaim[ID_EC],0))))</f>
        <v/>
      </c>
      <c r="G183" s="45"/>
      <c r="H183" s="108"/>
      <c r="I183" s="47"/>
      <c r="J183" s="48"/>
      <c r="K183" s="47"/>
      <c r="L183" s="79">
        <f>IF(COUNTIFS(TR_6RecyclingArranger[ID_EC],TR_6RecyclingArranger[[#This Row],[ID_EC]],TR_6RecyclingArranger[Name of Third-Party Recycling Arranger],TR_6RecyclingArranger[[#This Row],[Name of Third-Party Recycling Arranger]])&gt;1,1,0)</f>
        <v>0</v>
      </c>
      <c r="M183" s="79">
        <f>IF(TR_6RecyclingArranger[[#This Row],[ID_EC]]="",0,IFERROR(0*MATCH(TR_6RecyclingArranger[[#This Row],[ID_EC]],TR_5ExemptionClaim[Lookup: for arranger tab],0),1))</f>
        <v>0</v>
      </c>
      <c r="N183" s="79">
        <f>IF(TR_6RecyclingArranger[[#This Row],[ID_EC]]="",0,IF(COUNTA(TR_6RecyclingArranger[[#This Row],[Name of Third-Party Recycling Arranger]],TR_6RecyclingArranger[[#This Row],[Pounds of Producer''s Material Recycled by this Recycling Arranger]:[Recycling Arranger Contact Email]])=7,0,1))</f>
        <v>0</v>
      </c>
      <c r="O183" s="79">
        <f>IF(TR_6RecyclingArranger[[#This Row],[ID_EC]]&lt;&gt;"",0,IF(COUNTA(TR_6RecyclingArranger[[#This Row],[Name of Third-Party Recycling Arranger]],TR_6RecyclingArranger[[#This Row],[Pounds of Producer''s Material Recycled by this Recycling Arranger]:[Recycling Arranger Contact Email]])&gt;0,1,0))</f>
        <v>0</v>
      </c>
      <c r="P183" s="79">
        <f>IF(TR_6RecyclingArranger[[#This Row],[Lookup: pounds (this table)]]&gt;TR_6RecyclingArranger[[#This Row],[Lookup: pounds (5B tab)]],1,0)</f>
        <v>0</v>
      </c>
      <c r="Q183" s="77">
        <f>SUMIFS(TR_6RecyclingArranger[Pounds of Producer''s Material Recycled by this Recycling Arranger],TR_6RecyclingArranger[ID_EC],TR_6RecyclingArranger[[#This Row],[ID_EC]])</f>
        <v>0</v>
      </c>
      <c r="R183" s="77">
        <f>IFERROR(INDEX(TR_5ExemptionClaim[How many of the pounds recycled through this pathway were supplied by this producer?],MATCH(TR_6RecyclingArranger[[#This Row],[ID_EC]],TR_5ExemptionClaim[ID_EC],0)),0)</f>
        <v>0</v>
      </c>
      <c r="S183" s="80" t="str">
        <f t="shared" si="2"/>
        <v/>
      </c>
      <c r="T183" s="40"/>
      <c r="U183" s="58"/>
    </row>
    <row r="184" spans="1:21" ht="30.75" customHeight="1" x14ac:dyDescent="0.2">
      <c r="A184" s="82" t="s">
        <v>568</v>
      </c>
      <c r="B184" s="46"/>
      <c r="C184" s="113"/>
      <c r="D184" s="214" t="str">
        <f>IF(TR_6RecyclingArranger[[#This Row],[ID_EC]]="","",INDEX(TR_5ExemptionClaim[End Market Name],MATCH(TR_6RecyclingArranger[[#This Row],[ID_EC]],TR_5ExemptionClaim[ID_EC],0)))</f>
        <v/>
      </c>
      <c r="E184" s="214" t="str">
        <f>IF(TR_6RecyclingArranger[[#This Row],[ID_EC]]="","",INDEX(TR_5ExemptionClaim[Collection or Transportation Service Provider Name],MATCH(TR_6RecyclingArranger[[#This Row],[ID_EC]],TR_5ExemptionClaim[ID_EC],0)))</f>
        <v/>
      </c>
      <c r="F184" s="214" t="str">
        <f>IF(TR_6RecyclingArranger[[#This Row],[ID_EC]]="","",IF(INDEX(TR_5ExemptionClaim[CRPF name],MATCH(TR_6RecyclingArranger[[#This Row],[ID_EC]],TR_5ExemptionClaim[ID_EC],0))=0,"None",INDEX(TR_5ExemptionClaim[CRPF name],MATCH(TR_6RecyclingArranger[[#This Row],[ID_EC]],TR_5ExemptionClaim[ID_EC],0))))</f>
        <v/>
      </c>
      <c r="G184" s="45"/>
      <c r="H184" s="108"/>
      <c r="I184" s="47"/>
      <c r="J184" s="48"/>
      <c r="K184" s="47"/>
      <c r="L184" s="79">
        <f>IF(COUNTIFS(TR_6RecyclingArranger[ID_EC],TR_6RecyclingArranger[[#This Row],[ID_EC]],TR_6RecyclingArranger[Name of Third-Party Recycling Arranger],TR_6RecyclingArranger[[#This Row],[Name of Third-Party Recycling Arranger]])&gt;1,1,0)</f>
        <v>0</v>
      </c>
      <c r="M184" s="79">
        <f>IF(TR_6RecyclingArranger[[#This Row],[ID_EC]]="",0,IFERROR(0*MATCH(TR_6RecyclingArranger[[#This Row],[ID_EC]],TR_5ExemptionClaim[Lookup: for arranger tab],0),1))</f>
        <v>0</v>
      </c>
      <c r="N184" s="79">
        <f>IF(TR_6RecyclingArranger[[#This Row],[ID_EC]]="",0,IF(COUNTA(TR_6RecyclingArranger[[#This Row],[Name of Third-Party Recycling Arranger]],TR_6RecyclingArranger[[#This Row],[Pounds of Producer''s Material Recycled by this Recycling Arranger]:[Recycling Arranger Contact Email]])=7,0,1))</f>
        <v>0</v>
      </c>
      <c r="O184" s="79">
        <f>IF(TR_6RecyclingArranger[[#This Row],[ID_EC]]&lt;&gt;"",0,IF(COUNTA(TR_6RecyclingArranger[[#This Row],[Name of Third-Party Recycling Arranger]],TR_6RecyclingArranger[[#This Row],[Pounds of Producer''s Material Recycled by this Recycling Arranger]:[Recycling Arranger Contact Email]])&gt;0,1,0))</f>
        <v>0</v>
      </c>
      <c r="P184" s="79">
        <f>IF(TR_6RecyclingArranger[[#This Row],[Lookup: pounds (this table)]]&gt;TR_6RecyclingArranger[[#This Row],[Lookup: pounds (5B tab)]],1,0)</f>
        <v>0</v>
      </c>
      <c r="Q184" s="77">
        <f>SUMIFS(TR_6RecyclingArranger[Pounds of Producer''s Material Recycled by this Recycling Arranger],TR_6RecyclingArranger[ID_EC],TR_6RecyclingArranger[[#This Row],[ID_EC]])</f>
        <v>0</v>
      </c>
      <c r="R184" s="77">
        <f>IFERROR(INDEX(TR_5ExemptionClaim[How many of the pounds recycled through this pathway were supplied by this producer?],MATCH(TR_6RecyclingArranger[[#This Row],[ID_EC]],TR_5ExemptionClaim[ID_EC],0)),0)</f>
        <v>0</v>
      </c>
      <c r="S184" s="80" t="str">
        <f t="shared" si="2"/>
        <v/>
      </c>
      <c r="T184" s="40"/>
      <c r="U184" s="58"/>
    </row>
    <row r="185" spans="1:21" ht="30.75" customHeight="1" x14ac:dyDescent="0.2">
      <c r="A185" s="82" t="s">
        <v>569</v>
      </c>
      <c r="B185" s="46"/>
      <c r="C185" s="113"/>
      <c r="D185" s="214" t="str">
        <f>IF(TR_6RecyclingArranger[[#This Row],[ID_EC]]="","",INDEX(TR_5ExemptionClaim[End Market Name],MATCH(TR_6RecyclingArranger[[#This Row],[ID_EC]],TR_5ExemptionClaim[ID_EC],0)))</f>
        <v/>
      </c>
      <c r="E185" s="214" t="str">
        <f>IF(TR_6RecyclingArranger[[#This Row],[ID_EC]]="","",INDEX(TR_5ExemptionClaim[Collection or Transportation Service Provider Name],MATCH(TR_6RecyclingArranger[[#This Row],[ID_EC]],TR_5ExemptionClaim[ID_EC],0)))</f>
        <v/>
      </c>
      <c r="F185" s="214" t="str">
        <f>IF(TR_6RecyclingArranger[[#This Row],[ID_EC]]="","",IF(INDEX(TR_5ExemptionClaim[CRPF name],MATCH(TR_6RecyclingArranger[[#This Row],[ID_EC]],TR_5ExemptionClaim[ID_EC],0))=0,"None",INDEX(TR_5ExemptionClaim[CRPF name],MATCH(TR_6RecyclingArranger[[#This Row],[ID_EC]],TR_5ExemptionClaim[ID_EC],0))))</f>
        <v/>
      </c>
      <c r="G185" s="45"/>
      <c r="H185" s="108"/>
      <c r="I185" s="47"/>
      <c r="J185" s="48"/>
      <c r="K185" s="47"/>
      <c r="L185" s="79">
        <f>IF(COUNTIFS(TR_6RecyclingArranger[ID_EC],TR_6RecyclingArranger[[#This Row],[ID_EC]],TR_6RecyclingArranger[Name of Third-Party Recycling Arranger],TR_6RecyclingArranger[[#This Row],[Name of Third-Party Recycling Arranger]])&gt;1,1,0)</f>
        <v>0</v>
      </c>
      <c r="M185" s="79">
        <f>IF(TR_6RecyclingArranger[[#This Row],[ID_EC]]="",0,IFERROR(0*MATCH(TR_6RecyclingArranger[[#This Row],[ID_EC]],TR_5ExemptionClaim[Lookup: for arranger tab],0),1))</f>
        <v>0</v>
      </c>
      <c r="N185" s="79">
        <f>IF(TR_6RecyclingArranger[[#This Row],[ID_EC]]="",0,IF(COUNTA(TR_6RecyclingArranger[[#This Row],[Name of Third-Party Recycling Arranger]],TR_6RecyclingArranger[[#This Row],[Pounds of Producer''s Material Recycled by this Recycling Arranger]:[Recycling Arranger Contact Email]])=7,0,1))</f>
        <v>0</v>
      </c>
      <c r="O185" s="79">
        <f>IF(TR_6RecyclingArranger[[#This Row],[ID_EC]]&lt;&gt;"",0,IF(COUNTA(TR_6RecyclingArranger[[#This Row],[Name of Third-Party Recycling Arranger]],TR_6RecyclingArranger[[#This Row],[Pounds of Producer''s Material Recycled by this Recycling Arranger]:[Recycling Arranger Contact Email]])&gt;0,1,0))</f>
        <v>0</v>
      </c>
      <c r="P185" s="79">
        <f>IF(TR_6RecyclingArranger[[#This Row],[Lookup: pounds (this table)]]&gt;TR_6RecyclingArranger[[#This Row],[Lookup: pounds (5B tab)]],1,0)</f>
        <v>0</v>
      </c>
      <c r="Q185" s="77">
        <f>SUMIFS(TR_6RecyclingArranger[Pounds of Producer''s Material Recycled by this Recycling Arranger],TR_6RecyclingArranger[ID_EC],TR_6RecyclingArranger[[#This Row],[ID_EC]])</f>
        <v>0</v>
      </c>
      <c r="R185" s="77">
        <f>IFERROR(INDEX(TR_5ExemptionClaim[How many of the pounds recycled through this pathway were supplied by this producer?],MATCH(TR_6RecyclingArranger[[#This Row],[ID_EC]],TR_5ExemptionClaim[ID_EC],0)),0)</f>
        <v>0</v>
      </c>
      <c r="S185" s="80" t="str">
        <f t="shared" si="2"/>
        <v/>
      </c>
      <c r="T185" s="40"/>
      <c r="U185" s="58"/>
    </row>
    <row r="186" spans="1:21" ht="30.75" customHeight="1" x14ac:dyDescent="0.2">
      <c r="A186" s="82" t="s">
        <v>570</v>
      </c>
      <c r="B186" s="46"/>
      <c r="C186" s="113"/>
      <c r="D186" s="214" t="str">
        <f>IF(TR_6RecyclingArranger[[#This Row],[ID_EC]]="","",INDEX(TR_5ExemptionClaim[End Market Name],MATCH(TR_6RecyclingArranger[[#This Row],[ID_EC]],TR_5ExemptionClaim[ID_EC],0)))</f>
        <v/>
      </c>
      <c r="E186" s="214" t="str">
        <f>IF(TR_6RecyclingArranger[[#This Row],[ID_EC]]="","",INDEX(TR_5ExemptionClaim[Collection or Transportation Service Provider Name],MATCH(TR_6RecyclingArranger[[#This Row],[ID_EC]],TR_5ExemptionClaim[ID_EC],0)))</f>
        <v/>
      </c>
      <c r="F186" s="214" t="str">
        <f>IF(TR_6RecyclingArranger[[#This Row],[ID_EC]]="","",IF(INDEX(TR_5ExemptionClaim[CRPF name],MATCH(TR_6RecyclingArranger[[#This Row],[ID_EC]],TR_5ExemptionClaim[ID_EC],0))=0,"None",INDEX(TR_5ExemptionClaim[CRPF name],MATCH(TR_6RecyclingArranger[[#This Row],[ID_EC]],TR_5ExemptionClaim[ID_EC],0))))</f>
        <v/>
      </c>
      <c r="G186" s="45"/>
      <c r="H186" s="108"/>
      <c r="I186" s="47"/>
      <c r="J186" s="48"/>
      <c r="K186" s="47"/>
      <c r="L186" s="79">
        <f>IF(COUNTIFS(TR_6RecyclingArranger[ID_EC],TR_6RecyclingArranger[[#This Row],[ID_EC]],TR_6RecyclingArranger[Name of Third-Party Recycling Arranger],TR_6RecyclingArranger[[#This Row],[Name of Third-Party Recycling Arranger]])&gt;1,1,0)</f>
        <v>0</v>
      </c>
      <c r="M186" s="79">
        <f>IF(TR_6RecyclingArranger[[#This Row],[ID_EC]]="",0,IFERROR(0*MATCH(TR_6RecyclingArranger[[#This Row],[ID_EC]],TR_5ExemptionClaim[Lookup: for arranger tab],0),1))</f>
        <v>0</v>
      </c>
      <c r="N186" s="79">
        <f>IF(TR_6RecyclingArranger[[#This Row],[ID_EC]]="",0,IF(COUNTA(TR_6RecyclingArranger[[#This Row],[Name of Third-Party Recycling Arranger]],TR_6RecyclingArranger[[#This Row],[Pounds of Producer''s Material Recycled by this Recycling Arranger]:[Recycling Arranger Contact Email]])=7,0,1))</f>
        <v>0</v>
      </c>
      <c r="O186" s="79">
        <f>IF(TR_6RecyclingArranger[[#This Row],[ID_EC]]&lt;&gt;"",0,IF(COUNTA(TR_6RecyclingArranger[[#This Row],[Name of Third-Party Recycling Arranger]],TR_6RecyclingArranger[[#This Row],[Pounds of Producer''s Material Recycled by this Recycling Arranger]:[Recycling Arranger Contact Email]])&gt;0,1,0))</f>
        <v>0</v>
      </c>
      <c r="P186" s="79">
        <f>IF(TR_6RecyclingArranger[[#This Row],[Lookup: pounds (this table)]]&gt;TR_6RecyclingArranger[[#This Row],[Lookup: pounds (5B tab)]],1,0)</f>
        <v>0</v>
      </c>
      <c r="Q186" s="77">
        <f>SUMIFS(TR_6RecyclingArranger[Pounds of Producer''s Material Recycled by this Recycling Arranger],TR_6RecyclingArranger[ID_EC],TR_6RecyclingArranger[[#This Row],[ID_EC]])</f>
        <v>0</v>
      </c>
      <c r="R186" s="77">
        <f>IFERROR(INDEX(TR_5ExemptionClaim[How many of the pounds recycled through this pathway were supplied by this producer?],MATCH(TR_6RecyclingArranger[[#This Row],[ID_EC]],TR_5ExemptionClaim[ID_EC],0)),0)</f>
        <v>0</v>
      </c>
      <c r="S186" s="80" t="str">
        <f t="shared" si="2"/>
        <v/>
      </c>
      <c r="T186" s="40"/>
      <c r="U186" s="58"/>
    </row>
    <row r="187" spans="1:21" ht="30.75" customHeight="1" x14ac:dyDescent="0.2">
      <c r="A187" s="82" t="s">
        <v>571</v>
      </c>
      <c r="B187" s="46"/>
      <c r="C187" s="113"/>
      <c r="D187" s="214" t="str">
        <f>IF(TR_6RecyclingArranger[[#This Row],[ID_EC]]="","",INDEX(TR_5ExemptionClaim[End Market Name],MATCH(TR_6RecyclingArranger[[#This Row],[ID_EC]],TR_5ExemptionClaim[ID_EC],0)))</f>
        <v/>
      </c>
      <c r="E187" s="214" t="str">
        <f>IF(TR_6RecyclingArranger[[#This Row],[ID_EC]]="","",INDEX(TR_5ExemptionClaim[Collection or Transportation Service Provider Name],MATCH(TR_6RecyclingArranger[[#This Row],[ID_EC]],TR_5ExemptionClaim[ID_EC],0)))</f>
        <v/>
      </c>
      <c r="F187" s="214" t="str">
        <f>IF(TR_6RecyclingArranger[[#This Row],[ID_EC]]="","",IF(INDEX(TR_5ExemptionClaim[CRPF name],MATCH(TR_6RecyclingArranger[[#This Row],[ID_EC]],TR_5ExemptionClaim[ID_EC],0))=0,"None",INDEX(TR_5ExemptionClaim[CRPF name],MATCH(TR_6RecyclingArranger[[#This Row],[ID_EC]],TR_5ExemptionClaim[ID_EC],0))))</f>
        <v/>
      </c>
      <c r="G187" s="45"/>
      <c r="H187" s="108"/>
      <c r="I187" s="47"/>
      <c r="J187" s="48"/>
      <c r="K187" s="47"/>
      <c r="L187" s="79">
        <f>IF(COUNTIFS(TR_6RecyclingArranger[ID_EC],TR_6RecyclingArranger[[#This Row],[ID_EC]],TR_6RecyclingArranger[Name of Third-Party Recycling Arranger],TR_6RecyclingArranger[[#This Row],[Name of Third-Party Recycling Arranger]])&gt;1,1,0)</f>
        <v>0</v>
      </c>
      <c r="M187" s="79">
        <f>IF(TR_6RecyclingArranger[[#This Row],[ID_EC]]="",0,IFERROR(0*MATCH(TR_6RecyclingArranger[[#This Row],[ID_EC]],TR_5ExemptionClaim[Lookup: for arranger tab],0),1))</f>
        <v>0</v>
      </c>
      <c r="N187" s="79">
        <f>IF(TR_6RecyclingArranger[[#This Row],[ID_EC]]="",0,IF(COUNTA(TR_6RecyclingArranger[[#This Row],[Name of Third-Party Recycling Arranger]],TR_6RecyclingArranger[[#This Row],[Pounds of Producer''s Material Recycled by this Recycling Arranger]:[Recycling Arranger Contact Email]])=7,0,1))</f>
        <v>0</v>
      </c>
      <c r="O187" s="79">
        <f>IF(TR_6RecyclingArranger[[#This Row],[ID_EC]]&lt;&gt;"",0,IF(COUNTA(TR_6RecyclingArranger[[#This Row],[Name of Third-Party Recycling Arranger]],TR_6RecyclingArranger[[#This Row],[Pounds of Producer''s Material Recycled by this Recycling Arranger]:[Recycling Arranger Contact Email]])&gt;0,1,0))</f>
        <v>0</v>
      </c>
      <c r="P187" s="79">
        <f>IF(TR_6RecyclingArranger[[#This Row],[Lookup: pounds (this table)]]&gt;TR_6RecyclingArranger[[#This Row],[Lookup: pounds (5B tab)]],1,0)</f>
        <v>0</v>
      </c>
      <c r="Q187" s="77">
        <f>SUMIFS(TR_6RecyclingArranger[Pounds of Producer''s Material Recycled by this Recycling Arranger],TR_6RecyclingArranger[ID_EC],TR_6RecyclingArranger[[#This Row],[ID_EC]])</f>
        <v>0</v>
      </c>
      <c r="R187" s="77">
        <f>IFERROR(INDEX(TR_5ExemptionClaim[How many of the pounds recycled through this pathway were supplied by this producer?],MATCH(TR_6RecyclingArranger[[#This Row],[ID_EC]],TR_5ExemptionClaim[ID_EC],0)),0)</f>
        <v>0</v>
      </c>
      <c r="S187" s="80" t="str">
        <f t="shared" si="2"/>
        <v/>
      </c>
      <c r="T187" s="40"/>
      <c r="U187" s="58"/>
    </row>
    <row r="188" spans="1:21" ht="30.75" customHeight="1" x14ac:dyDescent="0.2">
      <c r="A188" s="82" t="s">
        <v>572</v>
      </c>
      <c r="B188" s="46"/>
      <c r="C188" s="113"/>
      <c r="D188" s="214" t="str">
        <f>IF(TR_6RecyclingArranger[[#This Row],[ID_EC]]="","",INDEX(TR_5ExemptionClaim[End Market Name],MATCH(TR_6RecyclingArranger[[#This Row],[ID_EC]],TR_5ExemptionClaim[ID_EC],0)))</f>
        <v/>
      </c>
      <c r="E188" s="214" t="str">
        <f>IF(TR_6RecyclingArranger[[#This Row],[ID_EC]]="","",INDEX(TR_5ExemptionClaim[Collection or Transportation Service Provider Name],MATCH(TR_6RecyclingArranger[[#This Row],[ID_EC]],TR_5ExemptionClaim[ID_EC],0)))</f>
        <v/>
      </c>
      <c r="F188" s="214" t="str">
        <f>IF(TR_6RecyclingArranger[[#This Row],[ID_EC]]="","",IF(INDEX(TR_5ExemptionClaim[CRPF name],MATCH(TR_6RecyclingArranger[[#This Row],[ID_EC]],TR_5ExemptionClaim[ID_EC],0))=0,"None",INDEX(TR_5ExemptionClaim[CRPF name],MATCH(TR_6RecyclingArranger[[#This Row],[ID_EC]],TR_5ExemptionClaim[ID_EC],0))))</f>
        <v/>
      </c>
      <c r="G188" s="45"/>
      <c r="H188" s="108"/>
      <c r="I188" s="47"/>
      <c r="J188" s="48"/>
      <c r="K188" s="47"/>
      <c r="L188" s="79">
        <f>IF(COUNTIFS(TR_6RecyclingArranger[ID_EC],TR_6RecyclingArranger[[#This Row],[ID_EC]],TR_6RecyclingArranger[Name of Third-Party Recycling Arranger],TR_6RecyclingArranger[[#This Row],[Name of Third-Party Recycling Arranger]])&gt;1,1,0)</f>
        <v>0</v>
      </c>
      <c r="M188" s="79">
        <f>IF(TR_6RecyclingArranger[[#This Row],[ID_EC]]="",0,IFERROR(0*MATCH(TR_6RecyclingArranger[[#This Row],[ID_EC]],TR_5ExemptionClaim[Lookup: for arranger tab],0),1))</f>
        <v>0</v>
      </c>
      <c r="N188" s="79">
        <f>IF(TR_6RecyclingArranger[[#This Row],[ID_EC]]="",0,IF(COUNTA(TR_6RecyclingArranger[[#This Row],[Name of Third-Party Recycling Arranger]],TR_6RecyclingArranger[[#This Row],[Pounds of Producer''s Material Recycled by this Recycling Arranger]:[Recycling Arranger Contact Email]])=7,0,1))</f>
        <v>0</v>
      </c>
      <c r="O188" s="79">
        <f>IF(TR_6RecyclingArranger[[#This Row],[ID_EC]]&lt;&gt;"",0,IF(COUNTA(TR_6RecyclingArranger[[#This Row],[Name of Third-Party Recycling Arranger]],TR_6RecyclingArranger[[#This Row],[Pounds of Producer''s Material Recycled by this Recycling Arranger]:[Recycling Arranger Contact Email]])&gt;0,1,0))</f>
        <v>0</v>
      </c>
      <c r="P188" s="79">
        <f>IF(TR_6RecyclingArranger[[#This Row],[Lookup: pounds (this table)]]&gt;TR_6RecyclingArranger[[#This Row],[Lookup: pounds (5B tab)]],1,0)</f>
        <v>0</v>
      </c>
      <c r="Q188" s="77">
        <f>SUMIFS(TR_6RecyclingArranger[Pounds of Producer''s Material Recycled by this Recycling Arranger],TR_6RecyclingArranger[ID_EC],TR_6RecyclingArranger[[#This Row],[ID_EC]])</f>
        <v>0</v>
      </c>
      <c r="R188" s="77">
        <f>IFERROR(INDEX(TR_5ExemptionClaim[How many of the pounds recycled through this pathway were supplied by this producer?],MATCH(TR_6RecyclingArranger[[#This Row],[ID_EC]],TR_5ExemptionClaim[ID_EC],0)),0)</f>
        <v>0</v>
      </c>
      <c r="S188" s="80" t="str">
        <f t="shared" si="2"/>
        <v/>
      </c>
      <c r="T188" s="40"/>
      <c r="U188" s="58"/>
    </row>
    <row r="189" spans="1:21" ht="30.75" customHeight="1" x14ac:dyDescent="0.2">
      <c r="A189" s="82" t="s">
        <v>573</v>
      </c>
      <c r="B189" s="46"/>
      <c r="C189" s="113"/>
      <c r="D189" s="214" t="str">
        <f>IF(TR_6RecyclingArranger[[#This Row],[ID_EC]]="","",INDEX(TR_5ExemptionClaim[End Market Name],MATCH(TR_6RecyclingArranger[[#This Row],[ID_EC]],TR_5ExemptionClaim[ID_EC],0)))</f>
        <v/>
      </c>
      <c r="E189" s="214" t="str">
        <f>IF(TR_6RecyclingArranger[[#This Row],[ID_EC]]="","",INDEX(TR_5ExemptionClaim[Collection or Transportation Service Provider Name],MATCH(TR_6RecyclingArranger[[#This Row],[ID_EC]],TR_5ExemptionClaim[ID_EC],0)))</f>
        <v/>
      </c>
      <c r="F189" s="214" t="str">
        <f>IF(TR_6RecyclingArranger[[#This Row],[ID_EC]]="","",IF(INDEX(TR_5ExemptionClaim[CRPF name],MATCH(TR_6RecyclingArranger[[#This Row],[ID_EC]],TR_5ExemptionClaim[ID_EC],0))=0,"None",INDEX(TR_5ExemptionClaim[CRPF name],MATCH(TR_6RecyclingArranger[[#This Row],[ID_EC]],TR_5ExemptionClaim[ID_EC],0))))</f>
        <v/>
      </c>
      <c r="G189" s="45"/>
      <c r="H189" s="108"/>
      <c r="I189" s="47"/>
      <c r="J189" s="48"/>
      <c r="K189" s="47"/>
      <c r="L189" s="79">
        <f>IF(COUNTIFS(TR_6RecyclingArranger[ID_EC],TR_6RecyclingArranger[[#This Row],[ID_EC]],TR_6RecyclingArranger[Name of Third-Party Recycling Arranger],TR_6RecyclingArranger[[#This Row],[Name of Third-Party Recycling Arranger]])&gt;1,1,0)</f>
        <v>0</v>
      </c>
      <c r="M189" s="79">
        <f>IF(TR_6RecyclingArranger[[#This Row],[ID_EC]]="",0,IFERROR(0*MATCH(TR_6RecyclingArranger[[#This Row],[ID_EC]],TR_5ExemptionClaim[Lookup: for arranger tab],0),1))</f>
        <v>0</v>
      </c>
      <c r="N189" s="79">
        <f>IF(TR_6RecyclingArranger[[#This Row],[ID_EC]]="",0,IF(COUNTA(TR_6RecyclingArranger[[#This Row],[Name of Third-Party Recycling Arranger]],TR_6RecyclingArranger[[#This Row],[Pounds of Producer''s Material Recycled by this Recycling Arranger]:[Recycling Arranger Contact Email]])=7,0,1))</f>
        <v>0</v>
      </c>
      <c r="O189" s="79">
        <f>IF(TR_6RecyclingArranger[[#This Row],[ID_EC]]&lt;&gt;"",0,IF(COUNTA(TR_6RecyclingArranger[[#This Row],[Name of Third-Party Recycling Arranger]],TR_6RecyclingArranger[[#This Row],[Pounds of Producer''s Material Recycled by this Recycling Arranger]:[Recycling Arranger Contact Email]])&gt;0,1,0))</f>
        <v>0</v>
      </c>
      <c r="P189" s="79">
        <f>IF(TR_6RecyclingArranger[[#This Row],[Lookup: pounds (this table)]]&gt;TR_6RecyclingArranger[[#This Row],[Lookup: pounds (5B tab)]],1,0)</f>
        <v>0</v>
      </c>
      <c r="Q189" s="77">
        <f>SUMIFS(TR_6RecyclingArranger[Pounds of Producer''s Material Recycled by this Recycling Arranger],TR_6RecyclingArranger[ID_EC],TR_6RecyclingArranger[[#This Row],[ID_EC]])</f>
        <v>0</v>
      </c>
      <c r="R189" s="77">
        <f>IFERROR(INDEX(TR_5ExemptionClaim[How many of the pounds recycled through this pathway were supplied by this producer?],MATCH(TR_6RecyclingArranger[[#This Row],[ID_EC]],TR_5ExemptionClaim[ID_EC],0)),0)</f>
        <v>0</v>
      </c>
      <c r="S189" s="80" t="str">
        <f t="shared" si="2"/>
        <v/>
      </c>
      <c r="T189" s="40"/>
      <c r="U189" s="58"/>
    </row>
    <row r="190" spans="1:21" ht="30.75" customHeight="1" x14ac:dyDescent="0.2">
      <c r="A190" s="82" t="s">
        <v>574</v>
      </c>
      <c r="B190" s="46"/>
      <c r="C190" s="113"/>
      <c r="D190" s="214" t="str">
        <f>IF(TR_6RecyclingArranger[[#This Row],[ID_EC]]="","",INDEX(TR_5ExemptionClaim[End Market Name],MATCH(TR_6RecyclingArranger[[#This Row],[ID_EC]],TR_5ExemptionClaim[ID_EC],0)))</f>
        <v/>
      </c>
      <c r="E190" s="214" t="str">
        <f>IF(TR_6RecyclingArranger[[#This Row],[ID_EC]]="","",INDEX(TR_5ExemptionClaim[Collection or Transportation Service Provider Name],MATCH(TR_6RecyclingArranger[[#This Row],[ID_EC]],TR_5ExemptionClaim[ID_EC],0)))</f>
        <v/>
      </c>
      <c r="F190" s="214" t="str">
        <f>IF(TR_6RecyclingArranger[[#This Row],[ID_EC]]="","",IF(INDEX(TR_5ExemptionClaim[CRPF name],MATCH(TR_6RecyclingArranger[[#This Row],[ID_EC]],TR_5ExemptionClaim[ID_EC],0))=0,"None",INDEX(TR_5ExemptionClaim[CRPF name],MATCH(TR_6RecyclingArranger[[#This Row],[ID_EC]],TR_5ExemptionClaim[ID_EC],0))))</f>
        <v/>
      </c>
      <c r="G190" s="45"/>
      <c r="H190" s="108"/>
      <c r="I190" s="47"/>
      <c r="J190" s="48"/>
      <c r="K190" s="47"/>
      <c r="L190" s="79">
        <f>IF(COUNTIFS(TR_6RecyclingArranger[ID_EC],TR_6RecyclingArranger[[#This Row],[ID_EC]],TR_6RecyclingArranger[Name of Third-Party Recycling Arranger],TR_6RecyclingArranger[[#This Row],[Name of Third-Party Recycling Arranger]])&gt;1,1,0)</f>
        <v>0</v>
      </c>
      <c r="M190" s="79">
        <f>IF(TR_6RecyclingArranger[[#This Row],[ID_EC]]="",0,IFERROR(0*MATCH(TR_6RecyclingArranger[[#This Row],[ID_EC]],TR_5ExemptionClaim[Lookup: for arranger tab],0),1))</f>
        <v>0</v>
      </c>
      <c r="N190" s="79">
        <f>IF(TR_6RecyclingArranger[[#This Row],[ID_EC]]="",0,IF(COUNTA(TR_6RecyclingArranger[[#This Row],[Name of Third-Party Recycling Arranger]],TR_6RecyclingArranger[[#This Row],[Pounds of Producer''s Material Recycled by this Recycling Arranger]:[Recycling Arranger Contact Email]])=7,0,1))</f>
        <v>0</v>
      </c>
      <c r="O190" s="79">
        <f>IF(TR_6RecyclingArranger[[#This Row],[ID_EC]]&lt;&gt;"",0,IF(COUNTA(TR_6RecyclingArranger[[#This Row],[Name of Third-Party Recycling Arranger]],TR_6RecyclingArranger[[#This Row],[Pounds of Producer''s Material Recycled by this Recycling Arranger]:[Recycling Arranger Contact Email]])&gt;0,1,0))</f>
        <v>0</v>
      </c>
      <c r="P190" s="79">
        <f>IF(TR_6RecyclingArranger[[#This Row],[Lookup: pounds (this table)]]&gt;TR_6RecyclingArranger[[#This Row],[Lookup: pounds (5B tab)]],1,0)</f>
        <v>0</v>
      </c>
      <c r="Q190" s="77">
        <f>SUMIFS(TR_6RecyclingArranger[Pounds of Producer''s Material Recycled by this Recycling Arranger],TR_6RecyclingArranger[ID_EC],TR_6RecyclingArranger[[#This Row],[ID_EC]])</f>
        <v>0</v>
      </c>
      <c r="R190" s="77">
        <f>IFERROR(INDEX(TR_5ExemptionClaim[How many of the pounds recycled through this pathway were supplied by this producer?],MATCH(TR_6RecyclingArranger[[#This Row],[ID_EC]],TR_5ExemptionClaim[ID_EC],0)),0)</f>
        <v>0</v>
      </c>
      <c r="S190" s="80" t="str">
        <f t="shared" si="2"/>
        <v/>
      </c>
      <c r="T190" s="40"/>
      <c r="U190" s="58"/>
    </row>
    <row r="191" spans="1:21" ht="30.75" customHeight="1" x14ac:dyDescent="0.2">
      <c r="A191" s="82" t="s">
        <v>575</v>
      </c>
      <c r="B191" s="46"/>
      <c r="C191" s="113"/>
      <c r="D191" s="214" t="str">
        <f>IF(TR_6RecyclingArranger[[#This Row],[ID_EC]]="","",INDEX(TR_5ExemptionClaim[End Market Name],MATCH(TR_6RecyclingArranger[[#This Row],[ID_EC]],TR_5ExemptionClaim[ID_EC],0)))</f>
        <v/>
      </c>
      <c r="E191" s="214" t="str">
        <f>IF(TR_6RecyclingArranger[[#This Row],[ID_EC]]="","",INDEX(TR_5ExemptionClaim[Collection or Transportation Service Provider Name],MATCH(TR_6RecyclingArranger[[#This Row],[ID_EC]],TR_5ExemptionClaim[ID_EC],0)))</f>
        <v/>
      </c>
      <c r="F191" s="214" t="str">
        <f>IF(TR_6RecyclingArranger[[#This Row],[ID_EC]]="","",IF(INDEX(TR_5ExemptionClaim[CRPF name],MATCH(TR_6RecyclingArranger[[#This Row],[ID_EC]],TR_5ExemptionClaim[ID_EC],0))=0,"None",INDEX(TR_5ExemptionClaim[CRPF name],MATCH(TR_6RecyclingArranger[[#This Row],[ID_EC]],TR_5ExemptionClaim[ID_EC],0))))</f>
        <v/>
      </c>
      <c r="G191" s="45"/>
      <c r="H191" s="108"/>
      <c r="I191" s="47"/>
      <c r="J191" s="48"/>
      <c r="K191" s="47"/>
      <c r="L191" s="79">
        <f>IF(COUNTIFS(TR_6RecyclingArranger[ID_EC],TR_6RecyclingArranger[[#This Row],[ID_EC]],TR_6RecyclingArranger[Name of Third-Party Recycling Arranger],TR_6RecyclingArranger[[#This Row],[Name of Third-Party Recycling Arranger]])&gt;1,1,0)</f>
        <v>0</v>
      </c>
      <c r="M191" s="79">
        <f>IF(TR_6RecyclingArranger[[#This Row],[ID_EC]]="",0,IFERROR(0*MATCH(TR_6RecyclingArranger[[#This Row],[ID_EC]],TR_5ExemptionClaim[Lookup: for arranger tab],0),1))</f>
        <v>0</v>
      </c>
      <c r="N191" s="79">
        <f>IF(TR_6RecyclingArranger[[#This Row],[ID_EC]]="",0,IF(COUNTA(TR_6RecyclingArranger[[#This Row],[Name of Third-Party Recycling Arranger]],TR_6RecyclingArranger[[#This Row],[Pounds of Producer''s Material Recycled by this Recycling Arranger]:[Recycling Arranger Contact Email]])=7,0,1))</f>
        <v>0</v>
      </c>
      <c r="O191" s="79">
        <f>IF(TR_6RecyclingArranger[[#This Row],[ID_EC]]&lt;&gt;"",0,IF(COUNTA(TR_6RecyclingArranger[[#This Row],[Name of Third-Party Recycling Arranger]],TR_6RecyclingArranger[[#This Row],[Pounds of Producer''s Material Recycled by this Recycling Arranger]:[Recycling Arranger Contact Email]])&gt;0,1,0))</f>
        <v>0</v>
      </c>
      <c r="P191" s="79">
        <f>IF(TR_6RecyclingArranger[[#This Row],[Lookup: pounds (this table)]]&gt;TR_6RecyclingArranger[[#This Row],[Lookup: pounds (5B tab)]],1,0)</f>
        <v>0</v>
      </c>
      <c r="Q191" s="77">
        <f>SUMIFS(TR_6RecyclingArranger[Pounds of Producer''s Material Recycled by this Recycling Arranger],TR_6RecyclingArranger[ID_EC],TR_6RecyclingArranger[[#This Row],[ID_EC]])</f>
        <v>0</v>
      </c>
      <c r="R191" s="77">
        <f>IFERROR(INDEX(TR_5ExemptionClaim[How many of the pounds recycled through this pathway were supplied by this producer?],MATCH(TR_6RecyclingArranger[[#This Row],[ID_EC]],TR_5ExemptionClaim[ID_EC],0)),0)</f>
        <v>0</v>
      </c>
      <c r="S191" s="80" t="str">
        <f t="shared" si="2"/>
        <v/>
      </c>
      <c r="T191" s="40"/>
      <c r="U191" s="58"/>
    </row>
    <row r="192" spans="1:21" ht="30.75" customHeight="1" x14ac:dyDescent="0.2">
      <c r="A192" s="82" t="s">
        <v>576</v>
      </c>
      <c r="B192" s="46"/>
      <c r="C192" s="113"/>
      <c r="D192" s="214" t="str">
        <f>IF(TR_6RecyclingArranger[[#This Row],[ID_EC]]="","",INDEX(TR_5ExemptionClaim[End Market Name],MATCH(TR_6RecyclingArranger[[#This Row],[ID_EC]],TR_5ExemptionClaim[ID_EC],0)))</f>
        <v/>
      </c>
      <c r="E192" s="214" t="str">
        <f>IF(TR_6RecyclingArranger[[#This Row],[ID_EC]]="","",INDEX(TR_5ExemptionClaim[Collection or Transportation Service Provider Name],MATCH(TR_6RecyclingArranger[[#This Row],[ID_EC]],TR_5ExemptionClaim[ID_EC],0)))</f>
        <v/>
      </c>
      <c r="F192" s="214" t="str">
        <f>IF(TR_6RecyclingArranger[[#This Row],[ID_EC]]="","",IF(INDEX(TR_5ExemptionClaim[CRPF name],MATCH(TR_6RecyclingArranger[[#This Row],[ID_EC]],TR_5ExemptionClaim[ID_EC],0))=0,"None",INDEX(TR_5ExemptionClaim[CRPF name],MATCH(TR_6RecyclingArranger[[#This Row],[ID_EC]],TR_5ExemptionClaim[ID_EC],0))))</f>
        <v/>
      </c>
      <c r="G192" s="45"/>
      <c r="H192" s="108"/>
      <c r="I192" s="47"/>
      <c r="J192" s="48"/>
      <c r="K192" s="47"/>
      <c r="L192" s="79">
        <f>IF(COUNTIFS(TR_6RecyclingArranger[ID_EC],TR_6RecyclingArranger[[#This Row],[ID_EC]],TR_6RecyclingArranger[Name of Third-Party Recycling Arranger],TR_6RecyclingArranger[[#This Row],[Name of Third-Party Recycling Arranger]])&gt;1,1,0)</f>
        <v>0</v>
      </c>
      <c r="M192" s="79">
        <f>IF(TR_6RecyclingArranger[[#This Row],[ID_EC]]="",0,IFERROR(0*MATCH(TR_6RecyclingArranger[[#This Row],[ID_EC]],TR_5ExemptionClaim[Lookup: for arranger tab],0),1))</f>
        <v>0</v>
      </c>
      <c r="N192" s="79">
        <f>IF(TR_6RecyclingArranger[[#This Row],[ID_EC]]="",0,IF(COUNTA(TR_6RecyclingArranger[[#This Row],[Name of Third-Party Recycling Arranger]],TR_6RecyclingArranger[[#This Row],[Pounds of Producer''s Material Recycled by this Recycling Arranger]:[Recycling Arranger Contact Email]])=7,0,1))</f>
        <v>0</v>
      </c>
      <c r="O192" s="79">
        <f>IF(TR_6RecyclingArranger[[#This Row],[ID_EC]]&lt;&gt;"",0,IF(COUNTA(TR_6RecyclingArranger[[#This Row],[Name of Third-Party Recycling Arranger]],TR_6RecyclingArranger[[#This Row],[Pounds of Producer''s Material Recycled by this Recycling Arranger]:[Recycling Arranger Contact Email]])&gt;0,1,0))</f>
        <v>0</v>
      </c>
      <c r="P192" s="79">
        <f>IF(TR_6RecyclingArranger[[#This Row],[Lookup: pounds (this table)]]&gt;TR_6RecyclingArranger[[#This Row],[Lookup: pounds (5B tab)]],1,0)</f>
        <v>0</v>
      </c>
      <c r="Q192" s="77">
        <f>SUMIFS(TR_6RecyclingArranger[Pounds of Producer''s Material Recycled by this Recycling Arranger],TR_6RecyclingArranger[ID_EC],TR_6RecyclingArranger[[#This Row],[ID_EC]])</f>
        <v>0</v>
      </c>
      <c r="R192" s="77">
        <f>IFERROR(INDEX(TR_5ExemptionClaim[How many of the pounds recycled through this pathway were supplied by this producer?],MATCH(TR_6RecyclingArranger[[#This Row],[ID_EC]],TR_5ExemptionClaim[ID_EC],0)),0)</f>
        <v>0</v>
      </c>
      <c r="S192" s="80" t="str">
        <f t="shared" si="2"/>
        <v/>
      </c>
      <c r="T192" s="40"/>
      <c r="U192" s="58"/>
    </row>
    <row r="193" spans="1:21" ht="30.75" customHeight="1" x14ac:dyDescent="0.2">
      <c r="A193" s="82" t="s">
        <v>577</v>
      </c>
      <c r="B193" s="46"/>
      <c r="C193" s="113"/>
      <c r="D193" s="214" t="str">
        <f>IF(TR_6RecyclingArranger[[#This Row],[ID_EC]]="","",INDEX(TR_5ExemptionClaim[End Market Name],MATCH(TR_6RecyclingArranger[[#This Row],[ID_EC]],TR_5ExemptionClaim[ID_EC],0)))</f>
        <v/>
      </c>
      <c r="E193" s="214" t="str">
        <f>IF(TR_6RecyclingArranger[[#This Row],[ID_EC]]="","",INDEX(TR_5ExemptionClaim[Collection or Transportation Service Provider Name],MATCH(TR_6RecyclingArranger[[#This Row],[ID_EC]],TR_5ExemptionClaim[ID_EC],0)))</f>
        <v/>
      </c>
      <c r="F193" s="214" t="str">
        <f>IF(TR_6RecyclingArranger[[#This Row],[ID_EC]]="","",IF(INDEX(TR_5ExemptionClaim[CRPF name],MATCH(TR_6RecyclingArranger[[#This Row],[ID_EC]],TR_5ExemptionClaim[ID_EC],0))=0,"None",INDEX(TR_5ExemptionClaim[CRPF name],MATCH(TR_6RecyclingArranger[[#This Row],[ID_EC]],TR_5ExemptionClaim[ID_EC],0))))</f>
        <v/>
      </c>
      <c r="G193" s="45"/>
      <c r="H193" s="108"/>
      <c r="I193" s="47"/>
      <c r="J193" s="48"/>
      <c r="K193" s="47"/>
      <c r="L193" s="79">
        <f>IF(COUNTIFS(TR_6RecyclingArranger[ID_EC],TR_6RecyclingArranger[[#This Row],[ID_EC]],TR_6RecyclingArranger[Name of Third-Party Recycling Arranger],TR_6RecyclingArranger[[#This Row],[Name of Third-Party Recycling Arranger]])&gt;1,1,0)</f>
        <v>0</v>
      </c>
      <c r="M193" s="79">
        <f>IF(TR_6RecyclingArranger[[#This Row],[ID_EC]]="",0,IFERROR(0*MATCH(TR_6RecyclingArranger[[#This Row],[ID_EC]],TR_5ExemptionClaim[Lookup: for arranger tab],0),1))</f>
        <v>0</v>
      </c>
      <c r="N193" s="79">
        <f>IF(TR_6RecyclingArranger[[#This Row],[ID_EC]]="",0,IF(COUNTA(TR_6RecyclingArranger[[#This Row],[Name of Third-Party Recycling Arranger]],TR_6RecyclingArranger[[#This Row],[Pounds of Producer''s Material Recycled by this Recycling Arranger]:[Recycling Arranger Contact Email]])=7,0,1))</f>
        <v>0</v>
      </c>
      <c r="O193" s="79">
        <f>IF(TR_6RecyclingArranger[[#This Row],[ID_EC]]&lt;&gt;"",0,IF(COUNTA(TR_6RecyclingArranger[[#This Row],[Name of Third-Party Recycling Arranger]],TR_6RecyclingArranger[[#This Row],[Pounds of Producer''s Material Recycled by this Recycling Arranger]:[Recycling Arranger Contact Email]])&gt;0,1,0))</f>
        <v>0</v>
      </c>
      <c r="P193" s="79">
        <f>IF(TR_6RecyclingArranger[[#This Row],[Lookup: pounds (this table)]]&gt;TR_6RecyclingArranger[[#This Row],[Lookup: pounds (5B tab)]],1,0)</f>
        <v>0</v>
      </c>
      <c r="Q193" s="77">
        <f>SUMIFS(TR_6RecyclingArranger[Pounds of Producer''s Material Recycled by this Recycling Arranger],TR_6RecyclingArranger[ID_EC],TR_6RecyclingArranger[[#This Row],[ID_EC]])</f>
        <v>0</v>
      </c>
      <c r="R193" s="77">
        <f>IFERROR(INDEX(TR_5ExemptionClaim[How many of the pounds recycled through this pathway were supplied by this producer?],MATCH(TR_6RecyclingArranger[[#This Row],[ID_EC]],TR_5ExemptionClaim[ID_EC],0)),0)</f>
        <v>0</v>
      </c>
      <c r="S193" s="80" t="str">
        <f t="shared" si="2"/>
        <v/>
      </c>
      <c r="T193" s="40"/>
      <c r="U193" s="58"/>
    </row>
    <row r="194" spans="1:21" ht="30.75" customHeight="1" x14ac:dyDescent="0.2">
      <c r="A194" s="82" t="s">
        <v>578</v>
      </c>
      <c r="B194" s="46"/>
      <c r="C194" s="113"/>
      <c r="D194" s="214" t="str">
        <f>IF(TR_6RecyclingArranger[[#This Row],[ID_EC]]="","",INDEX(TR_5ExemptionClaim[End Market Name],MATCH(TR_6RecyclingArranger[[#This Row],[ID_EC]],TR_5ExemptionClaim[ID_EC],0)))</f>
        <v/>
      </c>
      <c r="E194" s="214" t="str">
        <f>IF(TR_6RecyclingArranger[[#This Row],[ID_EC]]="","",INDEX(TR_5ExemptionClaim[Collection or Transportation Service Provider Name],MATCH(TR_6RecyclingArranger[[#This Row],[ID_EC]],TR_5ExemptionClaim[ID_EC],0)))</f>
        <v/>
      </c>
      <c r="F194" s="214" t="str">
        <f>IF(TR_6RecyclingArranger[[#This Row],[ID_EC]]="","",IF(INDEX(TR_5ExemptionClaim[CRPF name],MATCH(TR_6RecyclingArranger[[#This Row],[ID_EC]],TR_5ExemptionClaim[ID_EC],0))=0,"None",INDEX(TR_5ExemptionClaim[CRPF name],MATCH(TR_6RecyclingArranger[[#This Row],[ID_EC]],TR_5ExemptionClaim[ID_EC],0))))</f>
        <v/>
      </c>
      <c r="G194" s="45"/>
      <c r="H194" s="108"/>
      <c r="I194" s="47"/>
      <c r="J194" s="48"/>
      <c r="K194" s="47"/>
      <c r="L194" s="79">
        <f>IF(COUNTIFS(TR_6RecyclingArranger[ID_EC],TR_6RecyclingArranger[[#This Row],[ID_EC]],TR_6RecyclingArranger[Name of Third-Party Recycling Arranger],TR_6RecyclingArranger[[#This Row],[Name of Third-Party Recycling Arranger]])&gt;1,1,0)</f>
        <v>0</v>
      </c>
      <c r="M194" s="79">
        <f>IF(TR_6RecyclingArranger[[#This Row],[ID_EC]]="",0,IFERROR(0*MATCH(TR_6RecyclingArranger[[#This Row],[ID_EC]],TR_5ExemptionClaim[Lookup: for arranger tab],0),1))</f>
        <v>0</v>
      </c>
      <c r="N194" s="79">
        <f>IF(TR_6RecyclingArranger[[#This Row],[ID_EC]]="",0,IF(COUNTA(TR_6RecyclingArranger[[#This Row],[Name of Third-Party Recycling Arranger]],TR_6RecyclingArranger[[#This Row],[Pounds of Producer''s Material Recycled by this Recycling Arranger]:[Recycling Arranger Contact Email]])=7,0,1))</f>
        <v>0</v>
      </c>
      <c r="O194" s="79">
        <f>IF(TR_6RecyclingArranger[[#This Row],[ID_EC]]&lt;&gt;"",0,IF(COUNTA(TR_6RecyclingArranger[[#This Row],[Name of Third-Party Recycling Arranger]],TR_6RecyclingArranger[[#This Row],[Pounds of Producer''s Material Recycled by this Recycling Arranger]:[Recycling Arranger Contact Email]])&gt;0,1,0))</f>
        <v>0</v>
      </c>
      <c r="P194" s="79">
        <f>IF(TR_6RecyclingArranger[[#This Row],[Lookup: pounds (this table)]]&gt;TR_6RecyclingArranger[[#This Row],[Lookup: pounds (5B tab)]],1,0)</f>
        <v>0</v>
      </c>
      <c r="Q194" s="77">
        <f>SUMIFS(TR_6RecyclingArranger[Pounds of Producer''s Material Recycled by this Recycling Arranger],TR_6RecyclingArranger[ID_EC],TR_6RecyclingArranger[[#This Row],[ID_EC]])</f>
        <v>0</v>
      </c>
      <c r="R194" s="77">
        <f>IFERROR(INDEX(TR_5ExemptionClaim[How many of the pounds recycled through this pathway were supplied by this producer?],MATCH(TR_6RecyclingArranger[[#This Row],[ID_EC]],TR_5ExemptionClaim[ID_EC],0)),0)</f>
        <v>0</v>
      </c>
      <c r="S194" s="80" t="str">
        <f t="shared" si="2"/>
        <v/>
      </c>
      <c r="T194" s="40"/>
      <c r="U194" s="58"/>
    </row>
    <row r="195" spans="1:21" ht="30.75" customHeight="1" x14ac:dyDescent="0.2">
      <c r="A195" s="82" t="s">
        <v>579</v>
      </c>
      <c r="B195" s="46"/>
      <c r="C195" s="113"/>
      <c r="D195" s="214" t="str">
        <f>IF(TR_6RecyclingArranger[[#This Row],[ID_EC]]="","",INDEX(TR_5ExemptionClaim[End Market Name],MATCH(TR_6RecyclingArranger[[#This Row],[ID_EC]],TR_5ExemptionClaim[ID_EC],0)))</f>
        <v/>
      </c>
      <c r="E195" s="214" t="str">
        <f>IF(TR_6RecyclingArranger[[#This Row],[ID_EC]]="","",INDEX(TR_5ExemptionClaim[Collection or Transportation Service Provider Name],MATCH(TR_6RecyclingArranger[[#This Row],[ID_EC]],TR_5ExemptionClaim[ID_EC],0)))</f>
        <v/>
      </c>
      <c r="F195" s="214" t="str">
        <f>IF(TR_6RecyclingArranger[[#This Row],[ID_EC]]="","",IF(INDEX(TR_5ExemptionClaim[CRPF name],MATCH(TR_6RecyclingArranger[[#This Row],[ID_EC]],TR_5ExemptionClaim[ID_EC],0))=0,"None",INDEX(TR_5ExemptionClaim[CRPF name],MATCH(TR_6RecyclingArranger[[#This Row],[ID_EC]],TR_5ExemptionClaim[ID_EC],0))))</f>
        <v/>
      </c>
      <c r="G195" s="45"/>
      <c r="H195" s="108"/>
      <c r="I195" s="47"/>
      <c r="J195" s="48"/>
      <c r="K195" s="47"/>
      <c r="L195" s="79">
        <f>IF(COUNTIFS(TR_6RecyclingArranger[ID_EC],TR_6RecyclingArranger[[#This Row],[ID_EC]],TR_6RecyclingArranger[Name of Third-Party Recycling Arranger],TR_6RecyclingArranger[[#This Row],[Name of Third-Party Recycling Arranger]])&gt;1,1,0)</f>
        <v>0</v>
      </c>
      <c r="M195" s="79">
        <f>IF(TR_6RecyclingArranger[[#This Row],[ID_EC]]="",0,IFERROR(0*MATCH(TR_6RecyclingArranger[[#This Row],[ID_EC]],TR_5ExemptionClaim[Lookup: for arranger tab],0),1))</f>
        <v>0</v>
      </c>
      <c r="N195" s="79">
        <f>IF(TR_6RecyclingArranger[[#This Row],[ID_EC]]="",0,IF(COUNTA(TR_6RecyclingArranger[[#This Row],[Name of Third-Party Recycling Arranger]],TR_6RecyclingArranger[[#This Row],[Pounds of Producer''s Material Recycled by this Recycling Arranger]:[Recycling Arranger Contact Email]])=7,0,1))</f>
        <v>0</v>
      </c>
      <c r="O195" s="79">
        <f>IF(TR_6RecyclingArranger[[#This Row],[ID_EC]]&lt;&gt;"",0,IF(COUNTA(TR_6RecyclingArranger[[#This Row],[Name of Third-Party Recycling Arranger]],TR_6RecyclingArranger[[#This Row],[Pounds of Producer''s Material Recycled by this Recycling Arranger]:[Recycling Arranger Contact Email]])&gt;0,1,0))</f>
        <v>0</v>
      </c>
      <c r="P195" s="79">
        <f>IF(TR_6RecyclingArranger[[#This Row],[Lookup: pounds (this table)]]&gt;TR_6RecyclingArranger[[#This Row],[Lookup: pounds (5B tab)]],1,0)</f>
        <v>0</v>
      </c>
      <c r="Q195" s="77">
        <f>SUMIFS(TR_6RecyclingArranger[Pounds of Producer''s Material Recycled by this Recycling Arranger],TR_6RecyclingArranger[ID_EC],TR_6RecyclingArranger[[#This Row],[ID_EC]])</f>
        <v>0</v>
      </c>
      <c r="R195" s="77">
        <f>IFERROR(INDEX(TR_5ExemptionClaim[How many of the pounds recycled through this pathway were supplied by this producer?],MATCH(TR_6RecyclingArranger[[#This Row],[ID_EC]],TR_5ExemptionClaim[ID_EC],0)),0)</f>
        <v>0</v>
      </c>
      <c r="S195" s="80" t="str">
        <f t="shared" si="2"/>
        <v/>
      </c>
      <c r="T195" s="40"/>
      <c r="U195" s="58"/>
    </row>
    <row r="196" spans="1:21" ht="30.75" customHeight="1" x14ac:dyDescent="0.2">
      <c r="A196" s="82" t="s">
        <v>580</v>
      </c>
      <c r="B196" s="46"/>
      <c r="C196" s="113"/>
      <c r="D196" s="214" t="str">
        <f>IF(TR_6RecyclingArranger[[#This Row],[ID_EC]]="","",INDEX(TR_5ExemptionClaim[End Market Name],MATCH(TR_6RecyclingArranger[[#This Row],[ID_EC]],TR_5ExemptionClaim[ID_EC],0)))</f>
        <v/>
      </c>
      <c r="E196" s="214" t="str">
        <f>IF(TR_6RecyclingArranger[[#This Row],[ID_EC]]="","",INDEX(TR_5ExemptionClaim[Collection or Transportation Service Provider Name],MATCH(TR_6RecyclingArranger[[#This Row],[ID_EC]],TR_5ExemptionClaim[ID_EC],0)))</f>
        <v/>
      </c>
      <c r="F196" s="214" t="str">
        <f>IF(TR_6RecyclingArranger[[#This Row],[ID_EC]]="","",IF(INDEX(TR_5ExemptionClaim[CRPF name],MATCH(TR_6RecyclingArranger[[#This Row],[ID_EC]],TR_5ExemptionClaim[ID_EC],0))=0,"None",INDEX(TR_5ExemptionClaim[CRPF name],MATCH(TR_6RecyclingArranger[[#This Row],[ID_EC]],TR_5ExemptionClaim[ID_EC],0))))</f>
        <v/>
      </c>
      <c r="G196" s="45"/>
      <c r="H196" s="108"/>
      <c r="I196" s="47"/>
      <c r="J196" s="48"/>
      <c r="K196" s="47"/>
      <c r="L196" s="79">
        <f>IF(COUNTIFS(TR_6RecyclingArranger[ID_EC],TR_6RecyclingArranger[[#This Row],[ID_EC]],TR_6RecyclingArranger[Name of Third-Party Recycling Arranger],TR_6RecyclingArranger[[#This Row],[Name of Third-Party Recycling Arranger]])&gt;1,1,0)</f>
        <v>0</v>
      </c>
      <c r="M196" s="79">
        <f>IF(TR_6RecyclingArranger[[#This Row],[ID_EC]]="",0,IFERROR(0*MATCH(TR_6RecyclingArranger[[#This Row],[ID_EC]],TR_5ExemptionClaim[Lookup: for arranger tab],0),1))</f>
        <v>0</v>
      </c>
      <c r="N196" s="79">
        <f>IF(TR_6RecyclingArranger[[#This Row],[ID_EC]]="",0,IF(COUNTA(TR_6RecyclingArranger[[#This Row],[Name of Third-Party Recycling Arranger]],TR_6RecyclingArranger[[#This Row],[Pounds of Producer''s Material Recycled by this Recycling Arranger]:[Recycling Arranger Contact Email]])=7,0,1))</f>
        <v>0</v>
      </c>
      <c r="O196" s="79">
        <f>IF(TR_6RecyclingArranger[[#This Row],[ID_EC]]&lt;&gt;"",0,IF(COUNTA(TR_6RecyclingArranger[[#This Row],[Name of Third-Party Recycling Arranger]],TR_6RecyclingArranger[[#This Row],[Pounds of Producer''s Material Recycled by this Recycling Arranger]:[Recycling Arranger Contact Email]])&gt;0,1,0))</f>
        <v>0</v>
      </c>
      <c r="P196" s="79">
        <f>IF(TR_6RecyclingArranger[[#This Row],[Lookup: pounds (this table)]]&gt;TR_6RecyclingArranger[[#This Row],[Lookup: pounds (5B tab)]],1,0)</f>
        <v>0</v>
      </c>
      <c r="Q196" s="77">
        <f>SUMIFS(TR_6RecyclingArranger[Pounds of Producer''s Material Recycled by this Recycling Arranger],TR_6RecyclingArranger[ID_EC],TR_6RecyclingArranger[[#This Row],[ID_EC]])</f>
        <v>0</v>
      </c>
      <c r="R196" s="77">
        <f>IFERROR(INDEX(TR_5ExemptionClaim[How many of the pounds recycled through this pathway were supplied by this producer?],MATCH(TR_6RecyclingArranger[[#This Row],[ID_EC]],TR_5ExemptionClaim[ID_EC],0)),0)</f>
        <v>0</v>
      </c>
      <c r="S196" s="80" t="str">
        <f t="shared" si="2"/>
        <v/>
      </c>
      <c r="T196" s="40"/>
      <c r="U196" s="58"/>
    </row>
    <row r="197" spans="1:21" ht="30.75" customHeight="1" x14ac:dyDescent="0.2">
      <c r="A197" s="82" t="s">
        <v>581</v>
      </c>
      <c r="B197" s="46"/>
      <c r="C197" s="113"/>
      <c r="D197" s="214" t="str">
        <f>IF(TR_6RecyclingArranger[[#This Row],[ID_EC]]="","",INDEX(TR_5ExemptionClaim[End Market Name],MATCH(TR_6RecyclingArranger[[#This Row],[ID_EC]],TR_5ExemptionClaim[ID_EC],0)))</f>
        <v/>
      </c>
      <c r="E197" s="214" t="str">
        <f>IF(TR_6RecyclingArranger[[#This Row],[ID_EC]]="","",INDEX(TR_5ExemptionClaim[Collection or Transportation Service Provider Name],MATCH(TR_6RecyclingArranger[[#This Row],[ID_EC]],TR_5ExemptionClaim[ID_EC],0)))</f>
        <v/>
      </c>
      <c r="F197" s="214" t="str">
        <f>IF(TR_6RecyclingArranger[[#This Row],[ID_EC]]="","",IF(INDEX(TR_5ExemptionClaim[CRPF name],MATCH(TR_6RecyclingArranger[[#This Row],[ID_EC]],TR_5ExemptionClaim[ID_EC],0))=0,"None",INDEX(TR_5ExemptionClaim[CRPF name],MATCH(TR_6RecyclingArranger[[#This Row],[ID_EC]],TR_5ExemptionClaim[ID_EC],0))))</f>
        <v/>
      </c>
      <c r="G197" s="45"/>
      <c r="H197" s="108"/>
      <c r="I197" s="47"/>
      <c r="J197" s="48"/>
      <c r="K197" s="47"/>
      <c r="L197" s="79">
        <f>IF(COUNTIFS(TR_6RecyclingArranger[ID_EC],TR_6RecyclingArranger[[#This Row],[ID_EC]],TR_6RecyclingArranger[Name of Third-Party Recycling Arranger],TR_6RecyclingArranger[[#This Row],[Name of Third-Party Recycling Arranger]])&gt;1,1,0)</f>
        <v>0</v>
      </c>
      <c r="M197" s="79">
        <f>IF(TR_6RecyclingArranger[[#This Row],[ID_EC]]="",0,IFERROR(0*MATCH(TR_6RecyclingArranger[[#This Row],[ID_EC]],TR_5ExemptionClaim[Lookup: for arranger tab],0),1))</f>
        <v>0</v>
      </c>
      <c r="N197" s="79">
        <f>IF(TR_6RecyclingArranger[[#This Row],[ID_EC]]="",0,IF(COUNTA(TR_6RecyclingArranger[[#This Row],[Name of Third-Party Recycling Arranger]],TR_6RecyclingArranger[[#This Row],[Pounds of Producer''s Material Recycled by this Recycling Arranger]:[Recycling Arranger Contact Email]])=7,0,1))</f>
        <v>0</v>
      </c>
      <c r="O197" s="79">
        <f>IF(TR_6RecyclingArranger[[#This Row],[ID_EC]]&lt;&gt;"",0,IF(COUNTA(TR_6RecyclingArranger[[#This Row],[Name of Third-Party Recycling Arranger]],TR_6RecyclingArranger[[#This Row],[Pounds of Producer''s Material Recycled by this Recycling Arranger]:[Recycling Arranger Contact Email]])&gt;0,1,0))</f>
        <v>0</v>
      </c>
      <c r="P197" s="79">
        <f>IF(TR_6RecyclingArranger[[#This Row],[Lookup: pounds (this table)]]&gt;TR_6RecyclingArranger[[#This Row],[Lookup: pounds (5B tab)]],1,0)</f>
        <v>0</v>
      </c>
      <c r="Q197" s="77">
        <f>SUMIFS(TR_6RecyclingArranger[Pounds of Producer''s Material Recycled by this Recycling Arranger],TR_6RecyclingArranger[ID_EC],TR_6RecyclingArranger[[#This Row],[ID_EC]])</f>
        <v>0</v>
      </c>
      <c r="R197" s="77">
        <f>IFERROR(INDEX(TR_5ExemptionClaim[How many of the pounds recycled through this pathway were supplied by this producer?],MATCH(TR_6RecyclingArranger[[#This Row],[ID_EC]],TR_5ExemptionClaim[ID_EC],0)),0)</f>
        <v>0</v>
      </c>
      <c r="S197" s="80" t="str">
        <f t="shared" si="2"/>
        <v/>
      </c>
      <c r="T197" s="40"/>
      <c r="U197" s="58"/>
    </row>
    <row r="198" spans="1:21" ht="30.75" customHeight="1" x14ac:dyDescent="0.2">
      <c r="A198" s="82" t="s">
        <v>582</v>
      </c>
      <c r="B198" s="46"/>
      <c r="C198" s="113"/>
      <c r="D198" s="214" t="str">
        <f>IF(TR_6RecyclingArranger[[#This Row],[ID_EC]]="","",INDEX(TR_5ExemptionClaim[End Market Name],MATCH(TR_6RecyclingArranger[[#This Row],[ID_EC]],TR_5ExemptionClaim[ID_EC],0)))</f>
        <v/>
      </c>
      <c r="E198" s="214" t="str">
        <f>IF(TR_6RecyclingArranger[[#This Row],[ID_EC]]="","",INDEX(TR_5ExemptionClaim[Collection or Transportation Service Provider Name],MATCH(TR_6RecyclingArranger[[#This Row],[ID_EC]],TR_5ExemptionClaim[ID_EC],0)))</f>
        <v/>
      </c>
      <c r="F198" s="214" t="str">
        <f>IF(TR_6RecyclingArranger[[#This Row],[ID_EC]]="","",IF(INDEX(TR_5ExemptionClaim[CRPF name],MATCH(TR_6RecyclingArranger[[#This Row],[ID_EC]],TR_5ExemptionClaim[ID_EC],0))=0,"None",INDEX(TR_5ExemptionClaim[CRPF name],MATCH(TR_6RecyclingArranger[[#This Row],[ID_EC]],TR_5ExemptionClaim[ID_EC],0))))</f>
        <v/>
      </c>
      <c r="G198" s="45"/>
      <c r="H198" s="108"/>
      <c r="I198" s="47"/>
      <c r="J198" s="48"/>
      <c r="K198" s="47"/>
      <c r="L198" s="79">
        <f>IF(COUNTIFS(TR_6RecyclingArranger[ID_EC],TR_6RecyclingArranger[[#This Row],[ID_EC]],TR_6RecyclingArranger[Name of Third-Party Recycling Arranger],TR_6RecyclingArranger[[#This Row],[Name of Third-Party Recycling Arranger]])&gt;1,1,0)</f>
        <v>0</v>
      </c>
      <c r="M198" s="79">
        <f>IF(TR_6RecyclingArranger[[#This Row],[ID_EC]]="",0,IFERROR(0*MATCH(TR_6RecyclingArranger[[#This Row],[ID_EC]],TR_5ExemptionClaim[Lookup: for arranger tab],0),1))</f>
        <v>0</v>
      </c>
      <c r="N198" s="79">
        <f>IF(TR_6RecyclingArranger[[#This Row],[ID_EC]]="",0,IF(COUNTA(TR_6RecyclingArranger[[#This Row],[Name of Third-Party Recycling Arranger]],TR_6RecyclingArranger[[#This Row],[Pounds of Producer''s Material Recycled by this Recycling Arranger]:[Recycling Arranger Contact Email]])=7,0,1))</f>
        <v>0</v>
      </c>
      <c r="O198" s="79">
        <f>IF(TR_6RecyclingArranger[[#This Row],[ID_EC]]&lt;&gt;"",0,IF(COUNTA(TR_6RecyclingArranger[[#This Row],[Name of Third-Party Recycling Arranger]],TR_6RecyclingArranger[[#This Row],[Pounds of Producer''s Material Recycled by this Recycling Arranger]:[Recycling Arranger Contact Email]])&gt;0,1,0))</f>
        <v>0</v>
      </c>
      <c r="P198" s="79">
        <f>IF(TR_6RecyclingArranger[[#This Row],[Lookup: pounds (this table)]]&gt;TR_6RecyclingArranger[[#This Row],[Lookup: pounds (5B tab)]],1,0)</f>
        <v>0</v>
      </c>
      <c r="Q198" s="77">
        <f>SUMIFS(TR_6RecyclingArranger[Pounds of Producer''s Material Recycled by this Recycling Arranger],TR_6RecyclingArranger[ID_EC],TR_6RecyclingArranger[[#This Row],[ID_EC]])</f>
        <v>0</v>
      </c>
      <c r="R198" s="77">
        <f>IFERROR(INDEX(TR_5ExemptionClaim[How many of the pounds recycled through this pathway were supplied by this producer?],MATCH(TR_6RecyclingArranger[[#This Row],[ID_EC]],TR_5ExemptionClaim[ID_EC],0)),0)</f>
        <v>0</v>
      </c>
      <c r="S198" s="80" t="str">
        <f t="shared" ref="S198:S261" si="3">IF(DR_ProducerID=0,"",DR_ProducerID)</f>
        <v/>
      </c>
      <c r="T198" s="40"/>
      <c r="U198" s="58"/>
    </row>
    <row r="199" spans="1:21" ht="30.75" customHeight="1" x14ac:dyDescent="0.2">
      <c r="A199" s="82" t="s">
        <v>583</v>
      </c>
      <c r="B199" s="46"/>
      <c r="C199" s="113"/>
      <c r="D199" s="214" t="str">
        <f>IF(TR_6RecyclingArranger[[#This Row],[ID_EC]]="","",INDEX(TR_5ExemptionClaim[End Market Name],MATCH(TR_6RecyclingArranger[[#This Row],[ID_EC]],TR_5ExemptionClaim[ID_EC],0)))</f>
        <v/>
      </c>
      <c r="E199" s="214" t="str">
        <f>IF(TR_6RecyclingArranger[[#This Row],[ID_EC]]="","",INDEX(TR_5ExemptionClaim[Collection or Transportation Service Provider Name],MATCH(TR_6RecyclingArranger[[#This Row],[ID_EC]],TR_5ExemptionClaim[ID_EC],0)))</f>
        <v/>
      </c>
      <c r="F199" s="214" t="str">
        <f>IF(TR_6RecyclingArranger[[#This Row],[ID_EC]]="","",IF(INDEX(TR_5ExemptionClaim[CRPF name],MATCH(TR_6RecyclingArranger[[#This Row],[ID_EC]],TR_5ExemptionClaim[ID_EC],0))=0,"None",INDEX(TR_5ExemptionClaim[CRPF name],MATCH(TR_6RecyclingArranger[[#This Row],[ID_EC]],TR_5ExemptionClaim[ID_EC],0))))</f>
        <v/>
      </c>
      <c r="G199" s="45"/>
      <c r="H199" s="108"/>
      <c r="I199" s="47"/>
      <c r="J199" s="48"/>
      <c r="K199" s="47"/>
      <c r="L199" s="79">
        <f>IF(COUNTIFS(TR_6RecyclingArranger[ID_EC],TR_6RecyclingArranger[[#This Row],[ID_EC]],TR_6RecyclingArranger[Name of Third-Party Recycling Arranger],TR_6RecyclingArranger[[#This Row],[Name of Third-Party Recycling Arranger]])&gt;1,1,0)</f>
        <v>0</v>
      </c>
      <c r="M199" s="79">
        <f>IF(TR_6RecyclingArranger[[#This Row],[ID_EC]]="",0,IFERROR(0*MATCH(TR_6RecyclingArranger[[#This Row],[ID_EC]],TR_5ExemptionClaim[Lookup: for arranger tab],0),1))</f>
        <v>0</v>
      </c>
      <c r="N199" s="79">
        <f>IF(TR_6RecyclingArranger[[#This Row],[ID_EC]]="",0,IF(COUNTA(TR_6RecyclingArranger[[#This Row],[Name of Third-Party Recycling Arranger]],TR_6RecyclingArranger[[#This Row],[Pounds of Producer''s Material Recycled by this Recycling Arranger]:[Recycling Arranger Contact Email]])=7,0,1))</f>
        <v>0</v>
      </c>
      <c r="O199" s="79">
        <f>IF(TR_6RecyclingArranger[[#This Row],[ID_EC]]&lt;&gt;"",0,IF(COUNTA(TR_6RecyclingArranger[[#This Row],[Name of Third-Party Recycling Arranger]],TR_6RecyclingArranger[[#This Row],[Pounds of Producer''s Material Recycled by this Recycling Arranger]:[Recycling Arranger Contact Email]])&gt;0,1,0))</f>
        <v>0</v>
      </c>
      <c r="P199" s="79">
        <f>IF(TR_6RecyclingArranger[[#This Row],[Lookup: pounds (this table)]]&gt;TR_6RecyclingArranger[[#This Row],[Lookup: pounds (5B tab)]],1,0)</f>
        <v>0</v>
      </c>
      <c r="Q199" s="77">
        <f>SUMIFS(TR_6RecyclingArranger[Pounds of Producer''s Material Recycled by this Recycling Arranger],TR_6RecyclingArranger[ID_EC],TR_6RecyclingArranger[[#This Row],[ID_EC]])</f>
        <v>0</v>
      </c>
      <c r="R199" s="77">
        <f>IFERROR(INDEX(TR_5ExemptionClaim[How many of the pounds recycled through this pathway were supplied by this producer?],MATCH(TR_6RecyclingArranger[[#This Row],[ID_EC]],TR_5ExemptionClaim[ID_EC],0)),0)</f>
        <v>0</v>
      </c>
      <c r="S199" s="80" t="str">
        <f t="shared" si="3"/>
        <v/>
      </c>
      <c r="T199" s="40"/>
      <c r="U199" s="58"/>
    </row>
    <row r="200" spans="1:21" ht="30.75" customHeight="1" x14ac:dyDescent="0.2">
      <c r="A200" s="82" t="s">
        <v>584</v>
      </c>
      <c r="B200" s="46"/>
      <c r="C200" s="113"/>
      <c r="D200" s="214" t="str">
        <f>IF(TR_6RecyclingArranger[[#This Row],[ID_EC]]="","",INDEX(TR_5ExemptionClaim[End Market Name],MATCH(TR_6RecyclingArranger[[#This Row],[ID_EC]],TR_5ExemptionClaim[ID_EC],0)))</f>
        <v/>
      </c>
      <c r="E200" s="214" t="str">
        <f>IF(TR_6RecyclingArranger[[#This Row],[ID_EC]]="","",INDEX(TR_5ExemptionClaim[Collection or Transportation Service Provider Name],MATCH(TR_6RecyclingArranger[[#This Row],[ID_EC]],TR_5ExemptionClaim[ID_EC],0)))</f>
        <v/>
      </c>
      <c r="F200" s="214" t="str">
        <f>IF(TR_6RecyclingArranger[[#This Row],[ID_EC]]="","",IF(INDEX(TR_5ExemptionClaim[CRPF name],MATCH(TR_6RecyclingArranger[[#This Row],[ID_EC]],TR_5ExemptionClaim[ID_EC],0))=0,"None",INDEX(TR_5ExemptionClaim[CRPF name],MATCH(TR_6RecyclingArranger[[#This Row],[ID_EC]],TR_5ExemptionClaim[ID_EC],0))))</f>
        <v/>
      </c>
      <c r="G200" s="45"/>
      <c r="H200" s="108"/>
      <c r="I200" s="47"/>
      <c r="J200" s="48"/>
      <c r="K200" s="47"/>
      <c r="L200" s="79">
        <f>IF(COUNTIFS(TR_6RecyclingArranger[ID_EC],TR_6RecyclingArranger[[#This Row],[ID_EC]],TR_6RecyclingArranger[Name of Third-Party Recycling Arranger],TR_6RecyclingArranger[[#This Row],[Name of Third-Party Recycling Arranger]])&gt;1,1,0)</f>
        <v>0</v>
      </c>
      <c r="M200" s="79">
        <f>IF(TR_6RecyclingArranger[[#This Row],[ID_EC]]="",0,IFERROR(0*MATCH(TR_6RecyclingArranger[[#This Row],[ID_EC]],TR_5ExemptionClaim[Lookup: for arranger tab],0),1))</f>
        <v>0</v>
      </c>
      <c r="N200" s="79">
        <f>IF(TR_6RecyclingArranger[[#This Row],[ID_EC]]="",0,IF(COUNTA(TR_6RecyclingArranger[[#This Row],[Name of Third-Party Recycling Arranger]],TR_6RecyclingArranger[[#This Row],[Pounds of Producer''s Material Recycled by this Recycling Arranger]:[Recycling Arranger Contact Email]])=7,0,1))</f>
        <v>0</v>
      </c>
      <c r="O200" s="79">
        <f>IF(TR_6RecyclingArranger[[#This Row],[ID_EC]]&lt;&gt;"",0,IF(COUNTA(TR_6RecyclingArranger[[#This Row],[Name of Third-Party Recycling Arranger]],TR_6RecyclingArranger[[#This Row],[Pounds of Producer''s Material Recycled by this Recycling Arranger]:[Recycling Arranger Contact Email]])&gt;0,1,0))</f>
        <v>0</v>
      </c>
      <c r="P200" s="79">
        <f>IF(TR_6RecyclingArranger[[#This Row],[Lookup: pounds (this table)]]&gt;TR_6RecyclingArranger[[#This Row],[Lookup: pounds (5B tab)]],1,0)</f>
        <v>0</v>
      </c>
      <c r="Q200" s="77">
        <f>SUMIFS(TR_6RecyclingArranger[Pounds of Producer''s Material Recycled by this Recycling Arranger],TR_6RecyclingArranger[ID_EC],TR_6RecyclingArranger[[#This Row],[ID_EC]])</f>
        <v>0</v>
      </c>
      <c r="R200" s="77">
        <f>IFERROR(INDEX(TR_5ExemptionClaim[How many of the pounds recycled through this pathway were supplied by this producer?],MATCH(TR_6RecyclingArranger[[#This Row],[ID_EC]],TR_5ExemptionClaim[ID_EC],0)),0)</f>
        <v>0</v>
      </c>
      <c r="S200" s="80" t="str">
        <f t="shared" si="3"/>
        <v/>
      </c>
      <c r="T200" s="40"/>
      <c r="U200" s="58"/>
    </row>
    <row r="201" spans="1:21" ht="30.75" customHeight="1" x14ac:dyDescent="0.2">
      <c r="A201" s="82" t="s">
        <v>585</v>
      </c>
      <c r="B201" s="46"/>
      <c r="C201" s="113"/>
      <c r="D201" s="214" t="str">
        <f>IF(TR_6RecyclingArranger[[#This Row],[ID_EC]]="","",INDEX(TR_5ExemptionClaim[End Market Name],MATCH(TR_6RecyclingArranger[[#This Row],[ID_EC]],TR_5ExemptionClaim[ID_EC],0)))</f>
        <v/>
      </c>
      <c r="E201" s="214" t="str">
        <f>IF(TR_6RecyclingArranger[[#This Row],[ID_EC]]="","",INDEX(TR_5ExemptionClaim[Collection or Transportation Service Provider Name],MATCH(TR_6RecyclingArranger[[#This Row],[ID_EC]],TR_5ExemptionClaim[ID_EC],0)))</f>
        <v/>
      </c>
      <c r="F201" s="214" t="str">
        <f>IF(TR_6RecyclingArranger[[#This Row],[ID_EC]]="","",IF(INDEX(TR_5ExemptionClaim[CRPF name],MATCH(TR_6RecyclingArranger[[#This Row],[ID_EC]],TR_5ExemptionClaim[ID_EC],0))=0,"None",INDEX(TR_5ExemptionClaim[CRPF name],MATCH(TR_6RecyclingArranger[[#This Row],[ID_EC]],TR_5ExemptionClaim[ID_EC],0))))</f>
        <v/>
      </c>
      <c r="G201" s="45"/>
      <c r="H201" s="108"/>
      <c r="I201" s="47"/>
      <c r="J201" s="48"/>
      <c r="K201" s="47"/>
      <c r="L201" s="79">
        <f>IF(COUNTIFS(TR_6RecyclingArranger[ID_EC],TR_6RecyclingArranger[[#This Row],[ID_EC]],TR_6RecyclingArranger[Name of Third-Party Recycling Arranger],TR_6RecyclingArranger[[#This Row],[Name of Third-Party Recycling Arranger]])&gt;1,1,0)</f>
        <v>0</v>
      </c>
      <c r="M201" s="79">
        <f>IF(TR_6RecyclingArranger[[#This Row],[ID_EC]]="",0,IFERROR(0*MATCH(TR_6RecyclingArranger[[#This Row],[ID_EC]],TR_5ExemptionClaim[Lookup: for arranger tab],0),1))</f>
        <v>0</v>
      </c>
      <c r="N201" s="79">
        <f>IF(TR_6RecyclingArranger[[#This Row],[ID_EC]]="",0,IF(COUNTA(TR_6RecyclingArranger[[#This Row],[Name of Third-Party Recycling Arranger]],TR_6RecyclingArranger[[#This Row],[Pounds of Producer''s Material Recycled by this Recycling Arranger]:[Recycling Arranger Contact Email]])=7,0,1))</f>
        <v>0</v>
      </c>
      <c r="O201" s="79">
        <f>IF(TR_6RecyclingArranger[[#This Row],[ID_EC]]&lt;&gt;"",0,IF(COUNTA(TR_6RecyclingArranger[[#This Row],[Name of Third-Party Recycling Arranger]],TR_6RecyclingArranger[[#This Row],[Pounds of Producer''s Material Recycled by this Recycling Arranger]:[Recycling Arranger Contact Email]])&gt;0,1,0))</f>
        <v>0</v>
      </c>
      <c r="P201" s="79">
        <f>IF(TR_6RecyclingArranger[[#This Row],[Lookup: pounds (this table)]]&gt;TR_6RecyclingArranger[[#This Row],[Lookup: pounds (5B tab)]],1,0)</f>
        <v>0</v>
      </c>
      <c r="Q201" s="77">
        <f>SUMIFS(TR_6RecyclingArranger[Pounds of Producer''s Material Recycled by this Recycling Arranger],TR_6RecyclingArranger[ID_EC],TR_6RecyclingArranger[[#This Row],[ID_EC]])</f>
        <v>0</v>
      </c>
      <c r="R201" s="77">
        <f>IFERROR(INDEX(TR_5ExemptionClaim[How many of the pounds recycled through this pathway were supplied by this producer?],MATCH(TR_6RecyclingArranger[[#This Row],[ID_EC]],TR_5ExemptionClaim[ID_EC],0)),0)</f>
        <v>0</v>
      </c>
      <c r="S201" s="80" t="str">
        <f t="shared" si="3"/>
        <v/>
      </c>
      <c r="T201" s="40"/>
      <c r="U201" s="58"/>
    </row>
    <row r="202" spans="1:21" ht="30.75" customHeight="1" x14ac:dyDescent="0.2">
      <c r="A202" s="82" t="s">
        <v>586</v>
      </c>
      <c r="B202" s="46"/>
      <c r="C202" s="113"/>
      <c r="D202" s="214" t="str">
        <f>IF(TR_6RecyclingArranger[[#This Row],[ID_EC]]="","",INDEX(TR_5ExemptionClaim[End Market Name],MATCH(TR_6RecyclingArranger[[#This Row],[ID_EC]],TR_5ExemptionClaim[ID_EC],0)))</f>
        <v/>
      </c>
      <c r="E202" s="214" t="str">
        <f>IF(TR_6RecyclingArranger[[#This Row],[ID_EC]]="","",INDEX(TR_5ExemptionClaim[Collection or Transportation Service Provider Name],MATCH(TR_6RecyclingArranger[[#This Row],[ID_EC]],TR_5ExemptionClaim[ID_EC],0)))</f>
        <v/>
      </c>
      <c r="F202" s="214" t="str">
        <f>IF(TR_6RecyclingArranger[[#This Row],[ID_EC]]="","",IF(INDEX(TR_5ExemptionClaim[CRPF name],MATCH(TR_6RecyclingArranger[[#This Row],[ID_EC]],TR_5ExemptionClaim[ID_EC],0))=0,"None",INDEX(TR_5ExemptionClaim[CRPF name],MATCH(TR_6RecyclingArranger[[#This Row],[ID_EC]],TR_5ExemptionClaim[ID_EC],0))))</f>
        <v/>
      </c>
      <c r="G202" s="45"/>
      <c r="H202" s="108"/>
      <c r="I202" s="47"/>
      <c r="J202" s="48"/>
      <c r="K202" s="47"/>
      <c r="L202" s="79">
        <f>IF(COUNTIFS(TR_6RecyclingArranger[ID_EC],TR_6RecyclingArranger[[#This Row],[ID_EC]],TR_6RecyclingArranger[Name of Third-Party Recycling Arranger],TR_6RecyclingArranger[[#This Row],[Name of Third-Party Recycling Arranger]])&gt;1,1,0)</f>
        <v>0</v>
      </c>
      <c r="M202" s="79">
        <f>IF(TR_6RecyclingArranger[[#This Row],[ID_EC]]="",0,IFERROR(0*MATCH(TR_6RecyclingArranger[[#This Row],[ID_EC]],TR_5ExemptionClaim[Lookup: for arranger tab],0),1))</f>
        <v>0</v>
      </c>
      <c r="N202" s="79">
        <f>IF(TR_6RecyclingArranger[[#This Row],[ID_EC]]="",0,IF(COUNTA(TR_6RecyclingArranger[[#This Row],[Name of Third-Party Recycling Arranger]],TR_6RecyclingArranger[[#This Row],[Pounds of Producer''s Material Recycled by this Recycling Arranger]:[Recycling Arranger Contact Email]])=7,0,1))</f>
        <v>0</v>
      </c>
      <c r="O202" s="79">
        <f>IF(TR_6RecyclingArranger[[#This Row],[ID_EC]]&lt;&gt;"",0,IF(COUNTA(TR_6RecyclingArranger[[#This Row],[Name of Third-Party Recycling Arranger]],TR_6RecyclingArranger[[#This Row],[Pounds of Producer''s Material Recycled by this Recycling Arranger]:[Recycling Arranger Contact Email]])&gt;0,1,0))</f>
        <v>0</v>
      </c>
      <c r="P202" s="79">
        <f>IF(TR_6RecyclingArranger[[#This Row],[Lookup: pounds (this table)]]&gt;TR_6RecyclingArranger[[#This Row],[Lookup: pounds (5B tab)]],1,0)</f>
        <v>0</v>
      </c>
      <c r="Q202" s="77">
        <f>SUMIFS(TR_6RecyclingArranger[Pounds of Producer''s Material Recycled by this Recycling Arranger],TR_6RecyclingArranger[ID_EC],TR_6RecyclingArranger[[#This Row],[ID_EC]])</f>
        <v>0</v>
      </c>
      <c r="R202" s="77">
        <f>IFERROR(INDEX(TR_5ExemptionClaim[How many of the pounds recycled through this pathway were supplied by this producer?],MATCH(TR_6RecyclingArranger[[#This Row],[ID_EC]],TR_5ExemptionClaim[ID_EC],0)),0)</f>
        <v>0</v>
      </c>
      <c r="S202" s="80" t="str">
        <f t="shared" si="3"/>
        <v/>
      </c>
      <c r="T202" s="40"/>
      <c r="U202" s="58"/>
    </row>
    <row r="203" spans="1:21" ht="30.75" customHeight="1" x14ac:dyDescent="0.2">
      <c r="A203" s="82" t="s">
        <v>587</v>
      </c>
      <c r="B203" s="46"/>
      <c r="C203" s="113"/>
      <c r="D203" s="214" t="str">
        <f>IF(TR_6RecyclingArranger[[#This Row],[ID_EC]]="","",INDEX(TR_5ExemptionClaim[End Market Name],MATCH(TR_6RecyclingArranger[[#This Row],[ID_EC]],TR_5ExemptionClaim[ID_EC],0)))</f>
        <v/>
      </c>
      <c r="E203" s="214" t="str">
        <f>IF(TR_6RecyclingArranger[[#This Row],[ID_EC]]="","",INDEX(TR_5ExemptionClaim[Collection or Transportation Service Provider Name],MATCH(TR_6RecyclingArranger[[#This Row],[ID_EC]],TR_5ExemptionClaim[ID_EC],0)))</f>
        <v/>
      </c>
      <c r="F203" s="214" t="str">
        <f>IF(TR_6RecyclingArranger[[#This Row],[ID_EC]]="","",IF(INDEX(TR_5ExemptionClaim[CRPF name],MATCH(TR_6RecyclingArranger[[#This Row],[ID_EC]],TR_5ExemptionClaim[ID_EC],0))=0,"None",INDEX(TR_5ExemptionClaim[CRPF name],MATCH(TR_6RecyclingArranger[[#This Row],[ID_EC]],TR_5ExemptionClaim[ID_EC],0))))</f>
        <v/>
      </c>
      <c r="G203" s="45"/>
      <c r="H203" s="108"/>
      <c r="I203" s="47"/>
      <c r="J203" s="48"/>
      <c r="K203" s="47"/>
      <c r="L203" s="79">
        <f>IF(COUNTIFS(TR_6RecyclingArranger[ID_EC],TR_6RecyclingArranger[[#This Row],[ID_EC]],TR_6RecyclingArranger[Name of Third-Party Recycling Arranger],TR_6RecyclingArranger[[#This Row],[Name of Third-Party Recycling Arranger]])&gt;1,1,0)</f>
        <v>0</v>
      </c>
      <c r="M203" s="79">
        <f>IF(TR_6RecyclingArranger[[#This Row],[ID_EC]]="",0,IFERROR(0*MATCH(TR_6RecyclingArranger[[#This Row],[ID_EC]],TR_5ExemptionClaim[Lookup: for arranger tab],0),1))</f>
        <v>0</v>
      </c>
      <c r="N203" s="79">
        <f>IF(TR_6RecyclingArranger[[#This Row],[ID_EC]]="",0,IF(COUNTA(TR_6RecyclingArranger[[#This Row],[Name of Third-Party Recycling Arranger]],TR_6RecyclingArranger[[#This Row],[Pounds of Producer''s Material Recycled by this Recycling Arranger]:[Recycling Arranger Contact Email]])=7,0,1))</f>
        <v>0</v>
      </c>
      <c r="O203" s="79">
        <f>IF(TR_6RecyclingArranger[[#This Row],[ID_EC]]&lt;&gt;"",0,IF(COUNTA(TR_6RecyclingArranger[[#This Row],[Name of Third-Party Recycling Arranger]],TR_6RecyclingArranger[[#This Row],[Pounds of Producer''s Material Recycled by this Recycling Arranger]:[Recycling Arranger Contact Email]])&gt;0,1,0))</f>
        <v>0</v>
      </c>
      <c r="P203" s="79">
        <f>IF(TR_6RecyclingArranger[[#This Row],[Lookup: pounds (this table)]]&gt;TR_6RecyclingArranger[[#This Row],[Lookup: pounds (5B tab)]],1,0)</f>
        <v>0</v>
      </c>
      <c r="Q203" s="77">
        <f>SUMIFS(TR_6RecyclingArranger[Pounds of Producer''s Material Recycled by this Recycling Arranger],TR_6RecyclingArranger[ID_EC],TR_6RecyclingArranger[[#This Row],[ID_EC]])</f>
        <v>0</v>
      </c>
      <c r="R203" s="77">
        <f>IFERROR(INDEX(TR_5ExemptionClaim[How many of the pounds recycled through this pathway were supplied by this producer?],MATCH(TR_6RecyclingArranger[[#This Row],[ID_EC]],TR_5ExemptionClaim[ID_EC],0)),0)</f>
        <v>0</v>
      </c>
      <c r="S203" s="80" t="str">
        <f t="shared" si="3"/>
        <v/>
      </c>
      <c r="T203" s="40"/>
      <c r="U203" s="58"/>
    </row>
    <row r="204" spans="1:21" ht="30.75" customHeight="1" x14ac:dyDescent="0.2">
      <c r="A204" s="82" t="s">
        <v>588</v>
      </c>
      <c r="B204" s="46"/>
      <c r="C204" s="113"/>
      <c r="D204" s="214" t="str">
        <f>IF(TR_6RecyclingArranger[[#This Row],[ID_EC]]="","",INDEX(TR_5ExemptionClaim[End Market Name],MATCH(TR_6RecyclingArranger[[#This Row],[ID_EC]],TR_5ExemptionClaim[ID_EC],0)))</f>
        <v/>
      </c>
      <c r="E204" s="214" t="str">
        <f>IF(TR_6RecyclingArranger[[#This Row],[ID_EC]]="","",INDEX(TR_5ExemptionClaim[Collection or Transportation Service Provider Name],MATCH(TR_6RecyclingArranger[[#This Row],[ID_EC]],TR_5ExemptionClaim[ID_EC],0)))</f>
        <v/>
      </c>
      <c r="F204" s="214" t="str">
        <f>IF(TR_6RecyclingArranger[[#This Row],[ID_EC]]="","",IF(INDEX(TR_5ExemptionClaim[CRPF name],MATCH(TR_6RecyclingArranger[[#This Row],[ID_EC]],TR_5ExemptionClaim[ID_EC],0))=0,"None",INDEX(TR_5ExemptionClaim[CRPF name],MATCH(TR_6RecyclingArranger[[#This Row],[ID_EC]],TR_5ExemptionClaim[ID_EC],0))))</f>
        <v/>
      </c>
      <c r="G204" s="45"/>
      <c r="H204" s="108"/>
      <c r="I204" s="47"/>
      <c r="J204" s="48"/>
      <c r="K204" s="47"/>
      <c r="L204" s="79">
        <f>IF(COUNTIFS(TR_6RecyclingArranger[ID_EC],TR_6RecyclingArranger[[#This Row],[ID_EC]],TR_6RecyclingArranger[Name of Third-Party Recycling Arranger],TR_6RecyclingArranger[[#This Row],[Name of Third-Party Recycling Arranger]])&gt;1,1,0)</f>
        <v>0</v>
      </c>
      <c r="M204" s="79">
        <f>IF(TR_6RecyclingArranger[[#This Row],[ID_EC]]="",0,IFERROR(0*MATCH(TR_6RecyclingArranger[[#This Row],[ID_EC]],TR_5ExemptionClaim[Lookup: for arranger tab],0),1))</f>
        <v>0</v>
      </c>
      <c r="N204" s="79">
        <f>IF(TR_6RecyclingArranger[[#This Row],[ID_EC]]="",0,IF(COUNTA(TR_6RecyclingArranger[[#This Row],[Name of Third-Party Recycling Arranger]],TR_6RecyclingArranger[[#This Row],[Pounds of Producer''s Material Recycled by this Recycling Arranger]:[Recycling Arranger Contact Email]])=7,0,1))</f>
        <v>0</v>
      </c>
      <c r="O204" s="79">
        <f>IF(TR_6RecyclingArranger[[#This Row],[ID_EC]]&lt;&gt;"",0,IF(COUNTA(TR_6RecyclingArranger[[#This Row],[Name of Third-Party Recycling Arranger]],TR_6RecyclingArranger[[#This Row],[Pounds of Producer''s Material Recycled by this Recycling Arranger]:[Recycling Arranger Contact Email]])&gt;0,1,0))</f>
        <v>0</v>
      </c>
      <c r="P204" s="79">
        <f>IF(TR_6RecyclingArranger[[#This Row],[Lookup: pounds (this table)]]&gt;TR_6RecyclingArranger[[#This Row],[Lookup: pounds (5B tab)]],1,0)</f>
        <v>0</v>
      </c>
      <c r="Q204" s="77">
        <f>SUMIFS(TR_6RecyclingArranger[Pounds of Producer''s Material Recycled by this Recycling Arranger],TR_6RecyclingArranger[ID_EC],TR_6RecyclingArranger[[#This Row],[ID_EC]])</f>
        <v>0</v>
      </c>
      <c r="R204" s="77">
        <f>IFERROR(INDEX(TR_5ExemptionClaim[How many of the pounds recycled through this pathway were supplied by this producer?],MATCH(TR_6RecyclingArranger[[#This Row],[ID_EC]],TR_5ExemptionClaim[ID_EC],0)),0)</f>
        <v>0</v>
      </c>
      <c r="S204" s="80" t="str">
        <f t="shared" si="3"/>
        <v/>
      </c>
      <c r="T204" s="40"/>
      <c r="U204" s="58"/>
    </row>
    <row r="205" spans="1:21" ht="30.75" customHeight="1" x14ac:dyDescent="0.2">
      <c r="A205" s="82" t="s">
        <v>589</v>
      </c>
      <c r="B205" s="46"/>
      <c r="C205" s="113"/>
      <c r="D205" s="214" t="str">
        <f>IF(TR_6RecyclingArranger[[#This Row],[ID_EC]]="","",INDEX(TR_5ExemptionClaim[End Market Name],MATCH(TR_6RecyclingArranger[[#This Row],[ID_EC]],TR_5ExemptionClaim[ID_EC],0)))</f>
        <v/>
      </c>
      <c r="E205" s="214" t="str">
        <f>IF(TR_6RecyclingArranger[[#This Row],[ID_EC]]="","",INDEX(TR_5ExemptionClaim[Collection or Transportation Service Provider Name],MATCH(TR_6RecyclingArranger[[#This Row],[ID_EC]],TR_5ExemptionClaim[ID_EC],0)))</f>
        <v/>
      </c>
      <c r="F205" s="214" t="str">
        <f>IF(TR_6RecyclingArranger[[#This Row],[ID_EC]]="","",IF(INDEX(TR_5ExemptionClaim[CRPF name],MATCH(TR_6RecyclingArranger[[#This Row],[ID_EC]],TR_5ExemptionClaim[ID_EC],0))=0,"None",INDEX(TR_5ExemptionClaim[CRPF name],MATCH(TR_6RecyclingArranger[[#This Row],[ID_EC]],TR_5ExemptionClaim[ID_EC],0))))</f>
        <v/>
      </c>
      <c r="G205" s="45"/>
      <c r="H205" s="108"/>
      <c r="I205" s="47"/>
      <c r="J205" s="48"/>
      <c r="K205" s="47"/>
      <c r="L205" s="79">
        <f>IF(COUNTIFS(TR_6RecyclingArranger[ID_EC],TR_6RecyclingArranger[[#This Row],[ID_EC]],TR_6RecyclingArranger[Name of Third-Party Recycling Arranger],TR_6RecyclingArranger[[#This Row],[Name of Third-Party Recycling Arranger]])&gt;1,1,0)</f>
        <v>0</v>
      </c>
      <c r="M205" s="79">
        <f>IF(TR_6RecyclingArranger[[#This Row],[ID_EC]]="",0,IFERROR(0*MATCH(TR_6RecyclingArranger[[#This Row],[ID_EC]],TR_5ExemptionClaim[Lookup: for arranger tab],0),1))</f>
        <v>0</v>
      </c>
      <c r="N205" s="79">
        <f>IF(TR_6RecyclingArranger[[#This Row],[ID_EC]]="",0,IF(COUNTA(TR_6RecyclingArranger[[#This Row],[Name of Third-Party Recycling Arranger]],TR_6RecyclingArranger[[#This Row],[Pounds of Producer''s Material Recycled by this Recycling Arranger]:[Recycling Arranger Contact Email]])=7,0,1))</f>
        <v>0</v>
      </c>
      <c r="O205" s="79">
        <f>IF(TR_6RecyclingArranger[[#This Row],[ID_EC]]&lt;&gt;"",0,IF(COUNTA(TR_6RecyclingArranger[[#This Row],[Name of Third-Party Recycling Arranger]],TR_6RecyclingArranger[[#This Row],[Pounds of Producer''s Material Recycled by this Recycling Arranger]:[Recycling Arranger Contact Email]])&gt;0,1,0))</f>
        <v>0</v>
      </c>
      <c r="P205" s="79">
        <f>IF(TR_6RecyclingArranger[[#This Row],[Lookup: pounds (this table)]]&gt;TR_6RecyclingArranger[[#This Row],[Lookup: pounds (5B tab)]],1,0)</f>
        <v>0</v>
      </c>
      <c r="Q205" s="77">
        <f>SUMIFS(TR_6RecyclingArranger[Pounds of Producer''s Material Recycled by this Recycling Arranger],TR_6RecyclingArranger[ID_EC],TR_6RecyclingArranger[[#This Row],[ID_EC]])</f>
        <v>0</v>
      </c>
      <c r="R205" s="77">
        <f>IFERROR(INDEX(TR_5ExemptionClaim[How many of the pounds recycled through this pathway were supplied by this producer?],MATCH(TR_6RecyclingArranger[[#This Row],[ID_EC]],TR_5ExemptionClaim[ID_EC],0)),0)</f>
        <v>0</v>
      </c>
      <c r="S205" s="80" t="str">
        <f t="shared" si="3"/>
        <v/>
      </c>
      <c r="T205" s="40"/>
      <c r="U205" s="58"/>
    </row>
    <row r="206" spans="1:21" ht="30.75" customHeight="1" x14ac:dyDescent="0.2">
      <c r="A206" s="82" t="s">
        <v>590</v>
      </c>
      <c r="B206" s="46"/>
      <c r="C206" s="113"/>
      <c r="D206" s="215" t="str">
        <f>IF(TR_6RecyclingArranger[[#This Row],[ID_EC]]="","",INDEX(TR_5ExemptionClaim[End Market Name],MATCH(TR_6RecyclingArranger[[#This Row],[ID_EC]],TR_5ExemptionClaim[ID_EC],0)))</f>
        <v/>
      </c>
      <c r="E206" s="215" t="str">
        <f>IF(TR_6RecyclingArranger[[#This Row],[ID_EC]]="","",INDEX(TR_5ExemptionClaim[Collection or Transportation Service Provider Name],MATCH(TR_6RecyclingArranger[[#This Row],[ID_EC]],TR_5ExemptionClaim[ID_EC],0)))</f>
        <v/>
      </c>
      <c r="F206" s="215" t="str">
        <f>IF(TR_6RecyclingArranger[[#This Row],[ID_EC]]="","",IF(INDEX(TR_5ExemptionClaim[CRPF name],MATCH(TR_6RecyclingArranger[[#This Row],[ID_EC]],TR_5ExemptionClaim[ID_EC],0))=0,"None",INDEX(TR_5ExemptionClaim[CRPF name],MATCH(TR_6RecyclingArranger[[#This Row],[ID_EC]],TR_5ExemptionClaim[ID_EC],0))))</f>
        <v/>
      </c>
      <c r="G206" s="45"/>
      <c r="H206" s="108"/>
      <c r="I206" s="47"/>
      <c r="J206" s="48"/>
      <c r="K206" s="47"/>
      <c r="L206" s="79">
        <f>IF(COUNTIFS(TR_6RecyclingArranger[ID_EC],TR_6RecyclingArranger[[#This Row],[ID_EC]],TR_6RecyclingArranger[Name of Third-Party Recycling Arranger],TR_6RecyclingArranger[[#This Row],[Name of Third-Party Recycling Arranger]])&gt;1,1,0)</f>
        <v>0</v>
      </c>
      <c r="M206" s="79">
        <f>IF(TR_6RecyclingArranger[[#This Row],[ID_EC]]="",0,IFERROR(0*MATCH(TR_6RecyclingArranger[[#This Row],[ID_EC]],TR_5ExemptionClaim[Lookup: for arranger tab],0),1))</f>
        <v>0</v>
      </c>
      <c r="N206" s="79">
        <f>IF(TR_6RecyclingArranger[[#This Row],[ID_EC]]="",0,IF(COUNTA(TR_6RecyclingArranger[[#This Row],[Name of Third-Party Recycling Arranger]],TR_6RecyclingArranger[[#This Row],[Pounds of Producer''s Material Recycled by this Recycling Arranger]:[Recycling Arranger Contact Email]])=7,0,1))</f>
        <v>0</v>
      </c>
      <c r="O206" s="79">
        <f>IF(TR_6RecyclingArranger[[#This Row],[ID_EC]]&lt;&gt;"",0,IF(COUNTA(TR_6RecyclingArranger[[#This Row],[Name of Third-Party Recycling Arranger]],TR_6RecyclingArranger[[#This Row],[Pounds of Producer''s Material Recycled by this Recycling Arranger]:[Recycling Arranger Contact Email]])&gt;0,1,0))</f>
        <v>0</v>
      </c>
      <c r="P206" s="79">
        <f>IF(TR_6RecyclingArranger[[#This Row],[Lookup: pounds (this table)]]&gt;TR_6RecyclingArranger[[#This Row],[Lookup: pounds (5B tab)]],1,0)</f>
        <v>0</v>
      </c>
      <c r="Q206" s="78">
        <f>SUMIFS(TR_6RecyclingArranger[Pounds of Producer''s Material Recycled by this Recycling Arranger],TR_6RecyclingArranger[ID_EC],TR_6RecyclingArranger[[#This Row],[ID_EC]])</f>
        <v>0</v>
      </c>
      <c r="R206" s="78">
        <f>IFERROR(INDEX(TR_5ExemptionClaim[How many of the pounds recycled through this pathway were supplied by this producer?],MATCH(TR_6RecyclingArranger[[#This Row],[ID_EC]],TR_5ExemptionClaim[ID_EC],0)),0)</f>
        <v>0</v>
      </c>
      <c r="S206" s="81" t="str">
        <f t="shared" si="3"/>
        <v/>
      </c>
      <c r="T206" s="40"/>
      <c r="U206" s="58"/>
    </row>
    <row r="207" spans="1:21" ht="30.75" customHeight="1" x14ac:dyDescent="0.2">
      <c r="A207" s="82" t="s">
        <v>591</v>
      </c>
      <c r="B207" s="46"/>
      <c r="C207" s="113"/>
      <c r="D207" s="215" t="str">
        <f>IF(TR_6RecyclingArranger[[#This Row],[ID_EC]]="","",INDEX(TR_5ExemptionClaim[End Market Name],MATCH(TR_6RecyclingArranger[[#This Row],[ID_EC]],TR_5ExemptionClaim[ID_EC],0)))</f>
        <v/>
      </c>
      <c r="E207" s="215" t="str">
        <f>IF(TR_6RecyclingArranger[[#This Row],[ID_EC]]="","",INDEX(TR_5ExemptionClaim[Collection or Transportation Service Provider Name],MATCH(TR_6RecyclingArranger[[#This Row],[ID_EC]],TR_5ExemptionClaim[ID_EC],0)))</f>
        <v/>
      </c>
      <c r="F207" s="215" t="str">
        <f>IF(TR_6RecyclingArranger[[#This Row],[ID_EC]]="","",IF(INDEX(TR_5ExemptionClaim[CRPF name],MATCH(TR_6RecyclingArranger[[#This Row],[ID_EC]],TR_5ExemptionClaim[ID_EC],0))=0,"None",INDEX(TR_5ExemptionClaim[CRPF name],MATCH(TR_6RecyclingArranger[[#This Row],[ID_EC]],TR_5ExemptionClaim[ID_EC],0))))</f>
        <v/>
      </c>
      <c r="G207" s="45"/>
      <c r="H207" s="108"/>
      <c r="I207" s="47"/>
      <c r="J207" s="48"/>
      <c r="K207" s="47"/>
      <c r="L207" s="79">
        <f>IF(COUNTIFS(TR_6RecyclingArranger[ID_EC],TR_6RecyclingArranger[[#This Row],[ID_EC]],TR_6RecyclingArranger[Name of Third-Party Recycling Arranger],TR_6RecyclingArranger[[#This Row],[Name of Third-Party Recycling Arranger]])&gt;1,1,0)</f>
        <v>0</v>
      </c>
      <c r="M207" s="79">
        <f>IF(TR_6RecyclingArranger[[#This Row],[ID_EC]]="",0,IFERROR(0*MATCH(TR_6RecyclingArranger[[#This Row],[ID_EC]],TR_5ExemptionClaim[Lookup: for arranger tab],0),1))</f>
        <v>0</v>
      </c>
      <c r="N207" s="79">
        <f>IF(TR_6RecyclingArranger[[#This Row],[ID_EC]]="",0,IF(COUNTA(TR_6RecyclingArranger[[#This Row],[Name of Third-Party Recycling Arranger]],TR_6RecyclingArranger[[#This Row],[Pounds of Producer''s Material Recycled by this Recycling Arranger]:[Recycling Arranger Contact Email]])=7,0,1))</f>
        <v>0</v>
      </c>
      <c r="O207" s="79">
        <f>IF(TR_6RecyclingArranger[[#This Row],[ID_EC]]&lt;&gt;"",0,IF(COUNTA(TR_6RecyclingArranger[[#This Row],[Name of Third-Party Recycling Arranger]],TR_6RecyclingArranger[[#This Row],[Pounds of Producer''s Material Recycled by this Recycling Arranger]:[Recycling Arranger Contact Email]])&gt;0,1,0))</f>
        <v>0</v>
      </c>
      <c r="P207" s="79">
        <f>IF(TR_6RecyclingArranger[[#This Row],[Lookup: pounds (this table)]]&gt;TR_6RecyclingArranger[[#This Row],[Lookup: pounds (5B tab)]],1,0)</f>
        <v>0</v>
      </c>
      <c r="Q207" s="78">
        <f>SUMIFS(TR_6RecyclingArranger[Pounds of Producer''s Material Recycled by this Recycling Arranger],TR_6RecyclingArranger[ID_EC],TR_6RecyclingArranger[[#This Row],[ID_EC]])</f>
        <v>0</v>
      </c>
      <c r="R207" s="78">
        <f>IFERROR(INDEX(TR_5ExemptionClaim[How many of the pounds recycled through this pathway were supplied by this producer?],MATCH(TR_6RecyclingArranger[[#This Row],[ID_EC]],TR_5ExemptionClaim[ID_EC],0)),0)</f>
        <v>0</v>
      </c>
      <c r="S207" s="81" t="str">
        <f t="shared" si="3"/>
        <v/>
      </c>
      <c r="T207" s="40"/>
      <c r="U207" s="58"/>
    </row>
    <row r="208" spans="1:21" ht="30.75" customHeight="1" x14ac:dyDescent="0.2">
      <c r="A208" s="82" t="s">
        <v>592</v>
      </c>
      <c r="B208" s="46"/>
      <c r="C208" s="113"/>
      <c r="D208" s="215" t="str">
        <f>IF(TR_6RecyclingArranger[[#This Row],[ID_EC]]="","",INDEX(TR_5ExemptionClaim[End Market Name],MATCH(TR_6RecyclingArranger[[#This Row],[ID_EC]],TR_5ExemptionClaim[ID_EC],0)))</f>
        <v/>
      </c>
      <c r="E208" s="215" t="str">
        <f>IF(TR_6RecyclingArranger[[#This Row],[ID_EC]]="","",INDEX(TR_5ExemptionClaim[Collection or Transportation Service Provider Name],MATCH(TR_6RecyclingArranger[[#This Row],[ID_EC]],TR_5ExemptionClaim[ID_EC],0)))</f>
        <v/>
      </c>
      <c r="F208" s="215" t="str">
        <f>IF(TR_6RecyclingArranger[[#This Row],[ID_EC]]="","",IF(INDEX(TR_5ExemptionClaim[CRPF name],MATCH(TR_6RecyclingArranger[[#This Row],[ID_EC]],TR_5ExemptionClaim[ID_EC],0))=0,"None",INDEX(TR_5ExemptionClaim[CRPF name],MATCH(TR_6RecyclingArranger[[#This Row],[ID_EC]],TR_5ExemptionClaim[ID_EC],0))))</f>
        <v/>
      </c>
      <c r="G208" s="45"/>
      <c r="H208" s="108"/>
      <c r="I208" s="47"/>
      <c r="J208" s="48"/>
      <c r="K208" s="47"/>
      <c r="L208" s="79">
        <f>IF(COUNTIFS(TR_6RecyclingArranger[ID_EC],TR_6RecyclingArranger[[#This Row],[ID_EC]],TR_6RecyclingArranger[Name of Third-Party Recycling Arranger],TR_6RecyclingArranger[[#This Row],[Name of Third-Party Recycling Arranger]])&gt;1,1,0)</f>
        <v>0</v>
      </c>
      <c r="M208" s="79">
        <f>IF(TR_6RecyclingArranger[[#This Row],[ID_EC]]="",0,IFERROR(0*MATCH(TR_6RecyclingArranger[[#This Row],[ID_EC]],TR_5ExemptionClaim[Lookup: for arranger tab],0),1))</f>
        <v>0</v>
      </c>
      <c r="N208" s="79">
        <f>IF(TR_6RecyclingArranger[[#This Row],[ID_EC]]="",0,IF(COUNTA(TR_6RecyclingArranger[[#This Row],[Name of Third-Party Recycling Arranger]],TR_6RecyclingArranger[[#This Row],[Pounds of Producer''s Material Recycled by this Recycling Arranger]:[Recycling Arranger Contact Email]])=7,0,1))</f>
        <v>0</v>
      </c>
      <c r="O208" s="79">
        <f>IF(TR_6RecyclingArranger[[#This Row],[ID_EC]]&lt;&gt;"",0,IF(COUNTA(TR_6RecyclingArranger[[#This Row],[Name of Third-Party Recycling Arranger]],TR_6RecyclingArranger[[#This Row],[Pounds of Producer''s Material Recycled by this Recycling Arranger]:[Recycling Arranger Contact Email]])&gt;0,1,0))</f>
        <v>0</v>
      </c>
      <c r="P208" s="79">
        <f>IF(TR_6RecyclingArranger[[#This Row],[Lookup: pounds (this table)]]&gt;TR_6RecyclingArranger[[#This Row],[Lookup: pounds (5B tab)]],1,0)</f>
        <v>0</v>
      </c>
      <c r="Q208" s="78">
        <f>SUMIFS(TR_6RecyclingArranger[Pounds of Producer''s Material Recycled by this Recycling Arranger],TR_6RecyclingArranger[ID_EC],TR_6RecyclingArranger[[#This Row],[ID_EC]])</f>
        <v>0</v>
      </c>
      <c r="R208" s="78">
        <f>IFERROR(INDEX(TR_5ExemptionClaim[How many of the pounds recycled through this pathway were supplied by this producer?],MATCH(TR_6RecyclingArranger[[#This Row],[ID_EC]],TR_5ExemptionClaim[ID_EC],0)),0)</f>
        <v>0</v>
      </c>
      <c r="S208" s="81" t="str">
        <f t="shared" si="3"/>
        <v/>
      </c>
      <c r="T208" s="40"/>
      <c r="U208" s="58"/>
    </row>
    <row r="209" spans="1:21" ht="30.75" customHeight="1" x14ac:dyDescent="0.2">
      <c r="A209" s="82" t="s">
        <v>593</v>
      </c>
      <c r="B209" s="46"/>
      <c r="C209" s="113"/>
      <c r="D209" s="215" t="str">
        <f>IF(TR_6RecyclingArranger[[#This Row],[ID_EC]]="","",INDEX(TR_5ExemptionClaim[End Market Name],MATCH(TR_6RecyclingArranger[[#This Row],[ID_EC]],TR_5ExemptionClaim[ID_EC],0)))</f>
        <v/>
      </c>
      <c r="E209" s="215" t="str">
        <f>IF(TR_6RecyclingArranger[[#This Row],[ID_EC]]="","",INDEX(TR_5ExemptionClaim[Collection or Transportation Service Provider Name],MATCH(TR_6RecyclingArranger[[#This Row],[ID_EC]],TR_5ExemptionClaim[ID_EC],0)))</f>
        <v/>
      </c>
      <c r="F209" s="215" t="str">
        <f>IF(TR_6RecyclingArranger[[#This Row],[ID_EC]]="","",IF(INDEX(TR_5ExemptionClaim[CRPF name],MATCH(TR_6RecyclingArranger[[#This Row],[ID_EC]],TR_5ExemptionClaim[ID_EC],0))=0,"None",INDEX(TR_5ExemptionClaim[CRPF name],MATCH(TR_6RecyclingArranger[[#This Row],[ID_EC]],TR_5ExemptionClaim[ID_EC],0))))</f>
        <v/>
      </c>
      <c r="G209" s="45"/>
      <c r="H209" s="108"/>
      <c r="I209" s="47"/>
      <c r="J209" s="48"/>
      <c r="K209" s="47"/>
      <c r="L209" s="79">
        <f>IF(COUNTIFS(TR_6RecyclingArranger[ID_EC],TR_6RecyclingArranger[[#This Row],[ID_EC]],TR_6RecyclingArranger[Name of Third-Party Recycling Arranger],TR_6RecyclingArranger[[#This Row],[Name of Third-Party Recycling Arranger]])&gt;1,1,0)</f>
        <v>0</v>
      </c>
      <c r="M209" s="79">
        <f>IF(TR_6RecyclingArranger[[#This Row],[ID_EC]]="",0,IFERROR(0*MATCH(TR_6RecyclingArranger[[#This Row],[ID_EC]],TR_5ExemptionClaim[Lookup: for arranger tab],0),1))</f>
        <v>0</v>
      </c>
      <c r="N209" s="79">
        <f>IF(TR_6RecyclingArranger[[#This Row],[ID_EC]]="",0,IF(COUNTA(TR_6RecyclingArranger[[#This Row],[Name of Third-Party Recycling Arranger]],TR_6RecyclingArranger[[#This Row],[Pounds of Producer''s Material Recycled by this Recycling Arranger]:[Recycling Arranger Contact Email]])=7,0,1))</f>
        <v>0</v>
      </c>
      <c r="O209" s="79">
        <f>IF(TR_6RecyclingArranger[[#This Row],[ID_EC]]&lt;&gt;"",0,IF(COUNTA(TR_6RecyclingArranger[[#This Row],[Name of Third-Party Recycling Arranger]],TR_6RecyclingArranger[[#This Row],[Pounds of Producer''s Material Recycled by this Recycling Arranger]:[Recycling Arranger Contact Email]])&gt;0,1,0))</f>
        <v>0</v>
      </c>
      <c r="P209" s="79">
        <f>IF(TR_6RecyclingArranger[[#This Row],[Lookup: pounds (this table)]]&gt;TR_6RecyclingArranger[[#This Row],[Lookup: pounds (5B tab)]],1,0)</f>
        <v>0</v>
      </c>
      <c r="Q209" s="78">
        <f>SUMIFS(TR_6RecyclingArranger[Pounds of Producer''s Material Recycled by this Recycling Arranger],TR_6RecyclingArranger[ID_EC],TR_6RecyclingArranger[[#This Row],[ID_EC]])</f>
        <v>0</v>
      </c>
      <c r="R209" s="78">
        <f>IFERROR(INDEX(TR_5ExemptionClaim[How many of the pounds recycled through this pathway were supplied by this producer?],MATCH(TR_6RecyclingArranger[[#This Row],[ID_EC]],TR_5ExemptionClaim[ID_EC],0)),0)</f>
        <v>0</v>
      </c>
      <c r="S209" s="81" t="str">
        <f t="shared" si="3"/>
        <v/>
      </c>
      <c r="T209" s="40"/>
      <c r="U209" s="58"/>
    </row>
    <row r="210" spans="1:21" ht="30.75" customHeight="1" x14ac:dyDescent="0.2">
      <c r="A210" s="82" t="s">
        <v>594</v>
      </c>
      <c r="B210" s="46"/>
      <c r="C210" s="113"/>
      <c r="D210" s="215" t="str">
        <f>IF(TR_6RecyclingArranger[[#This Row],[ID_EC]]="","",INDEX(TR_5ExemptionClaim[End Market Name],MATCH(TR_6RecyclingArranger[[#This Row],[ID_EC]],TR_5ExemptionClaim[ID_EC],0)))</f>
        <v/>
      </c>
      <c r="E210" s="215" t="str">
        <f>IF(TR_6RecyclingArranger[[#This Row],[ID_EC]]="","",INDEX(TR_5ExemptionClaim[Collection or Transportation Service Provider Name],MATCH(TR_6RecyclingArranger[[#This Row],[ID_EC]],TR_5ExemptionClaim[ID_EC],0)))</f>
        <v/>
      </c>
      <c r="F210" s="215" t="str">
        <f>IF(TR_6RecyclingArranger[[#This Row],[ID_EC]]="","",IF(INDEX(TR_5ExemptionClaim[CRPF name],MATCH(TR_6RecyclingArranger[[#This Row],[ID_EC]],TR_5ExemptionClaim[ID_EC],0))=0,"None",INDEX(TR_5ExemptionClaim[CRPF name],MATCH(TR_6RecyclingArranger[[#This Row],[ID_EC]],TR_5ExemptionClaim[ID_EC],0))))</f>
        <v/>
      </c>
      <c r="G210" s="45"/>
      <c r="H210" s="108"/>
      <c r="I210" s="47"/>
      <c r="J210" s="48"/>
      <c r="K210" s="47"/>
      <c r="L210" s="79">
        <f>IF(COUNTIFS(TR_6RecyclingArranger[ID_EC],TR_6RecyclingArranger[[#This Row],[ID_EC]],TR_6RecyclingArranger[Name of Third-Party Recycling Arranger],TR_6RecyclingArranger[[#This Row],[Name of Third-Party Recycling Arranger]])&gt;1,1,0)</f>
        <v>0</v>
      </c>
      <c r="M210" s="79">
        <f>IF(TR_6RecyclingArranger[[#This Row],[ID_EC]]="",0,IFERROR(0*MATCH(TR_6RecyclingArranger[[#This Row],[ID_EC]],TR_5ExemptionClaim[Lookup: for arranger tab],0),1))</f>
        <v>0</v>
      </c>
      <c r="N210" s="79">
        <f>IF(TR_6RecyclingArranger[[#This Row],[ID_EC]]="",0,IF(COUNTA(TR_6RecyclingArranger[[#This Row],[Name of Third-Party Recycling Arranger]],TR_6RecyclingArranger[[#This Row],[Pounds of Producer''s Material Recycled by this Recycling Arranger]:[Recycling Arranger Contact Email]])=7,0,1))</f>
        <v>0</v>
      </c>
      <c r="O210" s="79">
        <f>IF(TR_6RecyclingArranger[[#This Row],[ID_EC]]&lt;&gt;"",0,IF(COUNTA(TR_6RecyclingArranger[[#This Row],[Name of Third-Party Recycling Arranger]],TR_6RecyclingArranger[[#This Row],[Pounds of Producer''s Material Recycled by this Recycling Arranger]:[Recycling Arranger Contact Email]])&gt;0,1,0))</f>
        <v>0</v>
      </c>
      <c r="P210" s="79">
        <f>IF(TR_6RecyclingArranger[[#This Row],[Lookup: pounds (this table)]]&gt;TR_6RecyclingArranger[[#This Row],[Lookup: pounds (5B tab)]],1,0)</f>
        <v>0</v>
      </c>
      <c r="Q210" s="78">
        <f>SUMIFS(TR_6RecyclingArranger[Pounds of Producer''s Material Recycled by this Recycling Arranger],TR_6RecyclingArranger[ID_EC],TR_6RecyclingArranger[[#This Row],[ID_EC]])</f>
        <v>0</v>
      </c>
      <c r="R210" s="78">
        <f>IFERROR(INDEX(TR_5ExemptionClaim[How many of the pounds recycled through this pathway were supplied by this producer?],MATCH(TR_6RecyclingArranger[[#This Row],[ID_EC]],TR_5ExemptionClaim[ID_EC],0)),0)</f>
        <v>0</v>
      </c>
      <c r="S210" s="81" t="str">
        <f t="shared" si="3"/>
        <v/>
      </c>
      <c r="T210" s="40"/>
      <c r="U210" s="58"/>
    </row>
    <row r="211" spans="1:21" ht="30.75" customHeight="1" x14ac:dyDescent="0.2">
      <c r="A211" s="82" t="s">
        <v>595</v>
      </c>
      <c r="B211" s="46"/>
      <c r="C211" s="113"/>
      <c r="D211" s="215" t="str">
        <f>IF(TR_6RecyclingArranger[[#This Row],[ID_EC]]="","",INDEX(TR_5ExemptionClaim[End Market Name],MATCH(TR_6RecyclingArranger[[#This Row],[ID_EC]],TR_5ExemptionClaim[ID_EC],0)))</f>
        <v/>
      </c>
      <c r="E211" s="215" t="str">
        <f>IF(TR_6RecyclingArranger[[#This Row],[ID_EC]]="","",INDEX(TR_5ExemptionClaim[Collection or Transportation Service Provider Name],MATCH(TR_6RecyclingArranger[[#This Row],[ID_EC]],TR_5ExemptionClaim[ID_EC],0)))</f>
        <v/>
      </c>
      <c r="F211" s="215" t="str">
        <f>IF(TR_6RecyclingArranger[[#This Row],[ID_EC]]="","",IF(INDEX(TR_5ExemptionClaim[CRPF name],MATCH(TR_6RecyclingArranger[[#This Row],[ID_EC]],TR_5ExemptionClaim[ID_EC],0))=0,"None",INDEX(TR_5ExemptionClaim[CRPF name],MATCH(TR_6RecyclingArranger[[#This Row],[ID_EC]],TR_5ExemptionClaim[ID_EC],0))))</f>
        <v/>
      </c>
      <c r="G211" s="45"/>
      <c r="H211" s="108"/>
      <c r="I211" s="47"/>
      <c r="J211" s="48"/>
      <c r="K211" s="47"/>
      <c r="L211" s="79">
        <f>IF(COUNTIFS(TR_6RecyclingArranger[ID_EC],TR_6RecyclingArranger[[#This Row],[ID_EC]],TR_6RecyclingArranger[Name of Third-Party Recycling Arranger],TR_6RecyclingArranger[[#This Row],[Name of Third-Party Recycling Arranger]])&gt;1,1,0)</f>
        <v>0</v>
      </c>
      <c r="M211" s="79">
        <f>IF(TR_6RecyclingArranger[[#This Row],[ID_EC]]="",0,IFERROR(0*MATCH(TR_6RecyclingArranger[[#This Row],[ID_EC]],TR_5ExemptionClaim[Lookup: for arranger tab],0),1))</f>
        <v>0</v>
      </c>
      <c r="N211" s="79">
        <f>IF(TR_6RecyclingArranger[[#This Row],[ID_EC]]="",0,IF(COUNTA(TR_6RecyclingArranger[[#This Row],[Name of Third-Party Recycling Arranger]],TR_6RecyclingArranger[[#This Row],[Pounds of Producer''s Material Recycled by this Recycling Arranger]:[Recycling Arranger Contact Email]])=7,0,1))</f>
        <v>0</v>
      </c>
      <c r="O211" s="79">
        <f>IF(TR_6RecyclingArranger[[#This Row],[ID_EC]]&lt;&gt;"",0,IF(COUNTA(TR_6RecyclingArranger[[#This Row],[Name of Third-Party Recycling Arranger]],TR_6RecyclingArranger[[#This Row],[Pounds of Producer''s Material Recycled by this Recycling Arranger]:[Recycling Arranger Contact Email]])&gt;0,1,0))</f>
        <v>0</v>
      </c>
      <c r="P211" s="79">
        <f>IF(TR_6RecyclingArranger[[#This Row],[Lookup: pounds (this table)]]&gt;TR_6RecyclingArranger[[#This Row],[Lookup: pounds (5B tab)]],1,0)</f>
        <v>0</v>
      </c>
      <c r="Q211" s="78">
        <f>SUMIFS(TR_6RecyclingArranger[Pounds of Producer''s Material Recycled by this Recycling Arranger],TR_6RecyclingArranger[ID_EC],TR_6RecyclingArranger[[#This Row],[ID_EC]])</f>
        <v>0</v>
      </c>
      <c r="R211" s="78">
        <f>IFERROR(INDEX(TR_5ExemptionClaim[How many of the pounds recycled through this pathway were supplied by this producer?],MATCH(TR_6RecyclingArranger[[#This Row],[ID_EC]],TR_5ExemptionClaim[ID_EC],0)),0)</f>
        <v>0</v>
      </c>
      <c r="S211" s="81" t="str">
        <f t="shared" si="3"/>
        <v/>
      </c>
      <c r="T211" s="40"/>
      <c r="U211" s="58"/>
    </row>
    <row r="212" spans="1:21" ht="30.75" customHeight="1" x14ac:dyDescent="0.2">
      <c r="A212" s="82" t="s">
        <v>596</v>
      </c>
      <c r="B212" s="46"/>
      <c r="C212" s="113"/>
      <c r="D212" s="215" t="str">
        <f>IF(TR_6RecyclingArranger[[#This Row],[ID_EC]]="","",INDEX(TR_5ExemptionClaim[End Market Name],MATCH(TR_6RecyclingArranger[[#This Row],[ID_EC]],TR_5ExemptionClaim[ID_EC],0)))</f>
        <v/>
      </c>
      <c r="E212" s="215" t="str">
        <f>IF(TR_6RecyclingArranger[[#This Row],[ID_EC]]="","",INDEX(TR_5ExemptionClaim[Collection or Transportation Service Provider Name],MATCH(TR_6RecyclingArranger[[#This Row],[ID_EC]],TR_5ExemptionClaim[ID_EC],0)))</f>
        <v/>
      </c>
      <c r="F212" s="215" t="str">
        <f>IF(TR_6RecyclingArranger[[#This Row],[ID_EC]]="","",IF(INDEX(TR_5ExemptionClaim[CRPF name],MATCH(TR_6RecyclingArranger[[#This Row],[ID_EC]],TR_5ExemptionClaim[ID_EC],0))=0,"None",INDEX(TR_5ExemptionClaim[CRPF name],MATCH(TR_6RecyclingArranger[[#This Row],[ID_EC]],TR_5ExemptionClaim[ID_EC],0))))</f>
        <v/>
      </c>
      <c r="G212" s="45"/>
      <c r="H212" s="108"/>
      <c r="I212" s="47"/>
      <c r="J212" s="48"/>
      <c r="K212" s="47"/>
      <c r="L212" s="79">
        <f>IF(COUNTIFS(TR_6RecyclingArranger[ID_EC],TR_6RecyclingArranger[[#This Row],[ID_EC]],TR_6RecyclingArranger[Name of Third-Party Recycling Arranger],TR_6RecyclingArranger[[#This Row],[Name of Third-Party Recycling Arranger]])&gt;1,1,0)</f>
        <v>0</v>
      </c>
      <c r="M212" s="79">
        <f>IF(TR_6RecyclingArranger[[#This Row],[ID_EC]]="",0,IFERROR(0*MATCH(TR_6RecyclingArranger[[#This Row],[ID_EC]],TR_5ExemptionClaim[Lookup: for arranger tab],0),1))</f>
        <v>0</v>
      </c>
      <c r="N212" s="79">
        <f>IF(TR_6RecyclingArranger[[#This Row],[ID_EC]]="",0,IF(COUNTA(TR_6RecyclingArranger[[#This Row],[Name of Third-Party Recycling Arranger]],TR_6RecyclingArranger[[#This Row],[Pounds of Producer''s Material Recycled by this Recycling Arranger]:[Recycling Arranger Contact Email]])=7,0,1))</f>
        <v>0</v>
      </c>
      <c r="O212" s="79">
        <f>IF(TR_6RecyclingArranger[[#This Row],[ID_EC]]&lt;&gt;"",0,IF(COUNTA(TR_6RecyclingArranger[[#This Row],[Name of Third-Party Recycling Arranger]],TR_6RecyclingArranger[[#This Row],[Pounds of Producer''s Material Recycled by this Recycling Arranger]:[Recycling Arranger Contact Email]])&gt;0,1,0))</f>
        <v>0</v>
      </c>
      <c r="P212" s="79">
        <f>IF(TR_6RecyclingArranger[[#This Row],[Lookup: pounds (this table)]]&gt;TR_6RecyclingArranger[[#This Row],[Lookup: pounds (5B tab)]],1,0)</f>
        <v>0</v>
      </c>
      <c r="Q212" s="78">
        <f>SUMIFS(TR_6RecyclingArranger[Pounds of Producer''s Material Recycled by this Recycling Arranger],TR_6RecyclingArranger[ID_EC],TR_6RecyclingArranger[[#This Row],[ID_EC]])</f>
        <v>0</v>
      </c>
      <c r="R212" s="78">
        <f>IFERROR(INDEX(TR_5ExemptionClaim[How many of the pounds recycled through this pathway were supplied by this producer?],MATCH(TR_6RecyclingArranger[[#This Row],[ID_EC]],TR_5ExemptionClaim[ID_EC],0)),0)</f>
        <v>0</v>
      </c>
      <c r="S212" s="81" t="str">
        <f t="shared" si="3"/>
        <v/>
      </c>
      <c r="T212" s="40"/>
      <c r="U212" s="58"/>
    </row>
    <row r="213" spans="1:21" ht="30.75" customHeight="1" x14ac:dyDescent="0.2">
      <c r="A213" s="82" t="s">
        <v>597</v>
      </c>
      <c r="B213" s="46"/>
      <c r="C213" s="113"/>
      <c r="D213" s="215" t="str">
        <f>IF(TR_6RecyclingArranger[[#This Row],[ID_EC]]="","",INDEX(TR_5ExemptionClaim[End Market Name],MATCH(TR_6RecyclingArranger[[#This Row],[ID_EC]],TR_5ExemptionClaim[ID_EC],0)))</f>
        <v/>
      </c>
      <c r="E213" s="215" t="str">
        <f>IF(TR_6RecyclingArranger[[#This Row],[ID_EC]]="","",INDEX(TR_5ExemptionClaim[Collection or Transportation Service Provider Name],MATCH(TR_6RecyclingArranger[[#This Row],[ID_EC]],TR_5ExemptionClaim[ID_EC],0)))</f>
        <v/>
      </c>
      <c r="F213" s="215" t="str">
        <f>IF(TR_6RecyclingArranger[[#This Row],[ID_EC]]="","",IF(INDEX(TR_5ExemptionClaim[CRPF name],MATCH(TR_6RecyclingArranger[[#This Row],[ID_EC]],TR_5ExemptionClaim[ID_EC],0))=0,"None",INDEX(TR_5ExemptionClaim[CRPF name],MATCH(TR_6RecyclingArranger[[#This Row],[ID_EC]],TR_5ExemptionClaim[ID_EC],0))))</f>
        <v/>
      </c>
      <c r="G213" s="45"/>
      <c r="H213" s="108"/>
      <c r="I213" s="47"/>
      <c r="J213" s="48"/>
      <c r="K213" s="47"/>
      <c r="L213" s="79">
        <f>IF(COUNTIFS(TR_6RecyclingArranger[ID_EC],TR_6RecyclingArranger[[#This Row],[ID_EC]],TR_6RecyclingArranger[Name of Third-Party Recycling Arranger],TR_6RecyclingArranger[[#This Row],[Name of Third-Party Recycling Arranger]])&gt;1,1,0)</f>
        <v>0</v>
      </c>
      <c r="M213" s="79">
        <f>IF(TR_6RecyclingArranger[[#This Row],[ID_EC]]="",0,IFERROR(0*MATCH(TR_6RecyclingArranger[[#This Row],[ID_EC]],TR_5ExemptionClaim[Lookup: for arranger tab],0),1))</f>
        <v>0</v>
      </c>
      <c r="N213" s="79">
        <f>IF(TR_6RecyclingArranger[[#This Row],[ID_EC]]="",0,IF(COUNTA(TR_6RecyclingArranger[[#This Row],[Name of Third-Party Recycling Arranger]],TR_6RecyclingArranger[[#This Row],[Pounds of Producer''s Material Recycled by this Recycling Arranger]:[Recycling Arranger Contact Email]])=7,0,1))</f>
        <v>0</v>
      </c>
      <c r="O213" s="79">
        <f>IF(TR_6RecyclingArranger[[#This Row],[ID_EC]]&lt;&gt;"",0,IF(COUNTA(TR_6RecyclingArranger[[#This Row],[Name of Third-Party Recycling Arranger]],TR_6RecyclingArranger[[#This Row],[Pounds of Producer''s Material Recycled by this Recycling Arranger]:[Recycling Arranger Contact Email]])&gt;0,1,0))</f>
        <v>0</v>
      </c>
      <c r="P213" s="79">
        <f>IF(TR_6RecyclingArranger[[#This Row],[Lookup: pounds (this table)]]&gt;TR_6RecyclingArranger[[#This Row],[Lookup: pounds (5B tab)]],1,0)</f>
        <v>0</v>
      </c>
      <c r="Q213" s="78">
        <f>SUMIFS(TR_6RecyclingArranger[Pounds of Producer''s Material Recycled by this Recycling Arranger],TR_6RecyclingArranger[ID_EC],TR_6RecyclingArranger[[#This Row],[ID_EC]])</f>
        <v>0</v>
      </c>
      <c r="R213" s="78">
        <f>IFERROR(INDEX(TR_5ExemptionClaim[How many of the pounds recycled through this pathway were supplied by this producer?],MATCH(TR_6RecyclingArranger[[#This Row],[ID_EC]],TR_5ExemptionClaim[ID_EC],0)),0)</f>
        <v>0</v>
      </c>
      <c r="S213" s="81" t="str">
        <f t="shared" si="3"/>
        <v/>
      </c>
      <c r="T213" s="40"/>
      <c r="U213" s="58"/>
    </row>
    <row r="214" spans="1:21" ht="30.75" customHeight="1" x14ac:dyDescent="0.2">
      <c r="A214" s="82" t="s">
        <v>598</v>
      </c>
      <c r="B214" s="46"/>
      <c r="C214" s="113"/>
      <c r="D214" s="215" t="str">
        <f>IF(TR_6RecyclingArranger[[#This Row],[ID_EC]]="","",INDEX(TR_5ExemptionClaim[End Market Name],MATCH(TR_6RecyclingArranger[[#This Row],[ID_EC]],TR_5ExemptionClaim[ID_EC],0)))</f>
        <v/>
      </c>
      <c r="E214" s="215" t="str">
        <f>IF(TR_6RecyclingArranger[[#This Row],[ID_EC]]="","",INDEX(TR_5ExemptionClaim[Collection or Transportation Service Provider Name],MATCH(TR_6RecyclingArranger[[#This Row],[ID_EC]],TR_5ExemptionClaim[ID_EC],0)))</f>
        <v/>
      </c>
      <c r="F214" s="215" t="str">
        <f>IF(TR_6RecyclingArranger[[#This Row],[ID_EC]]="","",IF(INDEX(TR_5ExemptionClaim[CRPF name],MATCH(TR_6RecyclingArranger[[#This Row],[ID_EC]],TR_5ExemptionClaim[ID_EC],0))=0,"None",INDEX(TR_5ExemptionClaim[CRPF name],MATCH(TR_6RecyclingArranger[[#This Row],[ID_EC]],TR_5ExemptionClaim[ID_EC],0))))</f>
        <v/>
      </c>
      <c r="G214" s="45"/>
      <c r="H214" s="108"/>
      <c r="I214" s="47"/>
      <c r="J214" s="48"/>
      <c r="K214" s="47"/>
      <c r="L214" s="79">
        <f>IF(COUNTIFS(TR_6RecyclingArranger[ID_EC],TR_6RecyclingArranger[[#This Row],[ID_EC]],TR_6RecyclingArranger[Name of Third-Party Recycling Arranger],TR_6RecyclingArranger[[#This Row],[Name of Third-Party Recycling Arranger]])&gt;1,1,0)</f>
        <v>0</v>
      </c>
      <c r="M214" s="79">
        <f>IF(TR_6RecyclingArranger[[#This Row],[ID_EC]]="",0,IFERROR(0*MATCH(TR_6RecyclingArranger[[#This Row],[ID_EC]],TR_5ExemptionClaim[Lookup: for arranger tab],0),1))</f>
        <v>0</v>
      </c>
      <c r="N214" s="79">
        <f>IF(TR_6RecyclingArranger[[#This Row],[ID_EC]]="",0,IF(COUNTA(TR_6RecyclingArranger[[#This Row],[Name of Third-Party Recycling Arranger]],TR_6RecyclingArranger[[#This Row],[Pounds of Producer''s Material Recycled by this Recycling Arranger]:[Recycling Arranger Contact Email]])=7,0,1))</f>
        <v>0</v>
      </c>
      <c r="O214" s="79">
        <f>IF(TR_6RecyclingArranger[[#This Row],[ID_EC]]&lt;&gt;"",0,IF(COUNTA(TR_6RecyclingArranger[[#This Row],[Name of Third-Party Recycling Arranger]],TR_6RecyclingArranger[[#This Row],[Pounds of Producer''s Material Recycled by this Recycling Arranger]:[Recycling Arranger Contact Email]])&gt;0,1,0))</f>
        <v>0</v>
      </c>
      <c r="P214" s="79">
        <f>IF(TR_6RecyclingArranger[[#This Row],[Lookup: pounds (this table)]]&gt;TR_6RecyclingArranger[[#This Row],[Lookup: pounds (5B tab)]],1,0)</f>
        <v>0</v>
      </c>
      <c r="Q214" s="78">
        <f>SUMIFS(TR_6RecyclingArranger[Pounds of Producer''s Material Recycled by this Recycling Arranger],TR_6RecyclingArranger[ID_EC],TR_6RecyclingArranger[[#This Row],[ID_EC]])</f>
        <v>0</v>
      </c>
      <c r="R214" s="78">
        <f>IFERROR(INDEX(TR_5ExemptionClaim[How many of the pounds recycled through this pathway were supplied by this producer?],MATCH(TR_6RecyclingArranger[[#This Row],[ID_EC]],TR_5ExemptionClaim[ID_EC],0)),0)</f>
        <v>0</v>
      </c>
      <c r="S214" s="81" t="str">
        <f t="shared" si="3"/>
        <v/>
      </c>
      <c r="T214" s="40"/>
      <c r="U214" s="58"/>
    </row>
    <row r="215" spans="1:21" ht="30.75" customHeight="1" x14ac:dyDescent="0.2">
      <c r="A215" s="82" t="s">
        <v>599</v>
      </c>
      <c r="B215" s="46"/>
      <c r="C215" s="113"/>
      <c r="D215" s="215" t="str">
        <f>IF(TR_6RecyclingArranger[[#This Row],[ID_EC]]="","",INDEX(TR_5ExemptionClaim[End Market Name],MATCH(TR_6RecyclingArranger[[#This Row],[ID_EC]],TR_5ExemptionClaim[ID_EC],0)))</f>
        <v/>
      </c>
      <c r="E215" s="215" t="str">
        <f>IF(TR_6RecyclingArranger[[#This Row],[ID_EC]]="","",INDEX(TR_5ExemptionClaim[Collection or Transportation Service Provider Name],MATCH(TR_6RecyclingArranger[[#This Row],[ID_EC]],TR_5ExemptionClaim[ID_EC],0)))</f>
        <v/>
      </c>
      <c r="F215" s="215" t="str">
        <f>IF(TR_6RecyclingArranger[[#This Row],[ID_EC]]="","",IF(INDEX(TR_5ExemptionClaim[CRPF name],MATCH(TR_6RecyclingArranger[[#This Row],[ID_EC]],TR_5ExemptionClaim[ID_EC],0))=0,"None",INDEX(TR_5ExemptionClaim[CRPF name],MATCH(TR_6RecyclingArranger[[#This Row],[ID_EC]],TR_5ExemptionClaim[ID_EC],0))))</f>
        <v/>
      </c>
      <c r="G215" s="45"/>
      <c r="H215" s="108"/>
      <c r="I215" s="47"/>
      <c r="J215" s="48"/>
      <c r="K215" s="47"/>
      <c r="L215" s="79">
        <f>IF(COUNTIFS(TR_6RecyclingArranger[ID_EC],TR_6RecyclingArranger[[#This Row],[ID_EC]],TR_6RecyclingArranger[Name of Third-Party Recycling Arranger],TR_6RecyclingArranger[[#This Row],[Name of Third-Party Recycling Arranger]])&gt;1,1,0)</f>
        <v>0</v>
      </c>
      <c r="M215" s="79">
        <f>IF(TR_6RecyclingArranger[[#This Row],[ID_EC]]="",0,IFERROR(0*MATCH(TR_6RecyclingArranger[[#This Row],[ID_EC]],TR_5ExemptionClaim[Lookup: for arranger tab],0),1))</f>
        <v>0</v>
      </c>
      <c r="N215" s="79">
        <f>IF(TR_6RecyclingArranger[[#This Row],[ID_EC]]="",0,IF(COUNTA(TR_6RecyclingArranger[[#This Row],[Name of Third-Party Recycling Arranger]],TR_6RecyclingArranger[[#This Row],[Pounds of Producer''s Material Recycled by this Recycling Arranger]:[Recycling Arranger Contact Email]])=7,0,1))</f>
        <v>0</v>
      </c>
      <c r="O215" s="79">
        <f>IF(TR_6RecyclingArranger[[#This Row],[ID_EC]]&lt;&gt;"",0,IF(COUNTA(TR_6RecyclingArranger[[#This Row],[Name of Third-Party Recycling Arranger]],TR_6RecyclingArranger[[#This Row],[Pounds of Producer''s Material Recycled by this Recycling Arranger]:[Recycling Arranger Contact Email]])&gt;0,1,0))</f>
        <v>0</v>
      </c>
      <c r="P215" s="79">
        <f>IF(TR_6RecyclingArranger[[#This Row],[Lookup: pounds (this table)]]&gt;TR_6RecyclingArranger[[#This Row],[Lookup: pounds (5B tab)]],1,0)</f>
        <v>0</v>
      </c>
      <c r="Q215" s="78">
        <f>SUMIFS(TR_6RecyclingArranger[Pounds of Producer''s Material Recycled by this Recycling Arranger],TR_6RecyclingArranger[ID_EC],TR_6RecyclingArranger[[#This Row],[ID_EC]])</f>
        <v>0</v>
      </c>
      <c r="R215" s="78">
        <f>IFERROR(INDEX(TR_5ExemptionClaim[How many of the pounds recycled through this pathway were supplied by this producer?],MATCH(TR_6RecyclingArranger[[#This Row],[ID_EC]],TR_5ExemptionClaim[ID_EC],0)),0)</f>
        <v>0</v>
      </c>
      <c r="S215" s="81" t="str">
        <f t="shared" si="3"/>
        <v/>
      </c>
      <c r="T215" s="40"/>
      <c r="U215" s="58"/>
    </row>
    <row r="216" spans="1:21" ht="30.75" customHeight="1" x14ac:dyDescent="0.2">
      <c r="A216" s="82" t="s">
        <v>600</v>
      </c>
      <c r="B216" s="46"/>
      <c r="C216" s="113"/>
      <c r="D216" s="215" t="str">
        <f>IF(TR_6RecyclingArranger[[#This Row],[ID_EC]]="","",INDEX(TR_5ExemptionClaim[End Market Name],MATCH(TR_6RecyclingArranger[[#This Row],[ID_EC]],TR_5ExemptionClaim[ID_EC],0)))</f>
        <v/>
      </c>
      <c r="E216" s="215" t="str">
        <f>IF(TR_6RecyclingArranger[[#This Row],[ID_EC]]="","",INDEX(TR_5ExemptionClaim[Collection or Transportation Service Provider Name],MATCH(TR_6RecyclingArranger[[#This Row],[ID_EC]],TR_5ExemptionClaim[ID_EC],0)))</f>
        <v/>
      </c>
      <c r="F216" s="215" t="str">
        <f>IF(TR_6RecyclingArranger[[#This Row],[ID_EC]]="","",IF(INDEX(TR_5ExemptionClaim[CRPF name],MATCH(TR_6RecyclingArranger[[#This Row],[ID_EC]],TR_5ExemptionClaim[ID_EC],0))=0,"None",INDEX(TR_5ExemptionClaim[CRPF name],MATCH(TR_6RecyclingArranger[[#This Row],[ID_EC]],TR_5ExemptionClaim[ID_EC],0))))</f>
        <v/>
      </c>
      <c r="G216" s="45"/>
      <c r="H216" s="108"/>
      <c r="I216" s="47"/>
      <c r="J216" s="48"/>
      <c r="K216" s="47"/>
      <c r="L216" s="79">
        <f>IF(COUNTIFS(TR_6RecyclingArranger[ID_EC],TR_6RecyclingArranger[[#This Row],[ID_EC]],TR_6RecyclingArranger[Name of Third-Party Recycling Arranger],TR_6RecyclingArranger[[#This Row],[Name of Third-Party Recycling Arranger]])&gt;1,1,0)</f>
        <v>0</v>
      </c>
      <c r="M216" s="79">
        <f>IF(TR_6RecyclingArranger[[#This Row],[ID_EC]]="",0,IFERROR(0*MATCH(TR_6RecyclingArranger[[#This Row],[ID_EC]],TR_5ExemptionClaim[Lookup: for arranger tab],0),1))</f>
        <v>0</v>
      </c>
      <c r="N216" s="79">
        <f>IF(TR_6RecyclingArranger[[#This Row],[ID_EC]]="",0,IF(COUNTA(TR_6RecyclingArranger[[#This Row],[Name of Third-Party Recycling Arranger]],TR_6RecyclingArranger[[#This Row],[Pounds of Producer''s Material Recycled by this Recycling Arranger]:[Recycling Arranger Contact Email]])=7,0,1))</f>
        <v>0</v>
      </c>
      <c r="O216" s="79">
        <f>IF(TR_6RecyclingArranger[[#This Row],[ID_EC]]&lt;&gt;"",0,IF(COUNTA(TR_6RecyclingArranger[[#This Row],[Name of Third-Party Recycling Arranger]],TR_6RecyclingArranger[[#This Row],[Pounds of Producer''s Material Recycled by this Recycling Arranger]:[Recycling Arranger Contact Email]])&gt;0,1,0))</f>
        <v>0</v>
      </c>
      <c r="P216" s="79">
        <f>IF(TR_6RecyclingArranger[[#This Row],[Lookup: pounds (this table)]]&gt;TR_6RecyclingArranger[[#This Row],[Lookup: pounds (5B tab)]],1,0)</f>
        <v>0</v>
      </c>
      <c r="Q216" s="78">
        <f>SUMIFS(TR_6RecyclingArranger[Pounds of Producer''s Material Recycled by this Recycling Arranger],TR_6RecyclingArranger[ID_EC],TR_6RecyclingArranger[[#This Row],[ID_EC]])</f>
        <v>0</v>
      </c>
      <c r="R216" s="78">
        <f>IFERROR(INDEX(TR_5ExemptionClaim[How many of the pounds recycled through this pathway were supplied by this producer?],MATCH(TR_6RecyclingArranger[[#This Row],[ID_EC]],TR_5ExemptionClaim[ID_EC],0)),0)</f>
        <v>0</v>
      </c>
      <c r="S216" s="81" t="str">
        <f t="shared" si="3"/>
        <v/>
      </c>
      <c r="T216" s="40"/>
      <c r="U216" s="58"/>
    </row>
    <row r="217" spans="1:21" ht="30.75" customHeight="1" x14ac:dyDescent="0.2">
      <c r="A217" s="82" t="s">
        <v>601</v>
      </c>
      <c r="B217" s="46"/>
      <c r="C217" s="113"/>
      <c r="D217" s="215" t="str">
        <f>IF(TR_6RecyclingArranger[[#This Row],[ID_EC]]="","",INDEX(TR_5ExemptionClaim[End Market Name],MATCH(TR_6RecyclingArranger[[#This Row],[ID_EC]],TR_5ExemptionClaim[ID_EC],0)))</f>
        <v/>
      </c>
      <c r="E217" s="215" t="str">
        <f>IF(TR_6RecyclingArranger[[#This Row],[ID_EC]]="","",INDEX(TR_5ExemptionClaim[Collection or Transportation Service Provider Name],MATCH(TR_6RecyclingArranger[[#This Row],[ID_EC]],TR_5ExemptionClaim[ID_EC],0)))</f>
        <v/>
      </c>
      <c r="F217" s="215" t="str">
        <f>IF(TR_6RecyclingArranger[[#This Row],[ID_EC]]="","",IF(INDEX(TR_5ExemptionClaim[CRPF name],MATCH(TR_6RecyclingArranger[[#This Row],[ID_EC]],TR_5ExemptionClaim[ID_EC],0))=0,"None",INDEX(TR_5ExemptionClaim[CRPF name],MATCH(TR_6RecyclingArranger[[#This Row],[ID_EC]],TR_5ExemptionClaim[ID_EC],0))))</f>
        <v/>
      </c>
      <c r="G217" s="45"/>
      <c r="H217" s="108"/>
      <c r="I217" s="47"/>
      <c r="J217" s="48"/>
      <c r="K217" s="47"/>
      <c r="L217" s="79">
        <f>IF(COUNTIFS(TR_6RecyclingArranger[ID_EC],TR_6RecyclingArranger[[#This Row],[ID_EC]],TR_6RecyclingArranger[Name of Third-Party Recycling Arranger],TR_6RecyclingArranger[[#This Row],[Name of Third-Party Recycling Arranger]])&gt;1,1,0)</f>
        <v>0</v>
      </c>
      <c r="M217" s="79">
        <f>IF(TR_6RecyclingArranger[[#This Row],[ID_EC]]="",0,IFERROR(0*MATCH(TR_6RecyclingArranger[[#This Row],[ID_EC]],TR_5ExemptionClaim[Lookup: for arranger tab],0),1))</f>
        <v>0</v>
      </c>
      <c r="N217" s="79">
        <f>IF(TR_6RecyclingArranger[[#This Row],[ID_EC]]="",0,IF(COUNTA(TR_6RecyclingArranger[[#This Row],[Name of Third-Party Recycling Arranger]],TR_6RecyclingArranger[[#This Row],[Pounds of Producer''s Material Recycled by this Recycling Arranger]:[Recycling Arranger Contact Email]])=7,0,1))</f>
        <v>0</v>
      </c>
      <c r="O217" s="79">
        <f>IF(TR_6RecyclingArranger[[#This Row],[ID_EC]]&lt;&gt;"",0,IF(COUNTA(TR_6RecyclingArranger[[#This Row],[Name of Third-Party Recycling Arranger]],TR_6RecyclingArranger[[#This Row],[Pounds of Producer''s Material Recycled by this Recycling Arranger]:[Recycling Arranger Contact Email]])&gt;0,1,0))</f>
        <v>0</v>
      </c>
      <c r="P217" s="79">
        <f>IF(TR_6RecyclingArranger[[#This Row],[Lookup: pounds (this table)]]&gt;TR_6RecyclingArranger[[#This Row],[Lookup: pounds (5B tab)]],1,0)</f>
        <v>0</v>
      </c>
      <c r="Q217" s="78">
        <f>SUMIFS(TR_6RecyclingArranger[Pounds of Producer''s Material Recycled by this Recycling Arranger],TR_6RecyclingArranger[ID_EC],TR_6RecyclingArranger[[#This Row],[ID_EC]])</f>
        <v>0</v>
      </c>
      <c r="R217" s="78">
        <f>IFERROR(INDEX(TR_5ExemptionClaim[How many of the pounds recycled through this pathway were supplied by this producer?],MATCH(TR_6RecyclingArranger[[#This Row],[ID_EC]],TR_5ExemptionClaim[ID_EC],0)),0)</f>
        <v>0</v>
      </c>
      <c r="S217" s="81" t="str">
        <f t="shared" si="3"/>
        <v/>
      </c>
      <c r="T217" s="40"/>
      <c r="U217" s="58"/>
    </row>
    <row r="218" spans="1:21" ht="30.75" customHeight="1" x14ac:dyDescent="0.2">
      <c r="A218" s="82" t="s">
        <v>602</v>
      </c>
      <c r="B218" s="46"/>
      <c r="C218" s="113"/>
      <c r="D218" s="215" t="str">
        <f>IF(TR_6RecyclingArranger[[#This Row],[ID_EC]]="","",INDEX(TR_5ExemptionClaim[End Market Name],MATCH(TR_6RecyclingArranger[[#This Row],[ID_EC]],TR_5ExemptionClaim[ID_EC],0)))</f>
        <v/>
      </c>
      <c r="E218" s="215" t="str">
        <f>IF(TR_6RecyclingArranger[[#This Row],[ID_EC]]="","",INDEX(TR_5ExemptionClaim[Collection or Transportation Service Provider Name],MATCH(TR_6RecyclingArranger[[#This Row],[ID_EC]],TR_5ExemptionClaim[ID_EC],0)))</f>
        <v/>
      </c>
      <c r="F218" s="215" t="str">
        <f>IF(TR_6RecyclingArranger[[#This Row],[ID_EC]]="","",IF(INDEX(TR_5ExemptionClaim[CRPF name],MATCH(TR_6RecyclingArranger[[#This Row],[ID_EC]],TR_5ExemptionClaim[ID_EC],0))=0,"None",INDEX(TR_5ExemptionClaim[CRPF name],MATCH(TR_6RecyclingArranger[[#This Row],[ID_EC]],TR_5ExemptionClaim[ID_EC],0))))</f>
        <v/>
      </c>
      <c r="G218" s="45"/>
      <c r="H218" s="108"/>
      <c r="I218" s="47"/>
      <c r="J218" s="48"/>
      <c r="K218" s="47"/>
      <c r="L218" s="79">
        <f>IF(COUNTIFS(TR_6RecyclingArranger[ID_EC],TR_6RecyclingArranger[[#This Row],[ID_EC]],TR_6RecyclingArranger[Name of Third-Party Recycling Arranger],TR_6RecyclingArranger[[#This Row],[Name of Third-Party Recycling Arranger]])&gt;1,1,0)</f>
        <v>0</v>
      </c>
      <c r="M218" s="79">
        <f>IF(TR_6RecyclingArranger[[#This Row],[ID_EC]]="",0,IFERROR(0*MATCH(TR_6RecyclingArranger[[#This Row],[ID_EC]],TR_5ExemptionClaim[Lookup: for arranger tab],0),1))</f>
        <v>0</v>
      </c>
      <c r="N218" s="79">
        <f>IF(TR_6RecyclingArranger[[#This Row],[ID_EC]]="",0,IF(COUNTA(TR_6RecyclingArranger[[#This Row],[Name of Third-Party Recycling Arranger]],TR_6RecyclingArranger[[#This Row],[Pounds of Producer''s Material Recycled by this Recycling Arranger]:[Recycling Arranger Contact Email]])=7,0,1))</f>
        <v>0</v>
      </c>
      <c r="O218" s="79">
        <f>IF(TR_6RecyclingArranger[[#This Row],[ID_EC]]&lt;&gt;"",0,IF(COUNTA(TR_6RecyclingArranger[[#This Row],[Name of Third-Party Recycling Arranger]],TR_6RecyclingArranger[[#This Row],[Pounds of Producer''s Material Recycled by this Recycling Arranger]:[Recycling Arranger Contact Email]])&gt;0,1,0))</f>
        <v>0</v>
      </c>
      <c r="P218" s="79">
        <f>IF(TR_6RecyclingArranger[[#This Row],[Lookup: pounds (this table)]]&gt;TR_6RecyclingArranger[[#This Row],[Lookup: pounds (5B tab)]],1,0)</f>
        <v>0</v>
      </c>
      <c r="Q218" s="78">
        <f>SUMIFS(TR_6RecyclingArranger[Pounds of Producer''s Material Recycled by this Recycling Arranger],TR_6RecyclingArranger[ID_EC],TR_6RecyclingArranger[[#This Row],[ID_EC]])</f>
        <v>0</v>
      </c>
      <c r="R218" s="78">
        <f>IFERROR(INDEX(TR_5ExemptionClaim[How many of the pounds recycled through this pathway were supplied by this producer?],MATCH(TR_6RecyclingArranger[[#This Row],[ID_EC]],TR_5ExemptionClaim[ID_EC],0)),0)</f>
        <v>0</v>
      </c>
      <c r="S218" s="81" t="str">
        <f t="shared" si="3"/>
        <v/>
      </c>
      <c r="T218" s="40"/>
      <c r="U218" s="58"/>
    </row>
    <row r="219" spans="1:21" ht="30.75" customHeight="1" x14ac:dyDescent="0.2">
      <c r="A219" s="82" t="s">
        <v>603</v>
      </c>
      <c r="B219" s="46"/>
      <c r="C219" s="113"/>
      <c r="D219" s="215" t="str">
        <f>IF(TR_6RecyclingArranger[[#This Row],[ID_EC]]="","",INDEX(TR_5ExemptionClaim[End Market Name],MATCH(TR_6RecyclingArranger[[#This Row],[ID_EC]],TR_5ExemptionClaim[ID_EC],0)))</f>
        <v/>
      </c>
      <c r="E219" s="215" t="str">
        <f>IF(TR_6RecyclingArranger[[#This Row],[ID_EC]]="","",INDEX(TR_5ExemptionClaim[Collection or Transportation Service Provider Name],MATCH(TR_6RecyclingArranger[[#This Row],[ID_EC]],TR_5ExemptionClaim[ID_EC],0)))</f>
        <v/>
      </c>
      <c r="F219" s="215" t="str">
        <f>IF(TR_6RecyclingArranger[[#This Row],[ID_EC]]="","",IF(INDEX(TR_5ExemptionClaim[CRPF name],MATCH(TR_6RecyclingArranger[[#This Row],[ID_EC]],TR_5ExemptionClaim[ID_EC],0))=0,"None",INDEX(TR_5ExemptionClaim[CRPF name],MATCH(TR_6RecyclingArranger[[#This Row],[ID_EC]],TR_5ExemptionClaim[ID_EC],0))))</f>
        <v/>
      </c>
      <c r="G219" s="45"/>
      <c r="H219" s="108"/>
      <c r="I219" s="47"/>
      <c r="J219" s="48"/>
      <c r="K219" s="47"/>
      <c r="L219" s="79">
        <f>IF(COUNTIFS(TR_6RecyclingArranger[ID_EC],TR_6RecyclingArranger[[#This Row],[ID_EC]],TR_6RecyclingArranger[Name of Third-Party Recycling Arranger],TR_6RecyclingArranger[[#This Row],[Name of Third-Party Recycling Arranger]])&gt;1,1,0)</f>
        <v>0</v>
      </c>
      <c r="M219" s="79">
        <f>IF(TR_6RecyclingArranger[[#This Row],[ID_EC]]="",0,IFERROR(0*MATCH(TR_6RecyclingArranger[[#This Row],[ID_EC]],TR_5ExemptionClaim[Lookup: for arranger tab],0),1))</f>
        <v>0</v>
      </c>
      <c r="N219" s="79">
        <f>IF(TR_6RecyclingArranger[[#This Row],[ID_EC]]="",0,IF(COUNTA(TR_6RecyclingArranger[[#This Row],[Name of Third-Party Recycling Arranger]],TR_6RecyclingArranger[[#This Row],[Pounds of Producer''s Material Recycled by this Recycling Arranger]:[Recycling Arranger Contact Email]])=7,0,1))</f>
        <v>0</v>
      </c>
      <c r="O219" s="79">
        <f>IF(TR_6RecyclingArranger[[#This Row],[ID_EC]]&lt;&gt;"",0,IF(COUNTA(TR_6RecyclingArranger[[#This Row],[Name of Third-Party Recycling Arranger]],TR_6RecyclingArranger[[#This Row],[Pounds of Producer''s Material Recycled by this Recycling Arranger]:[Recycling Arranger Contact Email]])&gt;0,1,0))</f>
        <v>0</v>
      </c>
      <c r="P219" s="79">
        <f>IF(TR_6RecyclingArranger[[#This Row],[Lookup: pounds (this table)]]&gt;TR_6RecyclingArranger[[#This Row],[Lookup: pounds (5B tab)]],1,0)</f>
        <v>0</v>
      </c>
      <c r="Q219" s="78">
        <f>SUMIFS(TR_6RecyclingArranger[Pounds of Producer''s Material Recycled by this Recycling Arranger],TR_6RecyclingArranger[ID_EC],TR_6RecyclingArranger[[#This Row],[ID_EC]])</f>
        <v>0</v>
      </c>
      <c r="R219" s="78">
        <f>IFERROR(INDEX(TR_5ExemptionClaim[How many of the pounds recycled through this pathway were supplied by this producer?],MATCH(TR_6RecyclingArranger[[#This Row],[ID_EC]],TR_5ExemptionClaim[ID_EC],0)),0)</f>
        <v>0</v>
      </c>
      <c r="S219" s="81" t="str">
        <f t="shared" si="3"/>
        <v/>
      </c>
      <c r="T219" s="40"/>
      <c r="U219" s="58"/>
    </row>
    <row r="220" spans="1:21" ht="30.75" customHeight="1" x14ac:dyDescent="0.2">
      <c r="A220" s="82" t="s">
        <v>604</v>
      </c>
      <c r="B220" s="46"/>
      <c r="C220" s="113"/>
      <c r="D220" s="215" t="str">
        <f>IF(TR_6RecyclingArranger[[#This Row],[ID_EC]]="","",INDEX(TR_5ExemptionClaim[End Market Name],MATCH(TR_6RecyclingArranger[[#This Row],[ID_EC]],TR_5ExemptionClaim[ID_EC],0)))</f>
        <v/>
      </c>
      <c r="E220" s="215" t="str">
        <f>IF(TR_6RecyclingArranger[[#This Row],[ID_EC]]="","",INDEX(TR_5ExemptionClaim[Collection or Transportation Service Provider Name],MATCH(TR_6RecyclingArranger[[#This Row],[ID_EC]],TR_5ExemptionClaim[ID_EC],0)))</f>
        <v/>
      </c>
      <c r="F220" s="215" t="str">
        <f>IF(TR_6RecyclingArranger[[#This Row],[ID_EC]]="","",IF(INDEX(TR_5ExemptionClaim[CRPF name],MATCH(TR_6RecyclingArranger[[#This Row],[ID_EC]],TR_5ExemptionClaim[ID_EC],0))=0,"None",INDEX(TR_5ExemptionClaim[CRPF name],MATCH(TR_6RecyclingArranger[[#This Row],[ID_EC]],TR_5ExemptionClaim[ID_EC],0))))</f>
        <v/>
      </c>
      <c r="G220" s="45"/>
      <c r="H220" s="108"/>
      <c r="I220" s="47"/>
      <c r="J220" s="48"/>
      <c r="K220" s="47"/>
      <c r="L220" s="79">
        <f>IF(COUNTIFS(TR_6RecyclingArranger[ID_EC],TR_6RecyclingArranger[[#This Row],[ID_EC]],TR_6RecyclingArranger[Name of Third-Party Recycling Arranger],TR_6RecyclingArranger[[#This Row],[Name of Third-Party Recycling Arranger]])&gt;1,1,0)</f>
        <v>0</v>
      </c>
      <c r="M220" s="79">
        <f>IF(TR_6RecyclingArranger[[#This Row],[ID_EC]]="",0,IFERROR(0*MATCH(TR_6RecyclingArranger[[#This Row],[ID_EC]],TR_5ExemptionClaim[Lookup: for arranger tab],0),1))</f>
        <v>0</v>
      </c>
      <c r="N220" s="79">
        <f>IF(TR_6RecyclingArranger[[#This Row],[ID_EC]]="",0,IF(COUNTA(TR_6RecyclingArranger[[#This Row],[Name of Third-Party Recycling Arranger]],TR_6RecyclingArranger[[#This Row],[Pounds of Producer''s Material Recycled by this Recycling Arranger]:[Recycling Arranger Contact Email]])=7,0,1))</f>
        <v>0</v>
      </c>
      <c r="O220" s="79">
        <f>IF(TR_6RecyclingArranger[[#This Row],[ID_EC]]&lt;&gt;"",0,IF(COUNTA(TR_6RecyclingArranger[[#This Row],[Name of Third-Party Recycling Arranger]],TR_6RecyclingArranger[[#This Row],[Pounds of Producer''s Material Recycled by this Recycling Arranger]:[Recycling Arranger Contact Email]])&gt;0,1,0))</f>
        <v>0</v>
      </c>
      <c r="P220" s="79">
        <f>IF(TR_6RecyclingArranger[[#This Row],[Lookup: pounds (this table)]]&gt;TR_6RecyclingArranger[[#This Row],[Lookup: pounds (5B tab)]],1,0)</f>
        <v>0</v>
      </c>
      <c r="Q220" s="78">
        <f>SUMIFS(TR_6RecyclingArranger[Pounds of Producer''s Material Recycled by this Recycling Arranger],TR_6RecyclingArranger[ID_EC],TR_6RecyclingArranger[[#This Row],[ID_EC]])</f>
        <v>0</v>
      </c>
      <c r="R220" s="78">
        <f>IFERROR(INDEX(TR_5ExemptionClaim[How many of the pounds recycled through this pathway were supplied by this producer?],MATCH(TR_6RecyclingArranger[[#This Row],[ID_EC]],TR_5ExemptionClaim[ID_EC],0)),0)</f>
        <v>0</v>
      </c>
      <c r="S220" s="81" t="str">
        <f t="shared" si="3"/>
        <v/>
      </c>
      <c r="T220" s="40"/>
      <c r="U220" s="58"/>
    </row>
    <row r="221" spans="1:21" ht="30.75" customHeight="1" x14ac:dyDescent="0.2">
      <c r="A221" s="82" t="s">
        <v>605</v>
      </c>
      <c r="B221" s="46"/>
      <c r="C221" s="113"/>
      <c r="D221" s="215" t="str">
        <f>IF(TR_6RecyclingArranger[[#This Row],[ID_EC]]="","",INDEX(TR_5ExemptionClaim[End Market Name],MATCH(TR_6RecyclingArranger[[#This Row],[ID_EC]],TR_5ExemptionClaim[ID_EC],0)))</f>
        <v/>
      </c>
      <c r="E221" s="215" t="str">
        <f>IF(TR_6RecyclingArranger[[#This Row],[ID_EC]]="","",INDEX(TR_5ExemptionClaim[Collection or Transportation Service Provider Name],MATCH(TR_6RecyclingArranger[[#This Row],[ID_EC]],TR_5ExemptionClaim[ID_EC],0)))</f>
        <v/>
      </c>
      <c r="F221" s="215" t="str">
        <f>IF(TR_6RecyclingArranger[[#This Row],[ID_EC]]="","",IF(INDEX(TR_5ExemptionClaim[CRPF name],MATCH(TR_6RecyclingArranger[[#This Row],[ID_EC]],TR_5ExemptionClaim[ID_EC],0))=0,"None",INDEX(TR_5ExemptionClaim[CRPF name],MATCH(TR_6RecyclingArranger[[#This Row],[ID_EC]],TR_5ExemptionClaim[ID_EC],0))))</f>
        <v/>
      </c>
      <c r="G221" s="45"/>
      <c r="H221" s="108"/>
      <c r="I221" s="47"/>
      <c r="J221" s="48"/>
      <c r="K221" s="47"/>
      <c r="L221" s="79">
        <f>IF(COUNTIFS(TR_6RecyclingArranger[ID_EC],TR_6RecyclingArranger[[#This Row],[ID_EC]],TR_6RecyclingArranger[Name of Third-Party Recycling Arranger],TR_6RecyclingArranger[[#This Row],[Name of Third-Party Recycling Arranger]])&gt;1,1,0)</f>
        <v>0</v>
      </c>
      <c r="M221" s="79">
        <f>IF(TR_6RecyclingArranger[[#This Row],[ID_EC]]="",0,IFERROR(0*MATCH(TR_6RecyclingArranger[[#This Row],[ID_EC]],TR_5ExemptionClaim[Lookup: for arranger tab],0),1))</f>
        <v>0</v>
      </c>
      <c r="N221" s="79">
        <f>IF(TR_6RecyclingArranger[[#This Row],[ID_EC]]="",0,IF(COUNTA(TR_6RecyclingArranger[[#This Row],[Name of Third-Party Recycling Arranger]],TR_6RecyclingArranger[[#This Row],[Pounds of Producer''s Material Recycled by this Recycling Arranger]:[Recycling Arranger Contact Email]])=7,0,1))</f>
        <v>0</v>
      </c>
      <c r="O221" s="79">
        <f>IF(TR_6RecyclingArranger[[#This Row],[ID_EC]]&lt;&gt;"",0,IF(COUNTA(TR_6RecyclingArranger[[#This Row],[Name of Third-Party Recycling Arranger]],TR_6RecyclingArranger[[#This Row],[Pounds of Producer''s Material Recycled by this Recycling Arranger]:[Recycling Arranger Contact Email]])&gt;0,1,0))</f>
        <v>0</v>
      </c>
      <c r="P221" s="79">
        <f>IF(TR_6RecyclingArranger[[#This Row],[Lookup: pounds (this table)]]&gt;TR_6RecyclingArranger[[#This Row],[Lookup: pounds (5B tab)]],1,0)</f>
        <v>0</v>
      </c>
      <c r="Q221" s="78">
        <f>SUMIFS(TR_6RecyclingArranger[Pounds of Producer''s Material Recycled by this Recycling Arranger],TR_6RecyclingArranger[ID_EC],TR_6RecyclingArranger[[#This Row],[ID_EC]])</f>
        <v>0</v>
      </c>
      <c r="R221" s="78">
        <f>IFERROR(INDEX(TR_5ExemptionClaim[How many of the pounds recycled through this pathway were supplied by this producer?],MATCH(TR_6RecyclingArranger[[#This Row],[ID_EC]],TR_5ExemptionClaim[ID_EC],0)),0)</f>
        <v>0</v>
      </c>
      <c r="S221" s="81" t="str">
        <f t="shared" si="3"/>
        <v/>
      </c>
      <c r="T221" s="40"/>
      <c r="U221" s="58"/>
    </row>
    <row r="222" spans="1:21" ht="30.75" customHeight="1" x14ac:dyDescent="0.2">
      <c r="A222" s="82" t="s">
        <v>606</v>
      </c>
      <c r="B222" s="46"/>
      <c r="C222" s="113"/>
      <c r="D222" s="215" t="str">
        <f>IF(TR_6RecyclingArranger[[#This Row],[ID_EC]]="","",INDEX(TR_5ExemptionClaim[End Market Name],MATCH(TR_6RecyclingArranger[[#This Row],[ID_EC]],TR_5ExemptionClaim[ID_EC],0)))</f>
        <v/>
      </c>
      <c r="E222" s="215" t="str">
        <f>IF(TR_6RecyclingArranger[[#This Row],[ID_EC]]="","",INDEX(TR_5ExemptionClaim[Collection or Transportation Service Provider Name],MATCH(TR_6RecyclingArranger[[#This Row],[ID_EC]],TR_5ExemptionClaim[ID_EC],0)))</f>
        <v/>
      </c>
      <c r="F222" s="215" t="str">
        <f>IF(TR_6RecyclingArranger[[#This Row],[ID_EC]]="","",IF(INDEX(TR_5ExemptionClaim[CRPF name],MATCH(TR_6RecyclingArranger[[#This Row],[ID_EC]],TR_5ExemptionClaim[ID_EC],0))=0,"None",INDEX(TR_5ExemptionClaim[CRPF name],MATCH(TR_6RecyclingArranger[[#This Row],[ID_EC]],TR_5ExemptionClaim[ID_EC],0))))</f>
        <v/>
      </c>
      <c r="G222" s="45"/>
      <c r="H222" s="108"/>
      <c r="I222" s="47"/>
      <c r="J222" s="48"/>
      <c r="K222" s="47"/>
      <c r="L222" s="79">
        <f>IF(COUNTIFS(TR_6RecyclingArranger[ID_EC],TR_6RecyclingArranger[[#This Row],[ID_EC]],TR_6RecyclingArranger[Name of Third-Party Recycling Arranger],TR_6RecyclingArranger[[#This Row],[Name of Third-Party Recycling Arranger]])&gt;1,1,0)</f>
        <v>0</v>
      </c>
      <c r="M222" s="79">
        <f>IF(TR_6RecyclingArranger[[#This Row],[ID_EC]]="",0,IFERROR(0*MATCH(TR_6RecyclingArranger[[#This Row],[ID_EC]],TR_5ExemptionClaim[Lookup: for arranger tab],0),1))</f>
        <v>0</v>
      </c>
      <c r="N222" s="79">
        <f>IF(TR_6RecyclingArranger[[#This Row],[ID_EC]]="",0,IF(COUNTA(TR_6RecyclingArranger[[#This Row],[Name of Third-Party Recycling Arranger]],TR_6RecyclingArranger[[#This Row],[Pounds of Producer''s Material Recycled by this Recycling Arranger]:[Recycling Arranger Contact Email]])=7,0,1))</f>
        <v>0</v>
      </c>
      <c r="O222" s="79">
        <f>IF(TR_6RecyclingArranger[[#This Row],[ID_EC]]&lt;&gt;"",0,IF(COUNTA(TR_6RecyclingArranger[[#This Row],[Name of Third-Party Recycling Arranger]],TR_6RecyclingArranger[[#This Row],[Pounds of Producer''s Material Recycled by this Recycling Arranger]:[Recycling Arranger Contact Email]])&gt;0,1,0))</f>
        <v>0</v>
      </c>
      <c r="P222" s="79">
        <f>IF(TR_6RecyclingArranger[[#This Row],[Lookup: pounds (this table)]]&gt;TR_6RecyclingArranger[[#This Row],[Lookup: pounds (5B tab)]],1,0)</f>
        <v>0</v>
      </c>
      <c r="Q222" s="78">
        <f>SUMIFS(TR_6RecyclingArranger[Pounds of Producer''s Material Recycled by this Recycling Arranger],TR_6RecyclingArranger[ID_EC],TR_6RecyclingArranger[[#This Row],[ID_EC]])</f>
        <v>0</v>
      </c>
      <c r="R222" s="78">
        <f>IFERROR(INDEX(TR_5ExemptionClaim[How many of the pounds recycled through this pathway were supplied by this producer?],MATCH(TR_6RecyclingArranger[[#This Row],[ID_EC]],TR_5ExemptionClaim[ID_EC],0)),0)</f>
        <v>0</v>
      </c>
      <c r="S222" s="81" t="str">
        <f t="shared" si="3"/>
        <v/>
      </c>
      <c r="T222" s="40"/>
      <c r="U222" s="58"/>
    </row>
    <row r="223" spans="1:21" ht="30.75" customHeight="1" x14ac:dyDescent="0.2">
      <c r="A223" s="82" t="s">
        <v>607</v>
      </c>
      <c r="B223" s="46"/>
      <c r="C223" s="113"/>
      <c r="D223" s="215" t="str">
        <f>IF(TR_6RecyclingArranger[[#This Row],[ID_EC]]="","",INDEX(TR_5ExemptionClaim[End Market Name],MATCH(TR_6RecyclingArranger[[#This Row],[ID_EC]],TR_5ExemptionClaim[ID_EC],0)))</f>
        <v/>
      </c>
      <c r="E223" s="215" t="str">
        <f>IF(TR_6RecyclingArranger[[#This Row],[ID_EC]]="","",INDEX(TR_5ExemptionClaim[Collection or Transportation Service Provider Name],MATCH(TR_6RecyclingArranger[[#This Row],[ID_EC]],TR_5ExemptionClaim[ID_EC],0)))</f>
        <v/>
      </c>
      <c r="F223" s="215" t="str">
        <f>IF(TR_6RecyclingArranger[[#This Row],[ID_EC]]="","",IF(INDEX(TR_5ExemptionClaim[CRPF name],MATCH(TR_6RecyclingArranger[[#This Row],[ID_EC]],TR_5ExemptionClaim[ID_EC],0))=0,"None",INDEX(TR_5ExemptionClaim[CRPF name],MATCH(TR_6RecyclingArranger[[#This Row],[ID_EC]],TR_5ExemptionClaim[ID_EC],0))))</f>
        <v/>
      </c>
      <c r="G223" s="45"/>
      <c r="H223" s="108"/>
      <c r="I223" s="47"/>
      <c r="J223" s="48"/>
      <c r="K223" s="47"/>
      <c r="L223" s="79">
        <f>IF(COUNTIFS(TR_6RecyclingArranger[ID_EC],TR_6RecyclingArranger[[#This Row],[ID_EC]],TR_6RecyclingArranger[Name of Third-Party Recycling Arranger],TR_6RecyclingArranger[[#This Row],[Name of Third-Party Recycling Arranger]])&gt;1,1,0)</f>
        <v>0</v>
      </c>
      <c r="M223" s="79">
        <f>IF(TR_6RecyclingArranger[[#This Row],[ID_EC]]="",0,IFERROR(0*MATCH(TR_6RecyclingArranger[[#This Row],[ID_EC]],TR_5ExemptionClaim[Lookup: for arranger tab],0),1))</f>
        <v>0</v>
      </c>
      <c r="N223" s="79">
        <f>IF(TR_6RecyclingArranger[[#This Row],[ID_EC]]="",0,IF(COUNTA(TR_6RecyclingArranger[[#This Row],[Name of Third-Party Recycling Arranger]],TR_6RecyclingArranger[[#This Row],[Pounds of Producer''s Material Recycled by this Recycling Arranger]:[Recycling Arranger Contact Email]])=7,0,1))</f>
        <v>0</v>
      </c>
      <c r="O223" s="79">
        <f>IF(TR_6RecyclingArranger[[#This Row],[ID_EC]]&lt;&gt;"",0,IF(COUNTA(TR_6RecyclingArranger[[#This Row],[Name of Third-Party Recycling Arranger]],TR_6RecyclingArranger[[#This Row],[Pounds of Producer''s Material Recycled by this Recycling Arranger]:[Recycling Arranger Contact Email]])&gt;0,1,0))</f>
        <v>0</v>
      </c>
      <c r="P223" s="79">
        <f>IF(TR_6RecyclingArranger[[#This Row],[Lookup: pounds (this table)]]&gt;TR_6RecyclingArranger[[#This Row],[Lookup: pounds (5B tab)]],1,0)</f>
        <v>0</v>
      </c>
      <c r="Q223" s="78">
        <f>SUMIFS(TR_6RecyclingArranger[Pounds of Producer''s Material Recycled by this Recycling Arranger],TR_6RecyclingArranger[ID_EC],TR_6RecyclingArranger[[#This Row],[ID_EC]])</f>
        <v>0</v>
      </c>
      <c r="R223" s="78">
        <f>IFERROR(INDEX(TR_5ExemptionClaim[How many of the pounds recycled through this pathway were supplied by this producer?],MATCH(TR_6RecyclingArranger[[#This Row],[ID_EC]],TR_5ExemptionClaim[ID_EC],0)),0)</f>
        <v>0</v>
      </c>
      <c r="S223" s="81" t="str">
        <f t="shared" si="3"/>
        <v/>
      </c>
      <c r="T223" s="40"/>
      <c r="U223" s="58"/>
    </row>
    <row r="224" spans="1:21" ht="30.75" customHeight="1" x14ac:dyDescent="0.2">
      <c r="A224" s="82" t="s">
        <v>608</v>
      </c>
      <c r="B224" s="46"/>
      <c r="C224" s="113"/>
      <c r="D224" s="215" t="str">
        <f>IF(TR_6RecyclingArranger[[#This Row],[ID_EC]]="","",INDEX(TR_5ExemptionClaim[End Market Name],MATCH(TR_6RecyclingArranger[[#This Row],[ID_EC]],TR_5ExemptionClaim[ID_EC],0)))</f>
        <v/>
      </c>
      <c r="E224" s="215" t="str">
        <f>IF(TR_6RecyclingArranger[[#This Row],[ID_EC]]="","",INDEX(TR_5ExemptionClaim[Collection or Transportation Service Provider Name],MATCH(TR_6RecyclingArranger[[#This Row],[ID_EC]],TR_5ExemptionClaim[ID_EC],0)))</f>
        <v/>
      </c>
      <c r="F224" s="215" t="str">
        <f>IF(TR_6RecyclingArranger[[#This Row],[ID_EC]]="","",IF(INDEX(TR_5ExemptionClaim[CRPF name],MATCH(TR_6RecyclingArranger[[#This Row],[ID_EC]],TR_5ExemptionClaim[ID_EC],0))=0,"None",INDEX(TR_5ExemptionClaim[CRPF name],MATCH(TR_6RecyclingArranger[[#This Row],[ID_EC]],TR_5ExemptionClaim[ID_EC],0))))</f>
        <v/>
      </c>
      <c r="G224" s="45"/>
      <c r="H224" s="108"/>
      <c r="I224" s="47"/>
      <c r="J224" s="48"/>
      <c r="K224" s="47"/>
      <c r="L224" s="79">
        <f>IF(COUNTIFS(TR_6RecyclingArranger[ID_EC],TR_6RecyclingArranger[[#This Row],[ID_EC]],TR_6RecyclingArranger[Name of Third-Party Recycling Arranger],TR_6RecyclingArranger[[#This Row],[Name of Third-Party Recycling Arranger]])&gt;1,1,0)</f>
        <v>0</v>
      </c>
      <c r="M224" s="79">
        <f>IF(TR_6RecyclingArranger[[#This Row],[ID_EC]]="",0,IFERROR(0*MATCH(TR_6RecyclingArranger[[#This Row],[ID_EC]],TR_5ExemptionClaim[Lookup: for arranger tab],0),1))</f>
        <v>0</v>
      </c>
      <c r="N224" s="79">
        <f>IF(TR_6RecyclingArranger[[#This Row],[ID_EC]]="",0,IF(COUNTA(TR_6RecyclingArranger[[#This Row],[Name of Third-Party Recycling Arranger]],TR_6RecyclingArranger[[#This Row],[Pounds of Producer''s Material Recycled by this Recycling Arranger]:[Recycling Arranger Contact Email]])=7,0,1))</f>
        <v>0</v>
      </c>
      <c r="O224" s="79">
        <f>IF(TR_6RecyclingArranger[[#This Row],[ID_EC]]&lt;&gt;"",0,IF(COUNTA(TR_6RecyclingArranger[[#This Row],[Name of Third-Party Recycling Arranger]],TR_6RecyclingArranger[[#This Row],[Pounds of Producer''s Material Recycled by this Recycling Arranger]:[Recycling Arranger Contact Email]])&gt;0,1,0))</f>
        <v>0</v>
      </c>
      <c r="P224" s="79">
        <f>IF(TR_6RecyclingArranger[[#This Row],[Lookup: pounds (this table)]]&gt;TR_6RecyclingArranger[[#This Row],[Lookup: pounds (5B tab)]],1,0)</f>
        <v>0</v>
      </c>
      <c r="Q224" s="78">
        <f>SUMIFS(TR_6RecyclingArranger[Pounds of Producer''s Material Recycled by this Recycling Arranger],TR_6RecyclingArranger[ID_EC],TR_6RecyclingArranger[[#This Row],[ID_EC]])</f>
        <v>0</v>
      </c>
      <c r="R224" s="78">
        <f>IFERROR(INDEX(TR_5ExemptionClaim[How many of the pounds recycled through this pathway were supplied by this producer?],MATCH(TR_6RecyclingArranger[[#This Row],[ID_EC]],TR_5ExemptionClaim[ID_EC],0)),0)</f>
        <v>0</v>
      </c>
      <c r="S224" s="81" t="str">
        <f t="shared" si="3"/>
        <v/>
      </c>
      <c r="T224" s="40"/>
      <c r="U224" s="58"/>
    </row>
    <row r="225" spans="1:21" ht="30.75" customHeight="1" x14ac:dyDescent="0.2">
      <c r="A225" s="82" t="s">
        <v>609</v>
      </c>
      <c r="B225" s="46"/>
      <c r="C225" s="113"/>
      <c r="D225" s="215" t="str">
        <f>IF(TR_6RecyclingArranger[[#This Row],[ID_EC]]="","",INDEX(TR_5ExemptionClaim[End Market Name],MATCH(TR_6RecyclingArranger[[#This Row],[ID_EC]],TR_5ExemptionClaim[ID_EC],0)))</f>
        <v/>
      </c>
      <c r="E225" s="215" t="str">
        <f>IF(TR_6RecyclingArranger[[#This Row],[ID_EC]]="","",INDEX(TR_5ExemptionClaim[Collection or Transportation Service Provider Name],MATCH(TR_6RecyclingArranger[[#This Row],[ID_EC]],TR_5ExemptionClaim[ID_EC],0)))</f>
        <v/>
      </c>
      <c r="F225" s="215" t="str">
        <f>IF(TR_6RecyclingArranger[[#This Row],[ID_EC]]="","",IF(INDEX(TR_5ExemptionClaim[CRPF name],MATCH(TR_6RecyclingArranger[[#This Row],[ID_EC]],TR_5ExemptionClaim[ID_EC],0))=0,"None",INDEX(TR_5ExemptionClaim[CRPF name],MATCH(TR_6RecyclingArranger[[#This Row],[ID_EC]],TR_5ExemptionClaim[ID_EC],0))))</f>
        <v/>
      </c>
      <c r="G225" s="45"/>
      <c r="H225" s="108"/>
      <c r="I225" s="47"/>
      <c r="J225" s="48"/>
      <c r="K225" s="47"/>
      <c r="L225" s="79">
        <f>IF(COUNTIFS(TR_6RecyclingArranger[ID_EC],TR_6RecyclingArranger[[#This Row],[ID_EC]],TR_6RecyclingArranger[Name of Third-Party Recycling Arranger],TR_6RecyclingArranger[[#This Row],[Name of Third-Party Recycling Arranger]])&gt;1,1,0)</f>
        <v>0</v>
      </c>
      <c r="M225" s="79">
        <f>IF(TR_6RecyclingArranger[[#This Row],[ID_EC]]="",0,IFERROR(0*MATCH(TR_6RecyclingArranger[[#This Row],[ID_EC]],TR_5ExemptionClaim[Lookup: for arranger tab],0),1))</f>
        <v>0</v>
      </c>
      <c r="N225" s="79">
        <f>IF(TR_6RecyclingArranger[[#This Row],[ID_EC]]="",0,IF(COUNTA(TR_6RecyclingArranger[[#This Row],[Name of Third-Party Recycling Arranger]],TR_6RecyclingArranger[[#This Row],[Pounds of Producer''s Material Recycled by this Recycling Arranger]:[Recycling Arranger Contact Email]])=7,0,1))</f>
        <v>0</v>
      </c>
      <c r="O225" s="79">
        <f>IF(TR_6RecyclingArranger[[#This Row],[ID_EC]]&lt;&gt;"",0,IF(COUNTA(TR_6RecyclingArranger[[#This Row],[Name of Third-Party Recycling Arranger]],TR_6RecyclingArranger[[#This Row],[Pounds of Producer''s Material Recycled by this Recycling Arranger]:[Recycling Arranger Contact Email]])&gt;0,1,0))</f>
        <v>0</v>
      </c>
      <c r="P225" s="79">
        <f>IF(TR_6RecyclingArranger[[#This Row],[Lookup: pounds (this table)]]&gt;TR_6RecyclingArranger[[#This Row],[Lookup: pounds (5B tab)]],1,0)</f>
        <v>0</v>
      </c>
      <c r="Q225" s="78">
        <f>SUMIFS(TR_6RecyclingArranger[Pounds of Producer''s Material Recycled by this Recycling Arranger],TR_6RecyclingArranger[ID_EC],TR_6RecyclingArranger[[#This Row],[ID_EC]])</f>
        <v>0</v>
      </c>
      <c r="R225" s="78">
        <f>IFERROR(INDEX(TR_5ExemptionClaim[How many of the pounds recycled through this pathway were supplied by this producer?],MATCH(TR_6RecyclingArranger[[#This Row],[ID_EC]],TR_5ExemptionClaim[ID_EC],0)),0)</f>
        <v>0</v>
      </c>
      <c r="S225" s="81" t="str">
        <f t="shared" si="3"/>
        <v/>
      </c>
      <c r="T225" s="40"/>
      <c r="U225" s="58"/>
    </row>
    <row r="226" spans="1:21" ht="30.75" customHeight="1" x14ac:dyDescent="0.2">
      <c r="A226" s="82" t="s">
        <v>610</v>
      </c>
      <c r="B226" s="46"/>
      <c r="C226" s="113"/>
      <c r="D226" s="215" t="str">
        <f>IF(TR_6RecyclingArranger[[#This Row],[ID_EC]]="","",INDEX(TR_5ExemptionClaim[End Market Name],MATCH(TR_6RecyclingArranger[[#This Row],[ID_EC]],TR_5ExemptionClaim[ID_EC],0)))</f>
        <v/>
      </c>
      <c r="E226" s="215" t="str">
        <f>IF(TR_6RecyclingArranger[[#This Row],[ID_EC]]="","",INDEX(TR_5ExemptionClaim[Collection or Transportation Service Provider Name],MATCH(TR_6RecyclingArranger[[#This Row],[ID_EC]],TR_5ExemptionClaim[ID_EC],0)))</f>
        <v/>
      </c>
      <c r="F226" s="215" t="str">
        <f>IF(TR_6RecyclingArranger[[#This Row],[ID_EC]]="","",IF(INDEX(TR_5ExemptionClaim[CRPF name],MATCH(TR_6RecyclingArranger[[#This Row],[ID_EC]],TR_5ExemptionClaim[ID_EC],0))=0,"None",INDEX(TR_5ExemptionClaim[CRPF name],MATCH(TR_6RecyclingArranger[[#This Row],[ID_EC]],TR_5ExemptionClaim[ID_EC],0))))</f>
        <v/>
      </c>
      <c r="G226" s="45"/>
      <c r="H226" s="108"/>
      <c r="I226" s="47"/>
      <c r="J226" s="48"/>
      <c r="K226" s="47"/>
      <c r="L226" s="79">
        <f>IF(COUNTIFS(TR_6RecyclingArranger[ID_EC],TR_6RecyclingArranger[[#This Row],[ID_EC]],TR_6RecyclingArranger[Name of Third-Party Recycling Arranger],TR_6RecyclingArranger[[#This Row],[Name of Third-Party Recycling Arranger]])&gt;1,1,0)</f>
        <v>0</v>
      </c>
      <c r="M226" s="79">
        <f>IF(TR_6RecyclingArranger[[#This Row],[ID_EC]]="",0,IFERROR(0*MATCH(TR_6RecyclingArranger[[#This Row],[ID_EC]],TR_5ExemptionClaim[Lookup: for arranger tab],0),1))</f>
        <v>0</v>
      </c>
      <c r="N226" s="79">
        <f>IF(TR_6RecyclingArranger[[#This Row],[ID_EC]]="",0,IF(COUNTA(TR_6RecyclingArranger[[#This Row],[Name of Third-Party Recycling Arranger]],TR_6RecyclingArranger[[#This Row],[Pounds of Producer''s Material Recycled by this Recycling Arranger]:[Recycling Arranger Contact Email]])=7,0,1))</f>
        <v>0</v>
      </c>
      <c r="O226" s="79">
        <f>IF(TR_6RecyclingArranger[[#This Row],[ID_EC]]&lt;&gt;"",0,IF(COUNTA(TR_6RecyclingArranger[[#This Row],[Name of Third-Party Recycling Arranger]],TR_6RecyclingArranger[[#This Row],[Pounds of Producer''s Material Recycled by this Recycling Arranger]:[Recycling Arranger Contact Email]])&gt;0,1,0))</f>
        <v>0</v>
      </c>
      <c r="P226" s="79">
        <f>IF(TR_6RecyclingArranger[[#This Row],[Lookup: pounds (this table)]]&gt;TR_6RecyclingArranger[[#This Row],[Lookup: pounds (5B tab)]],1,0)</f>
        <v>0</v>
      </c>
      <c r="Q226" s="78">
        <f>SUMIFS(TR_6RecyclingArranger[Pounds of Producer''s Material Recycled by this Recycling Arranger],TR_6RecyclingArranger[ID_EC],TR_6RecyclingArranger[[#This Row],[ID_EC]])</f>
        <v>0</v>
      </c>
      <c r="R226" s="78">
        <f>IFERROR(INDEX(TR_5ExemptionClaim[How many of the pounds recycled through this pathway were supplied by this producer?],MATCH(TR_6RecyclingArranger[[#This Row],[ID_EC]],TR_5ExemptionClaim[ID_EC],0)),0)</f>
        <v>0</v>
      </c>
      <c r="S226" s="81" t="str">
        <f t="shared" si="3"/>
        <v/>
      </c>
      <c r="T226" s="40"/>
      <c r="U226" s="58"/>
    </row>
    <row r="227" spans="1:21" ht="30.75" customHeight="1" x14ac:dyDescent="0.2">
      <c r="A227" s="82" t="s">
        <v>611</v>
      </c>
      <c r="B227" s="46"/>
      <c r="C227" s="113"/>
      <c r="D227" s="215" t="str">
        <f>IF(TR_6RecyclingArranger[[#This Row],[ID_EC]]="","",INDEX(TR_5ExemptionClaim[End Market Name],MATCH(TR_6RecyclingArranger[[#This Row],[ID_EC]],TR_5ExemptionClaim[ID_EC],0)))</f>
        <v/>
      </c>
      <c r="E227" s="215" t="str">
        <f>IF(TR_6RecyclingArranger[[#This Row],[ID_EC]]="","",INDEX(TR_5ExemptionClaim[Collection or Transportation Service Provider Name],MATCH(TR_6RecyclingArranger[[#This Row],[ID_EC]],TR_5ExemptionClaim[ID_EC],0)))</f>
        <v/>
      </c>
      <c r="F227" s="215" t="str">
        <f>IF(TR_6RecyclingArranger[[#This Row],[ID_EC]]="","",IF(INDEX(TR_5ExemptionClaim[CRPF name],MATCH(TR_6RecyclingArranger[[#This Row],[ID_EC]],TR_5ExemptionClaim[ID_EC],0))=0,"None",INDEX(TR_5ExemptionClaim[CRPF name],MATCH(TR_6RecyclingArranger[[#This Row],[ID_EC]],TR_5ExemptionClaim[ID_EC],0))))</f>
        <v/>
      </c>
      <c r="G227" s="45"/>
      <c r="H227" s="108"/>
      <c r="I227" s="47"/>
      <c r="J227" s="48"/>
      <c r="K227" s="47"/>
      <c r="L227" s="79">
        <f>IF(COUNTIFS(TR_6RecyclingArranger[ID_EC],TR_6RecyclingArranger[[#This Row],[ID_EC]],TR_6RecyclingArranger[Name of Third-Party Recycling Arranger],TR_6RecyclingArranger[[#This Row],[Name of Third-Party Recycling Arranger]])&gt;1,1,0)</f>
        <v>0</v>
      </c>
      <c r="M227" s="79">
        <f>IF(TR_6RecyclingArranger[[#This Row],[ID_EC]]="",0,IFERROR(0*MATCH(TR_6RecyclingArranger[[#This Row],[ID_EC]],TR_5ExemptionClaim[Lookup: for arranger tab],0),1))</f>
        <v>0</v>
      </c>
      <c r="N227" s="79">
        <f>IF(TR_6RecyclingArranger[[#This Row],[ID_EC]]="",0,IF(COUNTA(TR_6RecyclingArranger[[#This Row],[Name of Third-Party Recycling Arranger]],TR_6RecyclingArranger[[#This Row],[Pounds of Producer''s Material Recycled by this Recycling Arranger]:[Recycling Arranger Contact Email]])=7,0,1))</f>
        <v>0</v>
      </c>
      <c r="O227" s="79">
        <f>IF(TR_6RecyclingArranger[[#This Row],[ID_EC]]&lt;&gt;"",0,IF(COUNTA(TR_6RecyclingArranger[[#This Row],[Name of Third-Party Recycling Arranger]],TR_6RecyclingArranger[[#This Row],[Pounds of Producer''s Material Recycled by this Recycling Arranger]:[Recycling Arranger Contact Email]])&gt;0,1,0))</f>
        <v>0</v>
      </c>
      <c r="P227" s="79">
        <f>IF(TR_6RecyclingArranger[[#This Row],[Lookup: pounds (this table)]]&gt;TR_6RecyclingArranger[[#This Row],[Lookup: pounds (5B tab)]],1,0)</f>
        <v>0</v>
      </c>
      <c r="Q227" s="78">
        <f>SUMIFS(TR_6RecyclingArranger[Pounds of Producer''s Material Recycled by this Recycling Arranger],TR_6RecyclingArranger[ID_EC],TR_6RecyclingArranger[[#This Row],[ID_EC]])</f>
        <v>0</v>
      </c>
      <c r="R227" s="78">
        <f>IFERROR(INDEX(TR_5ExemptionClaim[How many of the pounds recycled through this pathway were supplied by this producer?],MATCH(TR_6RecyclingArranger[[#This Row],[ID_EC]],TR_5ExemptionClaim[ID_EC],0)),0)</f>
        <v>0</v>
      </c>
      <c r="S227" s="81" t="str">
        <f t="shared" si="3"/>
        <v/>
      </c>
      <c r="T227" s="40"/>
      <c r="U227" s="58"/>
    </row>
    <row r="228" spans="1:21" ht="30.75" customHeight="1" x14ac:dyDescent="0.2">
      <c r="A228" s="82" t="s">
        <v>612</v>
      </c>
      <c r="B228" s="46"/>
      <c r="C228" s="113"/>
      <c r="D228" s="215" t="str">
        <f>IF(TR_6RecyclingArranger[[#This Row],[ID_EC]]="","",INDEX(TR_5ExemptionClaim[End Market Name],MATCH(TR_6RecyclingArranger[[#This Row],[ID_EC]],TR_5ExemptionClaim[ID_EC],0)))</f>
        <v/>
      </c>
      <c r="E228" s="215" t="str">
        <f>IF(TR_6RecyclingArranger[[#This Row],[ID_EC]]="","",INDEX(TR_5ExemptionClaim[Collection or Transportation Service Provider Name],MATCH(TR_6RecyclingArranger[[#This Row],[ID_EC]],TR_5ExemptionClaim[ID_EC],0)))</f>
        <v/>
      </c>
      <c r="F228" s="215" t="str">
        <f>IF(TR_6RecyclingArranger[[#This Row],[ID_EC]]="","",IF(INDEX(TR_5ExemptionClaim[CRPF name],MATCH(TR_6RecyclingArranger[[#This Row],[ID_EC]],TR_5ExemptionClaim[ID_EC],0))=0,"None",INDEX(TR_5ExemptionClaim[CRPF name],MATCH(TR_6RecyclingArranger[[#This Row],[ID_EC]],TR_5ExemptionClaim[ID_EC],0))))</f>
        <v/>
      </c>
      <c r="G228" s="45"/>
      <c r="H228" s="108"/>
      <c r="I228" s="47"/>
      <c r="J228" s="48"/>
      <c r="K228" s="47"/>
      <c r="L228" s="79">
        <f>IF(COUNTIFS(TR_6RecyclingArranger[ID_EC],TR_6RecyclingArranger[[#This Row],[ID_EC]],TR_6RecyclingArranger[Name of Third-Party Recycling Arranger],TR_6RecyclingArranger[[#This Row],[Name of Third-Party Recycling Arranger]])&gt;1,1,0)</f>
        <v>0</v>
      </c>
      <c r="M228" s="79">
        <f>IF(TR_6RecyclingArranger[[#This Row],[ID_EC]]="",0,IFERROR(0*MATCH(TR_6RecyclingArranger[[#This Row],[ID_EC]],TR_5ExemptionClaim[Lookup: for arranger tab],0),1))</f>
        <v>0</v>
      </c>
      <c r="N228" s="79">
        <f>IF(TR_6RecyclingArranger[[#This Row],[ID_EC]]="",0,IF(COUNTA(TR_6RecyclingArranger[[#This Row],[Name of Third-Party Recycling Arranger]],TR_6RecyclingArranger[[#This Row],[Pounds of Producer''s Material Recycled by this Recycling Arranger]:[Recycling Arranger Contact Email]])=7,0,1))</f>
        <v>0</v>
      </c>
      <c r="O228" s="79">
        <f>IF(TR_6RecyclingArranger[[#This Row],[ID_EC]]&lt;&gt;"",0,IF(COUNTA(TR_6RecyclingArranger[[#This Row],[Name of Third-Party Recycling Arranger]],TR_6RecyclingArranger[[#This Row],[Pounds of Producer''s Material Recycled by this Recycling Arranger]:[Recycling Arranger Contact Email]])&gt;0,1,0))</f>
        <v>0</v>
      </c>
      <c r="P228" s="79">
        <f>IF(TR_6RecyclingArranger[[#This Row],[Lookup: pounds (this table)]]&gt;TR_6RecyclingArranger[[#This Row],[Lookup: pounds (5B tab)]],1,0)</f>
        <v>0</v>
      </c>
      <c r="Q228" s="78">
        <f>SUMIFS(TR_6RecyclingArranger[Pounds of Producer''s Material Recycled by this Recycling Arranger],TR_6RecyclingArranger[ID_EC],TR_6RecyclingArranger[[#This Row],[ID_EC]])</f>
        <v>0</v>
      </c>
      <c r="R228" s="78">
        <f>IFERROR(INDEX(TR_5ExemptionClaim[How many of the pounds recycled through this pathway were supplied by this producer?],MATCH(TR_6RecyclingArranger[[#This Row],[ID_EC]],TR_5ExemptionClaim[ID_EC],0)),0)</f>
        <v>0</v>
      </c>
      <c r="S228" s="81" t="str">
        <f t="shared" si="3"/>
        <v/>
      </c>
      <c r="T228" s="40"/>
      <c r="U228" s="58"/>
    </row>
    <row r="229" spans="1:21" ht="30.75" customHeight="1" x14ac:dyDescent="0.2">
      <c r="A229" s="82" t="s">
        <v>613</v>
      </c>
      <c r="B229" s="46"/>
      <c r="C229" s="113"/>
      <c r="D229" s="215" t="str">
        <f>IF(TR_6RecyclingArranger[[#This Row],[ID_EC]]="","",INDEX(TR_5ExemptionClaim[End Market Name],MATCH(TR_6RecyclingArranger[[#This Row],[ID_EC]],TR_5ExemptionClaim[ID_EC],0)))</f>
        <v/>
      </c>
      <c r="E229" s="215" t="str">
        <f>IF(TR_6RecyclingArranger[[#This Row],[ID_EC]]="","",INDEX(TR_5ExemptionClaim[Collection or Transportation Service Provider Name],MATCH(TR_6RecyclingArranger[[#This Row],[ID_EC]],TR_5ExemptionClaim[ID_EC],0)))</f>
        <v/>
      </c>
      <c r="F229" s="215" t="str">
        <f>IF(TR_6RecyclingArranger[[#This Row],[ID_EC]]="","",IF(INDEX(TR_5ExemptionClaim[CRPF name],MATCH(TR_6RecyclingArranger[[#This Row],[ID_EC]],TR_5ExemptionClaim[ID_EC],0))=0,"None",INDEX(TR_5ExemptionClaim[CRPF name],MATCH(TR_6RecyclingArranger[[#This Row],[ID_EC]],TR_5ExemptionClaim[ID_EC],0))))</f>
        <v/>
      </c>
      <c r="G229" s="45"/>
      <c r="H229" s="108"/>
      <c r="I229" s="47"/>
      <c r="J229" s="48"/>
      <c r="K229" s="47"/>
      <c r="L229" s="79">
        <f>IF(COUNTIFS(TR_6RecyclingArranger[ID_EC],TR_6RecyclingArranger[[#This Row],[ID_EC]],TR_6RecyclingArranger[Name of Third-Party Recycling Arranger],TR_6RecyclingArranger[[#This Row],[Name of Third-Party Recycling Arranger]])&gt;1,1,0)</f>
        <v>0</v>
      </c>
      <c r="M229" s="79">
        <f>IF(TR_6RecyclingArranger[[#This Row],[ID_EC]]="",0,IFERROR(0*MATCH(TR_6RecyclingArranger[[#This Row],[ID_EC]],TR_5ExemptionClaim[Lookup: for arranger tab],0),1))</f>
        <v>0</v>
      </c>
      <c r="N229" s="79">
        <f>IF(TR_6RecyclingArranger[[#This Row],[ID_EC]]="",0,IF(COUNTA(TR_6RecyclingArranger[[#This Row],[Name of Third-Party Recycling Arranger]],TR_6RecyclingArranger[[#This Row],[Pounds of Producer''s Material Recycled by this Recycling Arranger]:[Recycling Arranger Contact Email]])=7,0,1))</f>
        <v>0</v>
      </c>
      <c r="O229" s="79">
        <f>IF(TR_6RecyclingArranger[[#This Row],[ID_EC]]&lt;&gt;"",0,IF(COUNTA(TR_6RecyclingArranger[[#This Row],[Name of Third-Party Recycling Arranger]],TR_6RecyclingArranger[[#This Row],[Pounds of Producer''s Material Recycled by this Recycling Arranger]:[Recycling Arranger Contact Email]])&gt;0,1,0))</f>
        <v>0</v>
      </c>
      <c r="P229" s="79">
        <f>IF(TR_6RecyclingArranger[[#This Row],[Lookup: pounds (this table)]]&gt;TR_6RecyclingArranger[[#This Row],[Lookup: pounds (5B tab)]],1,0)</f>
        <v>0</v>
      </c>
      <c r="Q229" s="78">
        <f>SUMIFS(TR_6RecyclingArranger[Pounds of Producer''s Material Recycled by this Recycling Arranger],TR_6RecyclingArranger[ID_EC],TR_6RecyclingArranger[[#This Row],[ID_EC]])</f>
        <v>0</v>
      </c>
      <c r="R229" s="78">
        <f>IFERROR(INDEX(TR_5ExemptionClaim[How many of the pounds recycled through this pathway were supplied by this producer?],MATCH(TR_6RecyclingArranger[[#This Row],[ID_EC]],TR_5ExemptionClaim[ID_EC],0)),0)</f>
        <v>0</v>
      </c>
      <c r="S229" s="81" t="str">
        <f t="shared" si="3"/>
        <v/>
      </c>
      <c r="T229" s="40"/>
      <c r="U229" s="58"/>
    </row>
    <row r="230" spans="1:21" ht="30.75" customHeight="1" x14ac:dyDescent="0.2">
      <c r="A230" s="82" t="s">
        <v>614</v>
      </c>
      <c r="B230" s="46"/>
      <c r="C230" s="113"/>
      <c r="D230" s="215" t="str">
        <f>IF(TR_6RecyclingArranger[[#This Row],[ID_EC]]="","",INDEX(TR_5ExemptionClaim[End Market Name],MATCH(TR_6RecyclingArranger[[#This Row],[ID_EC]],TR_5ExemptionClaim[ID_EC],0)))</f>
        <v/>
      </c>
      <c r="E230" s="215" t="str">
        <f>IF(TR_6RecyclingArranger[[#This Row],[ID_EC]]="","",INDEX(TR_5ExemptionClaim[Collection or Transportation Service Provider Name],MATCH(TR_6RecyclingArranger[[#This Row],[ID_EC]],TR_5ExemptionClaim[ID_EC],0)))</f>
        <v/>
      </c>
      <c r="F230" s="215" t="str">
        <f>IF(TR_6RecyclingArranger[[#This Row],[ID_EC]]="","",IF(INDEX(TR_5ExemptionClaim[CRPF name],MATCH(TR_6RecyclingArranger[[#This Row],[ID_EC]],TR_5ExemptionClaim[ID_EC],0))=0,"None",INDEX(TR_5ExemptionClaim[CRPF name],MATCH(TR_6RecyclingArranger[[#This Row],[ID_EC]],TR_5ExemptionClaim[ID_EC],0))))</f>
        <v/>
      </c>
      <c r="G230" s="45"/>
      <c r="H230" s="108"/>
      <c r="I230" s="47"/>
      <c r="J230" s="48"/>
      <c r="K230" s="47"/>
      <c r="L230" s="79">
        <f>IF(COUNTIFS(TR_6RecyclingArranger[ID_EC],TR_6RecyclingArranger[[#This Row],[ID_EC]],TR_6RecyclingArranger[Name of Third-Party Recycling Arranger],TR_6RecyclingArranger[[#This Row],[Name of Third-Party Recycling Arranger]])&gt;1,1,0)</f>
        <v>0</v>
      </c>
      <c r="M230" s="79">
        <f>IF(TR_6RecyclingArranger[[#This Row],[ID_EC]]="",0,IFERROR(0*MATCH(TR_6RecyclingArranger[[#This Row],[ID_EC]],TR_5ExemptionClaim[Lookup: for arranger tab],0),1))</f>
        <v>0</v>
      </c>
      <c r="N230" s="79">
        <f>IF(TR_6RecyclingArranger[[#This Row],[ID_EC]]="",0,IF(COUNTA(TR_6RecyclingArranger[[#This Row],[Name of Third-Party Recycling Arranger]],TR_6RecyclingArranger[[#This Row],[Pounds of Producer''s Material Recycled by this Recycling Arranger]:[Recycling Arranger Contact Email]])=7,0,1))</f>
        <v>0</v>
      </c>
      <c r="O230" s="79">
        <f>IF(TR_6RecyclingArranger[[#This Row],[ID_EC]]&lt;&gt;"",0,IF(COUNTA(TR_6RecyclingArranger[[#This Row],[Name of Third-Party Recycling Arranger]],TR_6RecyclingArranger[[#This Row],[Pounds of Producer''s Material Recycled by this Recycling Arranger]:[Recycling Arranger Contact Email]])&gt;0,1,0))</f>
        <v>0</v>
      </c>
      <c r="P230" s="79">
        <f>IF(TR_6RecyclingArranger[[#This Row],[Lookup: pounds (this table)]]&gt;TR_6RecyclingArranger[[#This Row],[Lookup: pounds (5B tab)]],1,0)</f>
        <v>0</v>
      </c>
      <c r="Q230" s="78">
        <f>SUMIFS(TR_6RecyclingArranger[Pounds of Producer''s Material Recycled by this Recycling Arranger],TR_6RecyclingArranger[ID_EC],TR_6RecyclingArranger[[#This Row],[ID_EC]])</f>
        <v>0</v>
      </c>
      <c r="R230" s="78">
        <f>IFERROR(INDEX(TR_5ExemptionClaim[How many of the pounds recycled through this pathway were supplied by this producer?],MATCH(TR_6RecyclingArranger[[#This Row],[ID_EC]],TR_5ExemptionClaim[ID_EC],0)),0)</f>
        <v>0</v>
      </c>
      <c r="S230" s="81" t="str">
        <f t="shared" si="3"/>
        <v/>
      </c>
      <c r="T230" s="40"/>
      <c r="U230" s="58"/>
    </row>
    <row r="231" spans="1:21" ht="30.75" customHeight="1" x14ac:dyDescent="0.2">
      <c r="A231" s="82" t="s">
        <v>615</v>
      </c>
      <c r="B231" s="46"/>
      <c r="C231" s="113"/>
      <c r="D231" s="215" t="str">
        <f>IF(TR_6RecyclingArranger[[#This Row],[ID_EC]]="","",INDEX(TR_5ExemptionClaim[End Market Name],MATCH(TR_6RecyclingArranger[[#This Row],[ID_EC]],TR_5ExemptionClaim[ID_EC],0)))</f>
        <v/>
      </c>
      <c r="E231" s="215" t="str">
        <f>IF(TR_6RecyclingArranger[[#This Row],[ID_EC]]="","",INDEX(TR_5ExemptionClaim[Collection or Transportation Service Provider Name],MATCH(TR_6RecyclingArranger[[#This Row],[ID_EC]],TR_5ExemptionClaim[ID_EC],0)))</f>
        <v/>
      </c>
      <c r="F231" s="215" t="str">
        <f>IF(TR_6RecyclingArranger[[#This Row],[ID_EC]]="","",IF(INDEX(TR_5ExemptionClaim[CRPF name],MATCH(TR_6RecyclingArranger[[#This Row],[ID_EC]],TR_5ExemptionClaim[ID_EC],0))=0,"None",INDEX(TR_5ExemptionClaim[CRPF name],MATCH(TR_6RecyclingArranger[[#This Row],[ID_EC]],TR_5ExemptionClaim[ID_EC],0))))</f>
        <v/>
      </c>
      <c r="G231" s="45"/>
      <c r="H231" s="108"/>
      <c r="I231" s="47"/>
      <c r="J231" s="48"/>
      <c r="K231" s="47"/>
      <c r="L231" s="79">
        <f>IF(COUNTIFS(TR_6RecyclingArranger[ID_EC],TR_6RecyclingArranger[[#This Row],[ID_EC]],TR_6RecyclingArranger[Name of Third-Party Recycling Arranger],TR_6RecyclingArranger[[#This Row],[Name of Third-Party Recycling Arranger]])&gt;1,1,0)</f>
        <v>0</v>
      </c>
      <c r="M231" s="79">
        <f>IF(TR_6RecyclingArranger[[#This Row],[ID_EC]]="",0,IFERROR(0*MATCH(TR_6RecyclingArranger[[#This Row],[ID_EC]],TR_5ExemptionClaim[Lookup: for arranger tab],0),1))</f>
        <v>0</v>
      </c>
      <c r="N231" s="79">
        <f>IF(TR_6RecyclingArranger[[#This Row],[ID_EC]]="",0,IF(COUNTA(TR_6RecyclingArranger[[#This Row],[Name of Third-Party Recycling Arranger]],TR_6RecyclingArranger[[#This Row],[Pounds of Producer''s Material Recycled by this Recycling Arranger]:[Recycling Arranger Contact Email]])=7,0,1))</f>
        <v>0</v>
      </c>
      <c r="O231" s="79">
        <f>IF(TR_6RecyclingArranger[[#This Row],[ID_EC]]&lt;&gt;"",0,IF(COUNTA(TR_6RecyclingArranger[[#This Row],[Name of Third-Party Recycling Arranger]],TR_6RecyclingArranger[[#This Row],[Pounds of Producer''s Material Recycled by this Recycling Arranger]:[Recycling Arranger Contact Email]])&gt;0,1,0))</f>
        <v>0</v>
      </c>
      <c r="P231" s="79">
        <f>IF(TR_6RecyclingArranger[[#This Row],[Lookup: pounds (this table)]]&gt;TR_6RecyclingArranger[[#This Row],[Lookup: pounds (5B tab)]],1,0)</f>
        <v>0</v>
      </c>
      <c r="Q231" s="78">
        <f>SUMIFS(TR_6RecyclingArranger[Pounds of Producer''s Material Recycled by this Recycling Arranger],TR_6RecyclingArranger[ID_EC],TR_6RecyclingArranger[[#This Row],[ID_EC]])</f>
        <v>0</v>
      </c>
      <c r="R231" s="78">
        <f>IFERROR(INDEX(TR_5ExemptionClaim[How many of the pounds recycled through this pathway were supplied by this producer?],MATCH(TR_6RecyclingArranger[[#This Row],[ID_EC]],TR_5ExemptionClaim[ID_EC],0)),0)</f>
        <v>0</v>
      </c>
      <c r="S231" s="81" t="str">
        <f t="shared" si="3"/>
        <v/>
      </c>
      <c r="T231" s="40"/>
      <c r="U231" s="58"/>
    </row>
    <row r="232" spans="1:21" ht="30.75" customHeight="1" x14ac:dyDescent="0.2">
      <c r="A232" s="82" t="s">
        <v>616</v>
      </c>
      <c r="B232" s="46"/>
      <c r="C232" s="113"/>
      <c r="D232" s="215" t="str">
        <f>IF(TR_6RecyclingArranger[[#This Row],[ID_EC]]="","",INDEX(TR_5ExemptionClaim[End Market Name],MATCH(TR_6RecyclingArranger[[#This Row],[ID_EC]],TR_5ExemptionClaim[ID_EC],0)))</f>
        <v/>
      </c>
      <c r="E232" s="215" t="str">
        <f>IF(TR_6RecyclingArranger[[#This Row],[ID_EC]]="","",INDEX(TR_5ExemptionClaim[Collection or Transportation Service Provider Name],MATCH(TR_6RecyclingArranger[[#This Row],[ID_EC]],TR_5ExemptionClaim[ID_EC],0)))</f>
        <v/>
      </c>
      <c r="F232" s="215" t="str">
        <f>IF(TR_6RecyclingArranger[[#This Row],[ID_EC]]="","",IF(INDEX(TR_5ExemptionClaim[CRPF name],MATCH(TR_6RecyclingArranger[[#This Row],[ID_EC]],TR_5ExemptionClaim[ID_EC],0))=0,"None",INDEX(TR_5ExemptionClaim[CRPF name],MATCH(TR_6RecyclingArranger[[#This Row],[ID_EC]],TR_5ExemptionClaim[ID_EC],0))))</f>
        <v/>
      </c>
      <c r="G232" s="45"/>
      <c r="H232" s="108"/>
      <c r="I232" s="47"/>
      <c r="J232" s="48"/>
      <c r="K232" s="47"/>
      <c r="L232" s="79">
        <f>IF(COUNTIFS(TR_6RecyclingArranger[ID_EC],TR_6RecyclingArranger[[#This Row],[ID_EC]],TR_6RecyclingArranger[Name of Third-Party Recycling Arranger],TR_6RecyclingArranger[[#This Row],[Name of Third-Party Recycling Arranger]])&gt;1,1,0)</f>
        <v>0</v>
      </c>
      <c r="M232" s="79">
        <f>IF(TR_6RecyclingArranger[[#This Row],[ID_EC]]="",0,IFERROR(0*MATCH(TR_6RecyclingArranger[[#This Row],[ID_EC]],TR_5ExemptionClaim[Lookup: for arranger tab],0),1))</f>
        <v>0</v>
      </c>
      <c r="N232" s="79">
        <f>IF(TR_6RecyclingArranger[[#This Row],[ID_EC]]="",0,IF(COUNTA(TR_6RecyclingArranger[[#This Row],[Name of Third-Party Recycling Arranger]],TR_6RecyclingArranger[[#This Row],[Pounds of Producer''s Material Recycled by this Recycling Arranger]:[Recycling Arranger Contact Email]])=7,0,1))</f>
        <v>0</v>
      </c>
      <c r="O232" s="79">
        <f>IF(TR_6RecyclingArranger[[#This Row],[ID_EC]]&lt;&gt;"",0,IF(COUNTA(TR_6RecyclingArranger[[#This Row],[Name of Third-Party Recycling Arranger]],TR_6RecyclingArranger[[#This Row],[Pounds of Producer''s Material Recycled by this Recycling Arranger]:[Recycling Arranger Contact Email]])&gt;0,1,0))</f>
        <v>0</v>
      </c>
      <c r="P232" s="79">
        <f>IF(TR_6RecyclingArranger[[#This Row],[Lookup: pounds (this table)]]&gt;TR_6RecyclingArranger[[#This Row],[Lookup: pounds (5B tab)]],1,0)</f>
        <v>0</v>
      </c>
      <c r="Q232" s="78">
        <f>SUMIFS(TR_6RecyclingArranger[Pounds of Producer''s Material Recycled by this Recycling Arranger],TR_6RecyclingArranger[ID_EC],TR_6RecyclingArranger[[#This Row],[ID_EC]])</f>
        <v>0</v>
      </c>
      <c r="R232" s="78">
        <f>IFERROR(INDEX(TR_5ExemptionClaim[How many of the pounds recycled through this pathway were supplied by this producer?],MATCH(TR_6RecyclingArranger[[#This Row],[ID_EC]],TR_5ExemptionClaim[ID_EC],0)),0)</f>
        <v>0</v>
      </c>
      <c r="S232" s="81" t="str">
        <f t="shared" si="3"/>
        <v/>
      </c>
      <c r="T232" s="40"/>
      <c r="U232" s="58"/>
    </row>
    <row r="233" spans="1:21" ht="30.75" customHeight="1" x14ac:dyDescent="0.2">
      <c r="A233" s="82" t="s">
        <v>617</v>
      </c>
      <c r="B233" s="46"/>
      <c r="C233" s="113"/>
      <c r="D233" s="215" t="str">
        <f>IF(TR_6RecyclingArranger[[#This Row],[ID_EC]]="","",INDEX(TR_5ExemptionClaim[End Market Name],MATCH(TR_6RecyclingArranger[[#This Row],[ID_EC]],TR_5ExemptionClaim[ID_EC],0)))</f>
        <v/>
      </c>
      <c r="E233" s="215" t="str">
        <f>IF(TR_6RecyclingArranger[[#This Row],[ID_EC]]="","",INDEX(TR_5ExemptionClaim[Collection or Transportation Service Provider Name],MATCH(TR_6RecyclingArranger[[#This Row],[ID_EC]],TR_5ExemptionClaim[ID_EC],0)))</f>
        <v/>
      </c>
      <c r="F233" s="215" t="str">
        <f>IF(TR_6RecyclingArranger[[#This Row],[ID_EC]]="","",IF(INDEX(TR_5ExemptionClaim[CRPF name],MATCH(TR_6RecyclingArranger[[#This Row],[ID_EC]],TR_5ExemptionClaim[ID_EC],0))=0,"None",INDEX(TR_5ExemptionClaim[CRPF name],MATCH(TR_6RecyclingArranger[[#This Row],[ID_EC]],TR_5ExemptionClaim[ID_EC],0))))</f>
        <v/>
      </c>
      <c r="G233" s="45"/>
      <c r="H233" s="108"/>
      <c r="I233" s="47"/>
      <c r="J233" s="48"/>
      <c r="K233" s="47"/>
      <c r="L233" s="79">
        <f>IF(COUNTIFS(TR_6RecyclingArranger[ID_EC],TR_6RecyclingArranger[[#This Row],[ID_EC]],TR_6RecyclingArranger[Name of Third-Party Recycling Arranger],TR_6RecyclingArranger[[#This Row],[Name of Third-Party Recycling Arranger]])&gt;1,1,0)</f>
        <v>0</v>
      </c>
      <c r="M233" s="79">
        <f>IF(TR_6RecyclingArranger[[#This Row],[ID_EC]]="",0,IFERROR(0*MATCH(TR_6RecyclingArranger[[#This Row],[ID_EC]],TR_5ExemptionClaim[Lookup: for arranger tab],0),1))</f>
        <v>0</v>
      </c>
      <c r="N233" s="79">
        <f>IF(TR_6RecyclingArranger[[#This Row],[ID_EC]]="",0,IF(COUNTA(TR_6RecyclingArranger[[#This Row],[Name of Third-Party Recycling Arranger]],TR_6RecyclingArranger[[#This Row],[Pounds of Producer''s Material Recycled by this Recycling Arranger]:[Recycling Arranger Contact Email]])=7,0,1))</f>
        <v>0</v>
      </c>
      <c r="O233" s="79">
        <f>IF(TR_6RecyclingArranger[[#This Row],[ID_EC]]&lt;&gt;"",0,IF(COUNTA(TR_6RecyclingArranger[[#This Row],[Name of Third-Party Recycling Arranger]],TR_6RecyclingArranger[[#This Row],[Pounds of Producer''s Material Recycled by this Recycling Arranger]:[Recycling Arranger Contact Email]])&gt;0,1,0))</f>
        <v>0</v>
      </c>
      <c r="P233" s="79">
        <f>IF(TR_6RecyclingArranger[[#This Row],[Lookup: pounds (this table)]]&gt;TR_6RecyclingArranger[[#This Row],[Lookup: pounds (5B tab)]],1,0)</f>
        <v>0</v>
      </c>
      <c r="Q233" s="78">
        <f>SUMIFS(TR_6RecyclingArranger[Pounds of Producer''s Material Recycled by this Recycling Arranger],TR_6RecyclingArranger[ID_EC],TR_6RecyclingArranger[[#This Row],[ID_EC]])</f>
        <v>0</v>
      </c>
      <c r="R233" s="78">
        <f>IFERROR(INDEX(TR_5ExemptionClaim[How many of the pounds recycled through this pathway were supplied by this producer?],MATCH(TR_6RecyclingArranger[[#This Row],[ID_EC]],TR_5ExemptionClaim[ID_EC],0)),0)</f>
        <v>0</v>
      </c>
      <c r="S233" s="81" t="str">
        <f t="shared" si="3"/>
        <v/>
      </c>
      <c r="T233" s="40"/>
      <c r="U233" s="58"/>
    </row>
    <row r="234" spans="1:21" ht="30.75" customHeight="1" x14ac:dyDescent="0.2">
      <c r="A234" s="82" t="s">
        <v>618</v>
      </c>
      <c r="B234" s="46"/>
      <c r="C234" s="113"/>
      <c r="D234" s="215" t="str">
        <f>IF(TR_6RecyclingArranger[[#This Row],[ID_EC]]="","",INDEX(TR_5ExemptionClaim[End Market Name],MATCH(TR_6RecyclingArranger[[#This Row],[ID_EC]],TR_5ExemptionClaim[ID_EC],0)))</f>
        <v/>
      </c>
      <c r="E234" s="215" t="str">
        <f>IF(TR_6RecyclingArranger[[#This Row],[ID_EC]]="","",INDEX(TR_5ExemptionClaim[Collection or Transportation Service Provider Name],MATCH(TR_6RecyclingArranger[[#This Row],[ID_EC]],TR_5ExemptionClaim[ID_EC],0)))</f>
        <v/>
      </c>
      <c r="F234" s="215" t="str">
        <f>IF(TR_6RecyclingArranger[[#This Row],[ID_EC]]="","",IF(INDEX(TR_5ExemptionClaim[CRPF name],MATCH(TR_6RecyclingArranger[[#This Row],[ID_EC]],TR_5ExemptionClaim[ID_EC],0))=0,"None",INDEX(TR_5ExemptionClaim[CRPF name],MATCH(TR_6RecyclingArranger[[#This Row],[ID_EC]],TR_5ExemptionClaim[ID_EC],0))))</f>
        <v/>
      </c>
      <c r="G234" s="45"/>
      <c r="H234" s="108"/>
      <c r="I234" s="47"/>
      <c r="J234" s="48"/>
      <c r="K234" s="47"/>
      <c r="L234" s="79">
        <f>IF(COUNTIFS(TR_6RecyclingArranger[ID_EC],TR_6RecyclingArranger[[#This Row],[ID_EC]],TR_6RecyclingArranger[Name of Third-Party Recycling Arranger],TR_6RecyclingArranger[[#This Row],[Name of Third-Party Recycling Arranger]])&gt;1,1,0)</f>
        <v>0</v>
      </c>
      <c r="M234" s="79">
        <f>IF(TR_6RecyclingArranger[[#This Row],[ID_EC]]="",0,IFERROR(0*MATCH(TR_6RecyclingArranger[[#This Row],[ID_EC]],TR_5ExemptionClaim[Lookup: for arranger tab],0),1))</f>
        <v>0</v>
      </c>
      <c r="N234" s="79">
        <f>IF(TR_6RecyclingArranger[[#This Row],[ID_EC]]="",0,IF(COUNTA(TR_6RecyclingArranger[[#This Row],[Name of Third-Party Recycling Arranger]],TR_6RecyclingArranger[[#This Row],[Pounds of Producer''s Material Recycled by this Recycling Arranger]:[Recycling Arranger Contact Email]])=7,0,1))</f>
        <v>0</v>
      </c>
      <c r="O234" s="79">
        <f>IF(TR_6RecyclingArranger[[#This Row],[ID_EC]]&lt;&gt;"",0,IF(COUNTA(TR_6RecyclingArranger[[#This Row],[Name of Third-Party Recycling Arranger]],TR_6RecyclingArranger[[#This Row],[Pounds of Producer''s Material Recycled by this Recycling Arranger]:[Recycling Arranger Contact Email]])&gt;0,1,0))</f>
        <v>0</v>
      </c>
      <c r="P234" s="79">
        <f>IF(TR_6RecyclingArranger[[#This Row],[Lookup: pounds (this table)]]&gt;TR_6RecyclingArranger[[#This Row],[Lookup: pounds (5B tab)]],1,0)</f>
        <v>0</v>
      </c>
      <c r="Q234" s="78">
        <f>SUMIFS(TR_6RecyclingArranger[Pounds of Producer''s Material Recycled by this Recycling Arranger],TR_6RecyclingArranger[ID_EC],TR_6RecyclingArranger[[#This Row],[ID_EC]])</f>
        <v>0</v>
      </c>
      <c r="R234" s="78">
        <f>IFERROR(INDEX(TR_5ExemptionClaim[How many of the pounds recycled through this pathway were supplied by this producer?],MATCH(TR_6RecyclingArranger[[#This Row],[ID_EC]],TR_5ExemptionClaim[ID_EC],0)),0)</f>
        <v>0</v>
      </c>
      <c r="S234" s="81" t="str">
        <f t="shared" si="3"/>
        <v/>
      </c>
      <c r="T234" s="40"/>
      <c r="U234" s="58"/>
    </row>
    <row r="235" spans="1:21" ht="30.75" customHeight="1" x14ac:dyDescent="0.2">
      <c r="A235" s="82" t="s">
        <v>619</v>
      </c>
      <c r="B235" s="46"/>
      <c r="C235" s="113"/>
      <c r="D235" s="215" t="str">
        <f>IF(TR_6RecyclingArranger[[#This Row],[ID_EC]]="","",INDEX(TR_5ExemptionClaim[End Market Name],MATCH(TR_6RecyclingArranger[[#This Row],[ID_EC]],TR_5ExemptionClaim[ID_EC],0)))</f>
        <v/>
      </c>
      <c r="E235" s="215" t="str">
        <f>IF(TR_6RecyclingArranger[[#This Row],[ID_EC]]="","",INDEX(TR_5ExemptionClaim[Collection or Transportation Service Provider Name],MATCH(TR_6RecyclingArranger[[#This Row],[ID_EC]],TR_5ExemptionClaim[ID_EC],0)))</f>
        <v/>
      </c>
      <c r="F235" s="215" t="str">
        <f>IF(TR_6RecyclingArranger[[#This Row],[ID_EC]]="","",IF(INDEX(TR_5ExemptionClaim[CRPF name],MATCH(TR_6RecyclingArranger[[#This Row],[ID_EC]],TR_5ExemptionClaim[ID_EC],0))=0,"None",INDEX(TR_5ExemptionClaim[CRPF name],MATCH(TR_6RecyclingArranger[[#This Row],[ID_EC]],TR_5ExemptionClaim[ID_EC],0))))</f>
        <v/>
      </c>
      <c r="G235" s="45"/>
      <c r="H235" s="108"/>
      <c r="I235" s="47"/>
      <c r="J235" s="48"/>
      <c r="K235" s="47"/>
      <c r="L235" s="79">
        <f>IF(COUNTIFS(TR_6RecyclingArranger[ID_EC],TR_6RecyclingArranger[[#This Row],[ID_EC]],TR_6RecyclingArranger[Name of Third-Party Recycling Arranger],TR_6RecyclingArranger[[#This Row],[Name of Third-Party Recycling Arranger]])&gt;1,1,0)</f>
        <v>0</v>
      </c>
      <c r="M235" s="79">
        <f>IF(TR_6RecyclingArranger[[#This Row],[ID_EC]]="",0,IFERROR(0*MATCH(TR_6RecyclingArranger[[#This Row],[ID_EC]],TR_5ExemptionClaim[Lookup: for arranger tab],0),1))</f>
        <v>0</v>
      </c>
      <c r="N235" s="79">
        <f>IF(TR_6RecyclingArranger[[#This Row],[ID_EC]]="",0,IF(COUNTA(TR_6RecyclingArranger[[#This Row],[Name of Third-Party Recycling Arranger]],TR_6RecyclingArranger[[#This Row],[Pounds of Producer''s Material Recycled by this Recycling Arranger]:[Recycling Arranger Contact Email]])=7,0,1))</f>
        <v>0</v>
      </c>
      <c r="O235" s="79">
        <f>IF(TR_6RecyclingArranger[[#This Row],[ID_EC]]&lt;&gt;"",0,IF(COUNTA(TR_6RecyclingArranger[[#This Row],[Name of Third-Party Recycling Arranger]],TR_6RecyclingArranger[[#This Row],[Pounds of Producer''s Material Recycled by this Recycling Arranger]:[Recycling Arranger Contact Email]])&gt;0,1,0))</f>
        <v>0</v>
      </c>
      <c r="P235" s="79">
        <f>IF(TR_6RecyclingArranger[[#This Row],[Lookup: pounds (this table)]]&gt;TR_6RecyclingArranger[[#This Row],[Lookup: pounds (5B tab)]],1,0)</f>
        <v>0</v>
      </c>
      <c r="Q235" s="78">
        <f>SUMIFS(TR_6RecyclingArranger[Pounds of Producer''s Material Recycled by this Recycling Arranger],TR_6RecyclingArranger[ID_EC],TR_6RecyclingArranger[[#This Row],[ID_EC]])</f>
        <v>0</v>
      </c>
      <c r="R235" s="78">
        <f>IFERROR(INDEX(TR_5ExemptionClaim[How many of the pounds recycled through this pathway were supplied by this producer?],MATCH(TR_6RecyclingArranger[[#This Row],[ID_EC]],TR_5ExemptionClaim[ID_EC],0)),0)</f>
        <v>0</v>
      </c>
      <c r="S235" s="81" t="str">
        <f t="shared" si="3"/>
        <v/>
      </c>
      <c r="T235" s="40"/>
      <c r="U235" s="58"/>
    </row>
    <row r="236" spans="1:21" ht="30.75" customHeight="1" x14ac:dyDescent="0.2">
      <c r="A236" s="82" t="s">
        <v>620</v>
      </c>
      <c r="B236" s="46"/>
      <c r="C236" s="113"/>
      <c r="D236" s="215" t="str">
        <f>IF(TR_6RecyclingArranger[[#This Row],[ID_EC]]="","",INDEX(TR_5ExemptionClaim[End Market Name],MATCH(TR_6RecyclingArranger[[#This Row],[ID_EC]],TR_5ExemptionClaim[ID_EC],0)))</f>
        <v/>
      </c>
      <c r="E236" s="215" t="str">
        <f>IF(TR_6RecyclingArranger[[#This Row],[ID_EC]]="","",INDEX(TR_5ExemptionClaim[Collection or Transportation Service Provider Name],MATCH(TR_6RecyclingArranger[[#This Row],[ID_EC]],TR_5ExemptionClaim[ID_EC],0)))</f>
        <v/>
      </c>
      <c r="F236" s="215" t="str">
        <f>IF(TR_6RecyclingArranger[[#This Row],[ID_EC]]="","",IF(INDEX(TR_5ExemptionClaim[CRPF name],MATCH(TR_6RecyclingArranger[[#This Row],[ID_EC]],TR_5ExemptionClaim[ID_EC],0))=0,"None",INDEX(TR_5ExemptionClaim[CRPF name],MATCH(TR_6RecyclingArranger[[#This Row],[ID_EC]],TR_5ExemptionClaim[ID_EC],0))))</f>
        <v/>
      </c>
      <c r="G236" s="45"/>
      <c r="H236" s="108"/>
      <c r="I236" s="47"/>
      <c r="J236" s="48"/>
      <c r="K236" s="47"/>
      <c r="L236" s="79">
        <f>IF(COUNTIFS(TR_6RecyclingArranger[ID_EC],TR_6RecyclingArranger[[#This Row],[ID_EC]],TR_6RecyclingArranger[Name of Third-Party Recycling Arranger],TR_6RecyclingArranger[[#This Row],[Name of Third-Party Recycling Arranger]])&gt;1,1,0)</f>
        <v>0</v>
      </c>
      <c r="M236" s="79">
        <f>IF(TR_6RecyclingArranger[[#This Row],[ID_EC]]="",0,IFERROR(0*MATCH(TR_6RecyclingArranger[[#This Row],[ID_EC]],TR_5ExemptionClaim[Lookup: for arranger tab],0),1))</f>
        <v>0</v>
      </c>
      <c r="N236" s="79">
        <f>IF(TR_6RecyclingArranger[[#This Row],[ID_EC]]="",0,IF(COUNTA(TR_6RecyclingArranger[[#This Row],[Name of Third-Party Recycling Arranger]],TR_6RecyclingArranger[[#This Row],[Pounds of Producer''s Material Recycled by this Recycling Arranger]:[Recycling Arranger Contact Email]])=7,0,1))</f>
        <v>0</v>
      </c>
      <c r="O236" s="79">
        <f>IF(TR_6RecyclingArranger[[#This Row],[ID_EC]]&lt;&gt;"",0,IF(COUNTA(TR_6RecyclingArranger[[#This Row],[Name of Third-Party Recycling Arranger]],TR_6RecyclingArranger[[#This Row],[Pounds of Producer''s Material Recycled by this Recycling Arranger]:[Recycling Arranger Contact Email]])&gt;0,1,0))</f>
        <v>0</v>
      </c>
      <c r="P236" s="79">
        <f>IF(TR_6RecyclingArranger[[#This Row],[Lookup: pounds (this table)]]&gt;TR_6RecyclingArranger[[#This Row],[Lookup: pounds (5B tab)]],1,0)</f>
        <v>0</v>
      </c>
      <c r="Q236" s="78">
        <f>SUMIFS(TR_6RecyclingArranger[Pounds of Producer''s Material Recycled by this Recycling Arranger],TR_6RecyclingArranger[ID_EC],TR_6RecyclingArranger[[#This Row],[ID_EC]])</f>
        <v>0</v>
      </c>
      <c r="R236" s="78">
        <f>IFERROR(INDEX(TR_5ExemptionClaim[How many of the pounds recycled through this pathway were supplied by this producer?],MATCH(TR_6RecyclingArranger[[#This Row],[ID_EC]],TR_5ExemptionClaim[ID_EC],0)),0)</f>
        <v>0</v>
      </c>
      <c r="S236" s="81" t="str">
        <f t="shared" si="3"/>
        <v/>
      </c>
      <c r="T236" s="40"/>
      <c r="U236" s="58"/>
    </row>
    <row r="237" spans="1:21" ht="30.75" customHeight="1" x14ac:dyDescent="0.2">
      <c r="A237" s="82" t="s">
        <v>621</v>
      </c>
      <c r="B237" s="46"/>
      <c r="C237" s="113"/>
      <c r="D237" s="215" t="str">
        <f>IF(TR_6RecyclingArranger[[#This Row],[ID_EC]]="","",INDEX(TR_5ExemptionClaim[End Market Name],MATCH(TR_6RecyclingArranger[[#This Row],[ID_EC]],TR_5ExemptionClaim[ID_EC],0)))</f>
        <v/>
      </c>
      <c r="E237" s="215" t="str">
        <f>IF(TR_6RecyclingArranger[[#This Row],[ID_EC]]="","",INDEX(TR_5ExemptionClaim[Collection or Transportation Service Provider Name],MATCH(TR_6RecyclingArranger[[#This Row],[ID_EC]],TR_5ExemptionClaim[ID_EC],0)))</f>
        <v/>
      </c>
      <c r="F237" s="215" t="str">
        <f>IF(TR_6RecyclingArranger[[#This Row],[ID_EC]]="","",IF(INDEX(TR_5ExemptionClaim[CRPF name],MATCH(TR_6RecyclingArranger[[#This Row],[ID_EC]],TR_5ExemptionClaim[ID_EC],0))=0,"None",INDEX(TR_5ExemptionClaim[CRPF name],MATCH(TR_6RecyclingArranger[[#This Row],[ID_EC]],TR_5ExemptionClaim[ID_EC],0))))</f>
        <v/>
      </c>
      <c r="G237" s="45"/>
      <c r="H237" s="108"/>
      <c r="I237" s="47"/>
      <c r="J237" s="48"/>
      <c r="K237" s="47"/>
      <c r="L237" s="79">
        <f>IF(COUNTIFS(TR_6RecyclingArranger[ID_EC],TR_6RecyclingArranger[[#This Row],[ID_EC]],TR_6RecyclingArranger[Name of Third-Party Recycling Arranger],TR_6RecyclingArranger[[#This Row],[Name of Third-Party Recycling Arranger]])&gt;1,1,0)</f>
        <v>0</v>
      </c>
      <c r="M237" s="79">
        <f>IF(TR_6RecyclingArranger[[#This Row],[ID_EC]]="",0,IFERROR(0*MATCH(TR_6RecyclingArranger[[#This Row],[ID_EC]],TR_5ExemptionClaim[Lookup: for arranger tab],0),1))</f>
        <v>0</v>
      </c>
      <c r="N237" s="79">
        <f>IF(TR_6RecyclingArranger[[#This Row],[ID_EC]]="",0,IF(COUNTA(TR_6RecyclingArranger[[#This Row],[Name of Third-Party Recycling Arranger]],TR_6RecyclingArranger[[#This Row],[Pounds of Producer''s Material Recycled by this Recycling Arranger]:[Recycling Arranger Contact Email]])=7,0,1))</f>
        <v>0</v>
      </c>
      <c r="O237" s="79">
        <f>IF(TR_6RecyclingArranger[[#This Row],[ID_EC]]&lt;&gt;"",0,IF(COUNTA(TR_6RecyclingArranger[[#This Row],[Name of Third-Party Recycling Arranger]],TR_6RecyclingArranger[[#This Row],[Pounds of Producer''s Material Recycled by this Recycling Arranger]:[Recycling Arranger Contact Email]])&gt;0,1,0))</f>
        <v>0</v>
      </c>
      <c r="P237" s="79">
        <f>IF(TR_6RecyclingArranger[[#This Row],[Lookup: pounds (this table)]]&gt;TR_6RecyclingArranger[[#This Row],[Lookup: pounds (5B tab)]],1,0)</f>
        <v>0</v>
      </c>
      <c r="Q237" s="78">
        <f>SUMIFS(TR_6RecyclingArranger[Pounds of Producer''s Material Recycled by this Recycling Arranger],TR_6RecyclingArranger[ID_EC],TR_6RecyclingArranger[[#This Row],[ID_EC]])</f>
        <v>0</v>
      </c>
      <c r="R237" s="78">
        <f>IFERROR(INDEX(TR_5ExemptionClaim[How many of the pounds recycled through this pathway were supplied by this producer?],MATCH(TR_6RecyclingArranger[[#This Row],[ID_EC]],TR_5ExemptionClaim[ID_EC],0)),0)</f>
        <v>0</v>
      </c>
      <c r="S237" s="81" t="str">
        <f t="shared" si="3"/>
        <v/>
      </c>
      <c r="T237" s="40"/>
      <c r="U237" s="58"/>
    </row>
    <row r="238" spans="1:21" ht="30.75" customHeight="1" x14ac:dyDescent="0.2">
      <c r="A238" s="82" t="s">
        <v>622</v>
      </c>
      <c r="B238" s="46"/>
      <c r="C238" s="113"/>
      <c r="D238" s="215" t="str">
        <f>IF(TR_6RecyclingArranger[[#This Row],[ID_EC]]="","",INDEX(TR_5ExemptionClaim[End Market Name],MATCH(TR_6RecyclingArranger[[#This Row],[ID_EC]],TR_5ExemptionClaim[ID_EC],0)))</f>
        <v/>
      </c>
      <c r="E238" s="215" t="str">
        <f>IF(TR_6RecyclingArranger[[#This Row],[ID_EC]]="","",INDEX(TR_5ExemptionClaim[Collection or Transportation Service Provider Name],MATCH(TR_6RecyclingArranger[[#This Row],[ID_EC]],TR_5ExemptionClaim[ID_EC],0)))</f>
        <v/>
      </c>
      <c r="F238" s="215" t="str">
        <f>IF(TR_6RecyclingArranger[[#This Row],[ID_EC]]="","",IF(INDEX(TR_5ExemptionClaim[CRPF name],MATCH(TR_6RecyclingArranger[[#This Row],[ID_EC]],TR_5ExemptionClaim[ID_EC],0))=0,"None",INDEX(TR_5ExemptionClaim[CRPF name],MATCH(TR_6RecyclingArranger[[#This Row],[ID_EC]],TR_5ExemptionClaim[ID_EC],0))))</f>
        <v/>
      </c>
      <c r="G238" s="45"/>
      <c r="H238" s="108"/>
      <c r="I238" s="47"/>
      <c r="J238" s="48"/>
      <c r="K238" s="47"/>
      <c r="L238" s="79">
        <f>IF(COUNTIFS(TR_6RecyclingArranger[ID_EC],TR_6RecyclingArranger[[#This Row],[ID_EC]],TR_6RecyclingArranger[Name of Third-Party Recycling Arranger],TR_6RecyclingArranger[[#This Row],[Name of Third-Party Recycling Arranger]])&gt;1,1,0)</f>
        <v>0</v>
      </c>
      <c r="M238" s="79">
        <f>IF(TR_6RecyclingArranger[[#This Row],[ID_EC]]="",0,IFERROR(0*MATCH(TR_6RecyclingArranger[[#This Row],[ID_EC]],TR_5ExemptionClaim[Lookup: for arranger tab],0),1))</f>
        <v>0</v>
      </c>
      <c r="N238" s="79">
        <f>IF(TR_6RecyclingArranger[[#This Row],[ID_EC]]="",0,IF(COUNTA(TR_6RecyclingArranger[[#This Row],[Name of Third-Party Recycling Arranger]],TR_6RecyclingArranger[[#This Row],[Pounds of Producer''s Material Recycled by this Recycling Arranger]:[Recycling Arranger Contact Email]])=7,0,1))</f>
        <v>0</v>
      </c>
      <c r="O238" s="79">
        <f>IF(TR_6RecyclingArranger[[#This Row],[ID_EC]]&lt;&gt;"",0,IF(COUNTA(TR_6RecyclingArranger[[#This Row],[Name of Third-Party Recycling Arranger]],TR_6RecyclingArranger[[#This Row],[Pounds of Producer''s Material Recycled by this Recycling Arranger]:[Recycling Arranger Contact Email]])&gt;0,1,0))</f>
        <v>0</v>
      </c>
      <c r="P238" s="79">
        <f>IF(TR_6RecyclingArranger[[#This Row],[Lookup: pounds (this table)]]&gt;TR_6RecyclingArranger[[#This Row],[Lookup: pounds (5B tab)]],1,0)</f>
        <v>0</v>
      </c>
      <c r="Q238" s="78">
        <f>SUMIFS(TR_6RecyclingArranger[Pounds of Producer''s Material Recycled by this Recycling Arranger],TR_6RecyclingArranger[ID_EC],TR_6RecyclingArranger[[#This Row],[ID_EC]])</f>
        <v>0</v>
      </c>
      <c r="R238" s="78">
        <f>IFERROR(INDEX(TR_5ExemptionClaim[How many of the pounds recycled through this pathway were supplied by this producer?],MATCH(TR_6RecyclingArranger[[#This Row],[ID_EC]],TR_5ExemptionClaim[ID_EC],0)),0)</f>
        <v>0</v>
      </c>
      <c r="S238" s="81" t="str">
        <f t="shared" si="3"/>
        <v/>
      </c>
      <c r="T238" s="40"/>
      <c r="U238" s="58"/>
    </row>
    <row r="239" spans="1:21" ht="30.75" customHeight="1" x14ac:dyDescent="0.2">
      <c r="A239" s="82" t="s">
        <v>623</v>
      </c>
      <c r="B239" s="46"/>
      <c r="C239" s="113"/>
      <c r="D239" s="215" t="str">
        <f>IF(TR_6RecyclingArranger[[#This Row],[ID_EC]]="","",INDEX(TR_5ExemptionClaim[End Market Name],MATCH(TR_6RecyclingArranger[[#This Row],[ID_EC]],TR_5ExemptionClaim[ID_EC],0)))</f>
        <v/>
      </c>
      <c r="E239" s="215" t="str">
        <f>IF(TR_6RecyclingArranger[[#This Row],[ID_EC]]="","",INDEX(TR_5ExemptionClaim[Collection or Transportation Service Provider Name],MATCH(TR_6RecyclingArranger[[#This Row],[ID_EC]],TR_5ExemptionClaim[ID_EC],0)))</f>
        <v/>
      </c>
      <c r="F239" s="215" t="str">
        <f>IF(TR_6RecyclingArranger[[#This Row],[ID_EC]]="","",IF(INDEX(TR_5ExemptionClaim[CRPF name],MATCH(TR_6RecyclingArranger[[#This Row],[ID_EC]],TR_5ExemptionClaim[ID_EC],0))=0,"None",INDEX(TR_5ExemptionClaim[CRPF name],MATCH(TR_6RecyclingArranger[[#This Row],[ID_EC]],TR_5ExemptionClaim[ID_EC],0))))</f>
        <v/>
      </c>
      <c r="G239" s="45"/>
      <c r="H239" s="108"/>
      <c r="I239" s="47"/>
      <c r="J239" s="48"/>
      <c r="K239" s="47"/>
      <c r="L239" s="79">
        <f>IF(COUNTIFS(TR_6RecyclingArranger[ID_EC],TR_6RecyclingArranger[[#This Row],[ID_EC]],TR_6RecyclingArranger[Name of Third-Party Recycling Arranger],TR_6RecyclingArranger[[#This Row],[Name of Third-Party Recycling Arranger]])&gt;1,1,0)</f>
        <v>0</v>
      </c>
      <c r="M239" s="79">
        <f>IF(TR_6RecyclingArranger[[#This Row],[ID_EC]]="",0,IFERROR(0*MATCH(TR_6RecyclingArranger[[#This Row],[ID_EC]],TR_5ExemptionClaim[Lookup: for arranger tab],0),1))</f>
        <v>0</v>
      </c>
      <c r="N239" s="79">
        <f>IF(TR_6RecyclingArranger[[#This Row],[ID_EC]]="",0,IF(COUNTA(TR_6RecyclingArranger[[#This Row],[Name of Third-Party Recycling Arranger]],TR_6RecyclingArranger[[#This Row],[Pounds of Producer''s Material Recycled by this Recycling Arranger]:[Recycling Arranger Contact Email]])=7,0,1))</f>
        <v>0</v>
      </c>
      <c r="O239" s="79">
        <f>IF(TR_6RecyclingArranger[[#This Row],[ID_EC]]&lt;&gt;"",0,IF(COUNTA(TR_6RecyclingArranger[[#This Row],[Name of Third-Party Recycling Arranger]],TR_6RecyclingArranger[[#This Row],[Pounds of Producer''s Material Recycled by this Recycling Arranger]:[Recycling Arranger Contact Email]])&gt;0,1,0))</f>
        <v>0</v>
      </c>
      <c r="P239" s="79">
        <f>IF(TR_6RecyclingArranger[[#This Row],[Lookup: pounds (this table)]]&gt;TR_6RecyclingArranger[[#This Row],[Lookup: pounds (5B tab)]],1,0)</f>
        <v>0</v>
      </c>
      <c r="Q239" s="78">
        <f>SUMIFS(TR_6RecyclingArranger[Pounds of Producer''s Material Recycled by this Recycling Arranger],TR_6RecyclingArranger[ID_EC],TR_6RecyclingArranger[[#This Row],[ID_EC]])</f>
        <v>0</v>
      </c>
      <c r="R239" s="78">
        <f>IFERROR(INDEX(TR_5ExemptionClaim[How many of the pounds recycled through this pathway were supplied by this producer?],MATCH(TR_6RecyclingArranger[[#This Row],[ID_EC]],TR_5ExemptionClaim[ID_EC],0)),0)</f>
        <v>0</v>
      </c>
      <c r="S239" s="81" t="str">
        <f t="shared" si="3"/>
        <v/>
      </c>
      <c r="T239" s="40"/>
      <c r="U239" s="58"/>
    </row>
    <row r="240" spans="1:21" ht="30.75" customHeight="1" x14ac:dyDescent="0.2">
      <c r="A240" s="82" t="s">
        <v>624</v>
      </c>
      <c r="B240" s="46"/>
      <c r="C240" s="113"/>
      <c r="D240" s="215" t="str">
        <f>IF(TR_6RecyclingArranger[[#This Row],[ID_EC]]="","",INDEX(TR_5ExemptionClaim[End Market Name],MATCH(TR_6RecyclingArranger[[#This Row],[ID_EC]],TR_5ExemptionClaim[ID_EC],0)))</f>
        <v/>
      </c>
      <c r="E240" s="215" t="str">
        <f>IF(TR_6RecyclingArranger[[#This Row],[ID_EC]]="","",INDEX(TR_5ExemptionClaim[Collection or Transportation Service Provider Name],MATCH(TR_6RecyclingArranger[[#This Row],[ID_EC]],TR_5ExemptionClaim[ID_EC],0)))</f>
        <v/>
      </c>
      <c r="F240" s="215" t="str">
        <f>IF(TR_6RecyclingArranger[[#This Row],[ID_EC]]="","",IF(INDEX(TR_5ExemptionClaim[CRPF name],MATCH(TR_6RecyclingArranger[[#This Row],[ID_EC]],TR_5ExemptionClaim[ID_EC],0))=0,"None",INDEX(TR_5ExemptionClaim[CRPF name],MATCH(TR_6RecyclingArranger[[#This Row],[ID_EC]],TR_5ExemptionClaim[ID_EC],0))))</f>
        <v/>
      </c>
      <c r="G240" s="45"/>
      <c r="H240" s="108"/>
      <c r="I240" s="47"/>
      <c r="J240" s="48"/>
      <c r="K240" s="47"/>
      <c r="L240" s="79">
        <f>IF(COUNTIFS(TR_6RecyclingArranger[ID_EC],TR_6RecyclingArranger[[#This Row],[ID_EC]],TR_6RecyclingArranger[Name of Third-Party Recycling Arranger],TR_6RecyclingArranger[[#This Row],[Name of Third-Party Recycling Arranger]])&gt;1,1,0)</f>
        <v>0</v>
      </c>
      <c r="M240" s="79">
        <f>IF(TR_6RecyclingArranger[[#This Row],[ID_EC]]="",0,IFERROR(0*MATCH(TR_6RecyclingArranger[[#This Row],[ID_EC]],TR_5ExemptionClaim[Lookup: for arranger tab],0),1))</f>
        <v>0</v>
      </c>
      <c r="N240" s="79">
        <f>IF(TR_6RecyclingArranger[[#This Row],[ID_EC]]="",0,IF(COUNTA(TR_6RecyclingArranger[[#This Row],[Name of Third-Party Recycling Arranger]],TR_6RecyclingArranger[[#This Row],[Pounds of Producer''s Material Recycled by this Recycling Arranger]:[Recycling Arranger Contact Email]])=7,0,1))</f>
        <v>0</v>
      </c>
      <c r="O240" s="79">
        <f>IF(TR_6RecyclingArranger[[#This Row],[ID_EC]]&lt;&gt;"",0,IF(COUNTA(TR_6RecyclingArranger[[#This Row],[Name of Third-Party Recycling Arranger]],TR_6RecyclingArranger[[#This Row],[Pounds of Producer''s Material Recycled by this Recycling Arranger]:[Recycling Arranger Contact Email]])&gt;0,1,0))</f>
        <v>0</v>
      </c>
      <c r="P240" s="79">
        <f>IF(TR_6RecyclingArranger[[#This Row],[Lookup: pounds (this table)]]&gt;TR_6RecyclingArranger[[#This Row],[Lookup: pounds (5B tab)]],1,0)</f>
        <v>0</v>
      </c>
      <c r="Q240" s="78">
        <f>SUMIFS(TR_6RecyclingArranger[Pounds of Producer''s Material Recycled by this Recycling Arranger],TR_6RecyclingArranger[ID_EC],TR_6RecyclingArranger[[#This Row],[ID_EC]])</f>
        <v>0</v>
      </c>
      <c r="R240" s="78">
        <f>IFERROR(INDEX(TR_5ExemptionClaim[How many of the pounds recycled through this pathway were supplied by this producer?],MATCH(TR_6RecyclingArranger[[#This Row],[ID_EC]],TR_5ExemptionClaim[ID_EC],0)),0)</f>
        <v>0</v>
      </c>
      <c r="S240" s="81" t="str">
        <f t="shared" si="3"/>
        <v/>
      </c>
      <c r="T240" s="40"/>
      <c r="U240" s="58"/>
    </row>
    <row r="241" spans="1:21" ht="30.75" customHeight="1" x14ac:dyDescent="0.2">
      <c r="A241" s="82" t="s">
        <v>625</v>
      </c>
      <c r="B241" s="46"/>
      <c r="C241" s="113"/>
      <c r="D241" s="215" t="str">
        <f>IF(TR_6RecyclingArranger[[#This Row],[ID_EC]]="","",INDEX(TR_5ExemptionClaim[End Market Name],MATCH(TR_6RecyclingArranger[[#This Row],[ID_EC]],TR_5ExemptionClaim[ID_EC],0)))</f>
        <v/>
      </c>
      <c r="E241" s="215" t="str">
        <f>IF(TR_6RecyclingArranger[[#This Row],[ID_EC]]="","",INDEX(TR_5ExemptionClaim[Collection or Transportation Service Provider Name],MATCH(TR_6RecyclingArranger[[#This Row],[ID_EC]],TR_5ExemptionClaim[ID_EC],0)))</f>
        <v/>
      </c>
      <c r="F241" s="215" t="str">
        <f>IF(TR_6RecyclingArranger[[#This Row],[ID_EC]]="","",IF(INDEX(TR_5ExemptionClaim[CRPF name],MATCH(TR_6RecyclingArranger[[#This Row],[ID_EC]],TR_5ExemptionClaim[ID_EC],0))=0,"None",INDEX(TR_5ExemptionClaim[CRPF name],MATCH(TR_6RecyclingArranger[[#This Row],[ID_EC]],TR_5ExemptionClaim[ID_EC],0))))</f>
        <v/>
      </c>
      <c r="G241" s="45"/>
      <c r="H241" s="108"/>
      <c r="I241" s="47"/>
      <c r="J241" s="48"/>
      <c r="K241" s="47"/>
      <c r="L241" s="79">
        <f>IF(COUNTIFS(TR_6RecyclingArranger[ID_EC],TR_6RecyclingArranger[[#This Row],[ID_EC]],TR_6RecyclingArranger[Name of Third-Party Recycling Arranger],TR_6RecyclingArranger[[#This Row],[Name of Third-Party Recycling Arranger]])&gt;1,1,0)</f>
        <v>0</v>
      </c>
      <c r="M241" s="79">
        <f>IF(TR_6RecyclingArranger[[#This Row],[ID_EC]]="",0,IFERROR(0*MATCH(TR_6RecyclingArranger[[#This Row],[ID_EC]],TR_5ExemptionClaim[Lookup: for arranger tab],0),1))</f>
        <v>0</v>
      </c>
      <c r="N241" s="79">
        <f>IF(TR_6RecyclingArranger[[#This Row],[ID_EC]]="",0,IF(COUNTA(TR_6RecyclingArranger[[#This Row],[Name of Third-Party Recycling Arranger]],TR_6RecyclingArranger[[#This Row],[Pounds of Producer''s Material Recycled by this Recycling Arranger]:[Recycling Arranger Contact Email]])=7,0,1))</f>
        <v>0</v>
      </c>
      <c r="O241" s="79">
        <f>IF(TR_6RecyclingArranger[[#This Row],[ID_EC]]&lt;&gt;"",0,IF(COUNTA(TR_6RecyclingArranger[[#This Row],[Name of Third-Party Recycling Arranger]],TR_6RecyclingArranger[[#This Row],[Pounds of Producer''s Material Recycled by this Recycling Arranger]:[Recycling Arranger Contact Email]])&gt;0,1,0))</f>
        <v>0</v>
      </c>
      <c r="P241" s="79">
        <f>IF(TR_6RecyclingArranger[[#This Row],[Lookup: pounds (this table)]]&gt;TR_6RecyclingArranger[[#This Row],[Lookup: pounds (5B tab)]],1,0)</f>
        <v>0</v>
      </c>
      <c r="Q241" s="78">
        <f>SUMIFS(TR_6RecyclingArranger[Pounds of Producer''s Material Recycled by this Recycling Arranger],TR_6RecyclingArranger[ID_EC],TR_6RecyclingArranger[[#This Row],[ID_EC]])</f>
        <v>0</v>
      </c>
      <c r="R241" s="78">
        <f>IFERROR(INDEX(TR_5ExemptionClaim[How many of the pounds recycled through this pathway were supplied by this producer?],MATCH(TR_6RecyclingArranger[[#This Row],[ID_EC]],TR_5ExemptionClaim[ID_EC],0)),0)</f>
        <v>0</v>
      </c>
      <c r="S241" s="81" t="str">
        <f t="shared" si="3"/>
        <v/>
      </c>
      <c r="T241" s="40"/>
      <c r="U241" s="58"/>
    </row>
    <row r="242" spans="1:21" ht="30.75" customHeight="1" x14ac:dyDescent="0.2">
      <c r="A242" s="82" t="s">
        <v>626</v>
      </c>
      <c r="B242" s="46"/>
      <c r="C242" s="113"/>
      <c r="D242" s="215" t="str">
        <f>IF(TR_6RecyclingArranger[[#This Row],[ID_EC]]="","",INDEX(TR_5ExemptionClaim[End Market Name],MATCH(TR_6RecyclingArranger[[#This Row],[ID_EC]],TR_5ExemptionClaim[ID_EC],0)))</f>
        <v/>
      </c>
      <c r="E242" s="215" t="str">
        <f>IF(TR_6RecyclingArranger[[#This Row],[ID_EC]]="","",INDEX(TR_5ExemptionClaim[Collection or Transportation Service Provider Name],MATCH(TR_6RecyclingArranger[[#This Row],[ID_EC]],TR_5ExemptionClaim[ID_EC],0)))</f>
        <v/>
      </c>
      <c r="F242" s="215" t="str">
        <f>IF(TR_6RecyclingArranger[[#This Row],[ID_EC]]="","",IF(INDEX(TR_5ExemptionClaim[CRPF name],MATCH(TR_6RecyclingArranger[[#This Row],[ID_EC]],TR_5ExemptionClaim[ID_EC],0))=0,"None",INDEX(TR_5ExemptionClaim[CRPF name],MATCH(TR_6RecyclingArranger[[#This Row],[ID_EC]],TR_5ExemptionClaim[ID_EC],0))))</f>
        <v/>
      </c>
      <c r="G242" s="45"/>
      <c r="H242" s="108"/>
      <c r="I242" s="47"/>
      <c r="J242" s="48"/>
      <c r="K242" s="47"/>
      <c r="L242" s="79">
        <f>IF(COUNTIFS(TR_6RecyclingArranger[ID_EC],TR_6RecyclingArranger[[#This Row],[ID_EC]],TR_6RecyclingArranger[Name of Third-Party Recycling Arranger],TR_6RecyclingArranger[[#This Row],[Name of Third-Party Recycling Arranger]])&gt;1,1,0)</f>
        <v>0</v>
      </c>
      <c r="M242" s="79">
        <f>IF(TR_6RecyclingArranger[[#This Row],[ID_EC]]="",0,IFERROR(0*MATCH(TR_6RecyclingArranger[[#This Row],[ID_EC]],TR_5ExemptionClaim[Lookup: for arranger tab],0),1))</f>
        <v>0</v>
      </c>
      <c r="N242" s="79">
        <f>IF(TR_6RecyclingArranger[[#This Row],[ID_EC]]="",0,IF(COUNTA(TR_6RecyclingArranger[[#This Row],[Name of Third-Party Recycling Arranger]],TR_6RecyclingArranger[[#This Row],[Pounds of Producer''s Material Recycled by this Recycling Arranger]:[Recycling Arranger Contact Email]])=7,0,1))</f>
        <v>0</v>
      </c>
      <c r="O242" s="79">
        <f>IF(TR_6RecyclingArranger[[#This Row],[ID_EC]]&lt;&gt;"",0,IF(COUNTA(TR_6RecyclingArranger[[#This Row],[Name of Third-Party Recycling Arranger]],TR_6RecyclingArranger[[#This Row],[Pounds of Producer''s Material Recycled by this Recycling Arranger]:[Recycling Arranger Contact Email]])&gt;0,1,0))</f>
        <v>0</v>
      </c>
      <c r="P242" s="79">
        <f>IF(TR_6RecyclingArranger[[#This Row],[Lookup: pounds (this table)]]&gt;TR_6RecyclingArranger[[#This Row],[Lookup: pounds (5B tab)]],1,0)</f>
        <v>0</v>
      </c>
      <c r="Q242" s="78">
        <f>SUMIFS(TR_6RecyclingArranger[Pounds of Producer''s Material Recycled by this Recycling Arranger],TR_6RecyclingArranger[ID_EC],TR_6RecyclingArranger[[#This Row],[ID_EC]])</f>
        <v>0</v>
      </c>
      <c r="R242" s="78">
        <f>IFERROR(INDEX(TR_5ExemptionClaim[How many of the pounds recycled through this pathway were supplied by this producer?],MATCH(TR_6RecyclingArranger[[#This Row],[ID_EC]],TR_5ExemptionClaim[ID_EC],0)),0)</f>
        <v>0</v>
      </c>
      <c r="S242" s="81" t="str">
        <f t="shared" si="3"/>
        <v/>
      </c>
      <c r="T242" s="40"/>
      <c r="U242" s="58"/>
    </row>
    <row r="243" spans="1:21" ht="30.75" customHeight="1" x14ac:dyDescent="0.2">
      <c r="A243" s="82" t="s">
        <v>627</v>
      </c>
      <c r="B243" s="46"/>
      <c r="C243" s="113"/>
      <c r="D243" s="215" t="str">
        <f>IF(TR_6RecyclingArranger[[#This Row],[ID_EC]]="","",INDEX(TR_5ExemptionClaim[End Market Name],MATCH(TR_6RecyclingArranger[[#This Row],[ID_EC]],TR_5ExemptionClaim[ID_EC],0)))</f>
        <v/>
      </c>
      <c r="E243" s="215" t="str">
        <f>IF(TR_6RecyclingArranger[[#This Row],[ID_EC]]="","",INDEX(TR_5ExemptionClaim[Collection or Transportation Service Provider Name],MATCH(TR_6RecyclingArranger[[#This Row],[ID_EC]],TR_5ExemptionClaim[ID_EC],0)))</f>
        <v/>
      </c>
      <c r="F243" s="215" t="str">
        <f>IF(TR_6RecyclingArranger[[#This Row],[ID_EC]]="","",IF(INDEX(TR_5ExemptionClaim[CRPF name],MATCH(TR_6RecyclingArranger[[#This Row],[ID_EC]],TR_5ExemptionClaim[ID_EC],0))=0,"None",INDEX(TR_5ExemptionClaim[CRPF name],MATCH(TR_6RecyclingArranger[[#This Row],[ID_EC]],TR_5ExemptionClaim[ID_EC],0))))</f>
        <v/>
      </c>
      <c r="G243" s="45"/>
      <c r="H243" s="108"/>
      <c r="I243" s="47"/>
      <c r="J243" s="48"/>
      <c r="K243" s="47"/>
      <c r="L243" s="79">
        <f>IF(COUNTIFS(TR_6RecyclingArranger[ID_EC],TR_6RecyclingArranger[[#This Row],[ID_EC]],TR_6RecyclingArranger[Name of Third-Party Recycling Arranger],TR_6RecyclingArranger[[#This Row],[Name of Third-Party Recycling Arranger]])&gt;1,1,0)</f>
        <v>0</v>
      </c>
      <c r="M243" s="79">
        <f>IF(TR_6RecyclingArranger[[#This Row],[ID_EC]]="",0,IFERROR(0*MATCH(TR_6RecyclingArranger[[#This Row],[ID_EC]],TR_5ExemptionClaim[Lookup: for arranger tab],0),1))</f>
        <v>0</v>
      </c>
      <c r="N243" s="79">
        <f>IF(TR_6RecyclingArranger[[#This Row],[ID_EC]]="",0,IF(COUNTA(TR_6RecyclingArranger[[#This Row],[Name of Third-Party Recycling Arranger]],TR_6RecyclingArranger[[#This Row],[Pounds of Producer''s Material Recycled by this Recycling Arranger]:[Recycling Arranger Contact Email]])=7,0,1))</f>
        <v>0</v>
      </c>
      <c r="O243" s="79">
        <f>IF(TR_6RecyclingArranger[[#This Row],[ID_EC]]&lt;&gt;"",0,IF(COUNTA(TR_6RecyclingArranger[[#This Row],[Name of Third-Party Recycling Arranger]],TR_6RecyclingArranger[[#This Row],[Pounds of Producer''s Material Recycled by this Recycling Arranger]:[Recycling Arranger Contact Email]])&gt;0,1,0))</f>
        <v>0</v>
      </c>
      <c r="P243" s="79">
        <f>IF(TR_6RecyclingArranger[[#This Row],[Lookup: pounds (this table)]]&gt;TR_6RecyclingArranger[[#This Row],[Lookup: pounds (5B tab)]],1,0)</f>
        <v>0</v>
      </c>
      <c r="Q243" s="78">
        <f>SUMIFS(TR_6RecyclingArranger[Pounds of Producer''s Material Recycled by this Recycling Arranger],TR_6RecyclingArranger[ID_EC],TR_6RecyclingArranger[[#This Row],[ID_EC]])</f>
        <v>0</v>
      </c>
      <c r="R243" s="78">
        <f>IFERROR(INDEX(TR_5ExemptionClaim[How many of the pounds recycled through this pathway were supplied by this producer?],MATCH(TR_6RecyclingArranger[[#This Row],[ID_EC]],TR_5ExemptionClaim[ID_EC],0)),0)</f>
        <v>0</v>
      </c>
      <c r="S243" s="81" t="str">
        <f t="shared" si="3"/>
        <v/>
      </c>
      <c r="T243" s="40"/>
      <c r="U243" s="58"/>
    </row>
    <row r="244" spans="1:21" ht="30.75" customHeight="1" x14ac:dyDescent="0.2">
      <c r="A244" s="82" t="s">
        <v>628</v>
      </c>
      <c r="B244" s="46"/>
      <c r="C244" s="113"/>
      <c r="D244" s="215" t="str">
        <f>IF(TR_6RecyclingArranger[[#This Row],[ID_EC]]="","",INDEX(TR_5ExemptionClaim[End Market Name],MATCH(TR_6RecyclingArranger[[#This Row],[ID_EC]],TR_5ExemptionClaim[ID_EC],0)))</f>
        <v/>
      </c>
      <c r="E244" s="215" t="str">
        <f>IF(TR_6RecyclingArranger[[#This Row],[ID_EC]]="","",INDEX(TR_5ExemptionClaim[Collection or Transportation Service Provider Name],MATCH(TR_6RecyclingArranger[[#This Row],[ID_EC]],TR_5ExemptionClaim[ID_EC],0)))</f>
        <v/>
      </c>
      <c r="F244" s="215" t="str">
        <f>IF(TR_6RecyclingArranger[[#This Row],[ID_EC]]="","",IF(INDEX(TR_5ExemptionClaim[CRPF name],MATCH(TR_6RecyclingArranger[[#This Row],[ID_EC]],TR_5ExemptionClaim[ID_EC],0))=0,"None",INDEX(TR_5ExemptionClaim[CRPF name],MATCH(TR_6RecyclingArranger[[#This Row],[ID_EC]],TR_5ExemptionClaim[ID_EC],0))))</f>
        <v/>
      </c>
      <c r="G244" s="45"/>
      <c r="H244" s="108"/>
      <c r="I244" s="47"/>
      <c r="J244" s="48"/>
      <c r="K244" s="47"/>
      <c r="L244" s="79">
        <f>IF(COUNTIFS(TR_6RecyclingArranger[ID_EC],TR_6RecyclingArranger[[#This Row],[ID_EC]],TR_6RecyclingArranger[Name of Third-Party Recycling Arranger],TR_6RecyclingArranger[[#This Row],[Name of Third-Party Recycling Arranger]])&gt;1,1,0)</f>
        <v>0</v>
      </c>
      <c r="M244" s="79">
        <f>IF(TR_6RecyclingArranger[[#This Row],[ID_EC]]="",0,IFERROR(0*MATCH(TR_6RecyclingArranger[[#This Row],[ID_EC]],TR_5ExemptionClaim[Lookup: for arranger tab],0),1))</f>
        <v>0</v>
      </c>
      <c r="N244" s="79">
        <f>IF(TR_6RecyclingArranger[[#This Row],[ID_EC]]="",0,IF(COUNTA(TR_6RecyclingArranger[[#This Row],[Name of Third-Party Recycling Arranger]],TR_6RecyclingArranger[[#This Row],[Pounds of Producer''s Material Recycled by this Recycling Arranger]:[Recycling Arranger Contact Email]])=7,0,1))</f>
        <v>0</v>
      </c>
      <c r="O244" s="79">
        <f>IF(TR_6RecyclingArranger[[#This Row],[ID_EC]]&lt;&gt;"",0,IF(COUNTA(TR_6RecyclingArranger[[#This Row],[Name of Third-Party Recycling Arranger]],TR_6RecyclingArranger[[#This Row],[Pounds of Producer''s Material Recycled by this Recycling Arranger]:[Recycling Arranger Contact Email]])&gt;0,1,0))</f>
        <v>0</v>
      </c>
      <c r="P244" s="79">
        <f>IF(TR_6RecyclingArranger[[#This Row],[Lookup: pounds (this table)]]&gt;TR_6RecyclingArranger[[#This Row],[Lookup: pounds (5B tab)]],1,0)</f>
        <v>0</v>
      </c>
      <c r="Q244" s="78">
        <f>SUMIFS(TR_6RecyclingArranger[Pounds of Producer''s Material Recycled by this Recycling Arranger],TR_6RecyclingArranger[ID_EC],TR_6RecyclingArranger[[#This Row],[ID_EC]])</f>
        <v>0</v>
      </c>
      <c r="R244" s="78">
        <f>IFERROR(INDEX(TR_5ExemptionClaim[How many of the pounds recycled through this pathway were supplied by this producer?],MATCH(TR_6RecyclingArranger[[#This Row],[ID_EC]],TR_5ExemptionClaim[ID_EC],0)),0)</f>
        <v>0</v>
      </c>
      <c r="S244" s="81" t="str">
        <f t="shared" si="3"/>
        <v/>
      </c>
      <c r="T244" s="40"/>
      <c r="U244" s="58"/>
    </row>
    <row r="245" spans="1:21" ht="30.75" customHeight="1" x14ac:dyDescent="0.2">
      <c r="A245" s="82" t="s">
        <v>629</v>
      </c>
      <c r="B245" s="46"/>
      <c r="C245" s="113"/>
      <c r="D245" s="215" t="str">
        <f>IF(TR_6RecyclingArranger[[#This Row],[ID_EC]]="","",INDEX(TR_5ExemptionClaim[End Market Name],MATCH(TR_6RecyclingArranger[[#This Row],[ID_EC]],TR_5ExemptionClaim[ID_EC],0)))</f>
        <v/>
      </c>
      <c r="E245" s="215" t="str">
        <f>IF(TR_6RecyclingArranger[[#This Row],[ID_EC]]="","",INDEX(TR_5ExemptionClaim[Collection or Transportation Service Provider Name],MATCH(TR_6RecyclingArranger[[#This Row],[ID_EC]],TR_5ExemptionClaim[ID_EC],0)))</f>
        <v/>
      </c>
      <c r="F245" s="215" t="str">
        <f>IF(TR_6RecyclingArranger[[#This Row],[ID_EC]]="","",IF(INDEX(TR_5ExemptionClaim[CRPF name],MATCH(TR_6RecyclingArranger[[#This Row],[ID_EC]],TR_5ExemptionClaim[ID_EC],0))=0,"None",INDEX(TR_5ExemptionClaim[CRPF name],MATCH(TR_6RecyclingArranger[[#This Row],[ID_EC]],TR_5ExemptionClaim[ID_EC],0))))</f>
        <v/>
      </c>
      <c r="G245" s="45"/>
      <c r="H245" s="108"/>
      <c r="I245" s="47"/>
      <c r="J245" s="48"/>
      <c r="K245" s="47"/>
      <c r="L245" s="79">
        <f>IF(COUNTIFS(TR_6RecyclingArranger[ID_EC],TR_6RecyclingArranger[[#This Row],[ID_EC]],TR_6RecyclingArranger[Name of Third-Party Recycling Arranger],TR_6RecyclingArranger[[#This Row],[Name of Third-Party Recycling Arranger]])&gt;1,1,0)</f>
        <v>0</v>
      </c>
      <c r="M245" s="79">
        <f>IF(TR_6RecyclingArranger[[#This Row],[ID_EC]]="",0,IFERROR(0*MATCH(TR_6RecyclingArranger[[#This Row],[ID_EC]],TR_5ExemptionClaim[Lookup: for arranger tab],0),1))</f>
        <v>0</v>
      </c>
      <c r="N245" s="79">
        <f>IF(TR_6RecyclingArranger[[#This Row],[ID_EC]]="",0,IF(COUNTA(TR_6RecyclingArranger[[#This Row],[Name of Third-Party Recycling Arranger]],TR_6RecyclingArranger[[#This Row],[Pounds of Producer''s Material Recycled by this Recycling Arranger]:[Recycling Arranger Contact Email]])=7,0,1))</f>
        <v>0</v>
      </c>
      <c r="O245" s="79">
        <f>IF(TR_6RecyclingArranger[[#This Row],[ID_EC]]&lt;&gt;"",0,IF(COUNTA(TR_6RecyclingArranger[[#This Row],[Name of Third-Party Recycling Arranger]],TR_6RecyclingArranger[[#This Row],[Pounds of Producer''s Material Recycled by this Recycling Arranger]:[Recycling Arranger Contact Email]])&gt;0,1,0))</f>
        <v>0</v>
      </c>
      <c r="P245" s="79">
        <f>IF(TR_6RecyclingArranger[[#This Row],[Lookup: pounds (this table)]]&gt;TR_6RecyclingArranger[[#This Row],[Lookup: pounds (5B tab)]],1,0)</f>
        <v>0</v>
      </c>
      <c r="Q245" s="78">
        <f>SUMIFS(TR_6RecyclingArranger[Pounds of Producer''s Material Recycled by this Recycling Arranger],TR_6RecyclingArranger[ID_EC],TR_6RecyclingArranger[[#This Row],[ID_EC]])</f>
        <v>0</v>
      </c>
      <c r="R245" s="78">
        <f>IFERROR(INDEX(TR_5ExemptionClaim[How many of the pounds recycled through this pathway were supplied by this producer?],MATCH(TR_6RecyclingArranger[[#This Row],[ID_EC]],TR_5ExemptionClaim[ID_EC],0)),0)</f>
        <v>0</v>
      </c>
      <c r="S245" s="81" t="str">
        <f t="shared" si="3"/>
        <v/>
      </c>
      <c r="T245" s="40"/>
      <c r="U245" s="58"/>
    </row>
    <row r="246" spans="1:21" ht="30.75" customHeight="1" x14ac:dyDescent="0.2">
      <c r="A246" s="82" t="s">
        <v>630</v>
      </c>
      <c r="B246" s="46"/>
      <c r="C246" s="113"/>
      <c r="D246" s="215" t="str">
        <f>IF(TR_6RecyclingArranger[[#This Row],[ID_EC]]="","",INDEX(TR_5ExemptionClaim[End Market Name],MATCH(TR_6RecyclingArranger[[#This Row],[ID_EC]],TR_5ExemptionClaim[ID_EC],0)))</f>
        <v/>
      </c>
      <c r="E246" s="215" t="str">
        <f>IF(TR_6RecyclingArranger[[#This Row],[ID_EC]]="","",INDEX(TR_5ExemptionClaim[Collection or Transportation Service Provider Name],MATCH(TR_6RecyclingArranger[[#This Row],[ID_EC]],TR_5ExemptionClaim[ID_EC],0)))</f>
        <v/>
      </c>
      <c r="F246" s="215" t="str">
        <f>IF(TR_6RecyclingArranger[[#This Row],[ID_EC]]="","",IF(INDEX(TR_5ExemptionClaim[CRPF name],MATCH(TR_6RecyclingArranger[[#This Row],[ID_EC]],TR_5ExemptionClaim[ID_EC],0))=0,"None",INDEX(TR_5ExemptionClaim[CRPF name],MATCH(TR_6RecyclingArranger[[#This Row],[ID_EC]],TR_5ExemptionClaim[ID_EC],0))))</f>
        <v/>
      </c>
      <c r="G246" s="45"/>
      <c r="H246" s="108"/>
      <c r="I246" s="47"/>
      <c r="J246" s="48"/>
      <c r="K246" s="47"/>
      <c r="L246" s="79">
        <f>IF(COUNTIFS(TR_6RecyclingArranger[ID_EC],TR_6RecyclingArranger[[#This Row],[ID_EC]],TR_6RecyclingArranger[Name of Third-Party Recycling Arranger],TR_6RecyclingArranger[[#This Row],[Name of Third-Party Recycling Arranger]])&gt;1,1,0)</f>
        <v>0</v>
      </c>
      <c r="M246" s="79">
        <f>IF(TR_6RecyclingArranger[[#This Row],[ID_EC]]="",0,IFERROR(0*MATCH(TR_6RecyclingArranger[[#This Row],[ID_EC]],TR_5ExemptionClaim[Lookup: for arranger tab],0),1))</f>
        <v>0</v>
      </c>
      <c r="N246" s="79">
        <f>IF(TR_6RecyclingArranger[[#This Row],[ID_EC]]="",0,IF(COUNTA(TR_6RecyclingArranger[[#This Row],[Name of Third-Party Recycling Arranger]],TR_6RecyclingArranger[[#This Row],[Pounds of Producer''s Material Recycled by this Recycling Arranger]:[Recycling Arranger Contact Email]])=7,0,1))</f>
        <v>0</v>
      </c>
      <c r="O246" s="79">
        <f>IF(TR_6RecyclingArranger[[#This Row],[ID_EC]]&lt;&gt;"",0,IF(COUNTA(TR_6RecyclingArranger[[#This Row],[Name of Third-Party Recycling Arranger]],TR_6RecyclingArranger[[#This Row],[Pounds of Producer''s Material Recycled by this Recycling Arranger]:[Recycling Arranger Contact Email]])&gt;0,1,0))</f>
        <v>0</v>
      </c>
      <c r="P246" s="79">
        <f>IF(TR_6RecyclingArranger[[#This Row],[Lookup: pounds (this table)]]&gt;TR_6RecyclingArranger[[#This Row],[Lookup: pounds (5B tab)]],1,0)</f>
        <v>0</v>
      </c>
      <c r="Q246" s="78">
        <f>SUMIFS(TR_6RecyclingArranger[Pounds of Producer''s Material Recycled by this Recycling Arranger],TR_6RecyclingArranger[ID_EC],TR_6RecyclingArranger[[#This Row],[ID_EC]])</f>
        <v>0</v>
      </c>
      <c r="R246" s="78">
        <f>IFERROR(INDEX(TR_5ExemptionClaim[How many of the pounds recycled through this pathway were supplied by this producer?],MATCH(TR_6RecyclingArranger[[#This Row],[ID_EC]],TR_5ExemptionClaim[ID_EC],0)),0)</f>
        <v>0</v>
      </c>
      <c r="S246" s="81" t="str">
        <f t="shared" si="3"/>
        <v/>
      </c>
      <c r="T246" s="40"/>
      <c r="U246" s="58"/>
    </row>
    <row r="247" spans="1:21" ht="30.75" customHeight="1" x14ac:dyDescent="0.2">
      <c r="A247" s="82" t="s">
        <v>631</v>
      </c>
      <c r="B247" s="46"/>
      <c r="C247" s="113"/>
      <c r="D247" s="215" t="str">
        <f>IF(TR_6RecyclingArranger[[#This Row],[ID_EC]]="","",INDEX(TR_5ExemptionClaim[End Market Name],MATCH(TR_6RecyclingArranger[[#This Row],[ID_EC]],TR_5ExemptionClaim[ID_EC],0)))</f>
        <v/>
      </c>
      <c r="E247" s="215" t="str">
        <f>IF(TR_6RecyclingArranger[[#This Row],[ID_EC]]="","",INDEX(TR_5ExemptionClaim[Collection or Transportation Service Provider Name],MATCH(TR_6RecyclingArranger[[#This Row],[ID_EC]],TR_5ExemptionClaim[ID_EC],0)))</f>
        <v/>
      </c>
      <c r="F247" s="215" t="str">
        <f>IF(TR_6RecyclingArranger[[#This Row],[ID_EC]]="","",IF(INDEX(TR_5ExemptionClaim[CRPF name],MATCH(TR_6RecyclingArranger[[#This Row],[ID_EC]],TR_5ExemptionClaim[ID_EC],0))=0,"None",INDEX(TR_5ExemptionClaim[CRPF name],MATCH(TR_6RecyclingArranger[[#This Row],[ID_EC]],TR_5ExemptionClaim[ID_EC],0))))</f>
        <v/>
      </c>
      <c r="G247" s="45"/>
      <c r="H247" s="108"/>
      <c r="I247" s="47"/>
      <c r="J247" s="48"/>
      <c r="K247" s="47"/>
      <c r="L247" s="79">
        <f>IF(COUNTIFS(TR_6RecyclingArranger[ID_EC],TR_6RecyclingArranger[[#This Row],[ID_EC]],TR_6RecyclingArranger[Name of Third-Party Recycling Arranger],TR_6RecyclingArranger[[#This Row],[Name of Third-Party Recycling Arranger]])&gt;1,1,0)</f>
        <v>0</v>
      </c>
      <c r="M247" s="79">
        <f>IF(TR_6RecyclingArranger[[#This Row],[ID_EC]]="",0,IFERROR(0*MATCH(TR_6RecyclingArranger[[#This Row],[ID_EC]],TR_5ExemptionClaim[Lookup: for arranger tab],0),1))</f>
        <v>0</v>
      </c>
      <c r="N247" s="79">
        <f>IF(TR_6RecyclingArranger[[#This Row],[ID_EC]]="",0,IF(COUNTA(TR_6RecyclingArranger[[#This Row],[Name of Third-Party Recycling Arranger]],TR_6RecyclingArranger[[#This Row],[Pounds of Producer''s Material Recycled by this Recycling Arranger]:[Recycling Arranger Contact Email]])=7,0,1))</f>
        <v>0</v>
      </c>
      <c r="O247" s="79">
        <f>IF(TR_6RecyclingArranger[[#This Row],[ID_EC]]&lt;&gt;"",0,IF(COUNTA(TR_6RecyclingArranger[[#This Row],[Name of Third-Party Recycling Arranger]],TR_6RecyclingArranger[[#This Row],[Pounds of Producer''s Material Recycled by this Recycling Arranger]:[Recycling Arranger Contact Email]])&gt;0,1,0))</f>
        <v>0</v>
      </c>
      <c r="P247" s="79">
        <f>IF(TR_6RecyclingArranger[[#This Row],[Lookup: pounds (this table)]]&gt;TR_6RecyclingArranger[[#This Row],[Lookup: pounds (5B tab)]],1,0)</f>
        <v>0</v>
      </c>
      <c r="Q247" s="78">
        <f>SUMIFS(TR_6RecyclingArranger[Pounds of Producer''s Material Recycled by this Recycling Arranger],TR_6RecyclingArranger[ID_EC],TR_6RecyclingArranger[[#This Row],[ID_EC]])</f>
        <v>0</v>
      </c>
      <c r="R247" s="78">
        <f>IFERROR(INDEX(TR_5ExemptionClaim[How many of the pounds recycled through this pathway were supplied by this producer?],MATCH(TR_6RecyclingArranger[[#This Row],[ID_EC]],TR_5ExemptionClaim[ID_EC],0)),0)</f>
        <v>0</v>
      </c>
      <c r="S247" s="81" t="str">
        <f t="shared" si="3"/>
        <v/>
      </c>
      <c r="T247" s="40"/>
      <c r="U247" s="58"/>
    </row>
    <row r="248" spans="1:21" ht="30.75" customHeight="1" x14ac:dyDescent="0.2">
      <c r="A248" s="82" t="s">
        <v>632</v>
      </c>
      <c r="B248" s="46"/>
      <c r="C248" s="113"/>
      <c r="D248" s="215" t="str">
        <f>IF(TR_6RecyclingArranger[[#This Row],[ID_EC]]="","",INDEX(TR_5ExemptionClaim[End Market Name],MATCH(TR_6RecyclingArranger[[#This Row],[ID_EC]],TR_5ExemptionClaim[ID_EC],0)))</f>
        <v/>
      </c>
      <c r="E248" s="215" t="str">
        <f>IF(TR_6RecyclingArranger[[#This Row],[ID_EC]]="","",INDEX(TR_5ExemptionClaim[Collection or Transportation Service Provider Name],MATCH(TR_6RecyclingArranger[[#This Row],[ID_EC]],TR_5ExemptionClaim[ID_EC],0)))</f>
        <v/>
      </c>
      <c r="F248" s="215" t="str">
        <f>IF(TR_6RecyclingArranger[[#This Row],[ID_EC]]="","",IF(INDEX(TR_5ExemptionClaim[CRPF name],MATCH(TR_6RecyclingArranger[[#This Row],[ID_EC]],TR_5ExemptionClaim[ID_EC],0))=0,"None",INDEX(TR_5ExemptionClaim[CRPF name],MATCH(TR_6RecyclingArranger[[#This Row],[ID_EC]],TR_5ExemptionClaim[ID_EC],0))))</f>
        <v/>
      </c>
      <c r="G248" s="45"/>
      <c r="H248" s="108"/>
      <c r="I248" s="47"/>
      <c r="J248" s="48"/>
      <c r="K248" s="47"/>
      <c r="L248" s="79">
        <f>IF(COUNTIFS(TR_6RecyclingArranger[ID_EC],TR_6RecyclingArranger[[#This Row],[ID_EC]],TR_6RecyclingArranger[Name of Third-Party Recycling Arranger],TR_6RecyclingArranger[[#This Row],[Name of Third-Party Recycling Arranger]])&gt;1,1,0)</f>
        <v>0</v>
      </c>
      <c r="M248" s="79">
        <f>IF(TR_6RecyclingArranger[[#This Row],[ID_EC]]="",0,IFERROR(0*MATCH(TR_6RecyclingArranger[[#This Row],[ID_EC]],TR_5ExemptionClaim[Lookup: for arranger tab],0),1))</f>
        <v>0</v>
      </c>
      <c r="N248" s="79">
        <f>IF(TR_6RecyclingArranger[[#This Row],[ID_EC]]="",0,IF(COUNTA(TR_6RecyclingArranger[[#This Row],[Name of Third-Party Recycling Arranger]],TR_6RecyclingArranger[[#This Row],[Pounds of Producer''s Material Recycled by this Recycling Arranger]:[Recycling Arranger Contact Email]])=7,0,1))</f>
        <v>0</v>
      </c>
      <c r="O248" s="79">
        <f>IF(TR_6RecyclingArranger[[#This Row],[ID_EC]]&lt;&gt;"",0,IF(COUNTA(TR_6RecyclingArranger[[#This Row],[Name of Third-Party Recycling Arranger]],TR_6RecyclingArranger[[#This Row],[Pounds of Producer''s Material Recycled by this Recycling Arranger]:[Recycling Arranger Contact Email]])&gt;0,1,0))</f>
        <v>0</v>
      </c>
      <c r="P248" s="79">
        <f>IF(TR_6RecyclingArranger[[#This Row],[Lookup: pounds (this table)]]&gt;TR_6RecyclingArranger[[#This Row],[Lookup: pounds (5B tab)]],1,0)</f>
        <v>0</v>
      </c>
      <c r="Q248" s="78">
        <f>SUMIFS(TR_6RecyclingArranger[Pounds of Producer''s Material Recycled by this Recycling Arranger],TR_6RecyclingArranger[ID_EC],TR_6RecyclingArranger[[#This Row],[ID_EC]])</f>
        <v>0</v>
      </c>
      <c r="R248" s="78">
        <f>IFERROR(INDEX(TR_5ExemptionClaim[How many of the pounds recycled through this pathway were supplied by this producer?],MATCH(TR_6RecyclingArranger[[#This Row],[ID_EC]],TR_5ExemptionClaim[ID_EC],0)),0)</f>
        <v>0</v>
      </c>
      <c r="S248" s="81" t="str">
        <f t="shared" si="3"/>
        <v/>
      </c>
      <c r="T248" s="40"/>
      <c r="U248" s="58"/>
    </row>
    <row r="249" spans="1:21" ht="30.75" customHeight="1" x14ac:dyDescent="0.2">
      <c r="A249" s="82" t="s">
        <v>633</v>
      </c>
      <c r="B249" s="46"/>
      <c r="C249" s="113"/>
      <c r="D249" s="215" t="str">
        <f>IF(TR_6RecyclingArranger[[#This Row],[ID_EC]]="","",INDEX(TR_5ExemptionClaim[End Market Name],MATCH(TR_6RecyclingArranger[[#This Row],[ID_EC]],TR_5ExemptionClaim[ID_EC],0)))</f>
        <v/>
      </c>
      <c r="E249" s="215" t="str">
        <f>IF(TR_6RecyclingArranger[[#This Row],[ID_EC]]="","",INDEX(TR_5ExemptionClaim[Collection or Transportation Service Provider Name],MATCH(TR_6RecyclingArranger[[#This Row],[ID_EC]],TR_5ExemptionClaim[ID_EC],0)))</f>
        <v/>
      </c>
      <c r="F249" s="215" t="str">
        <f>IF(TR_6RecyclingArranger[[#This Row],[ID_EC]]="","",IF(INDEX(TR_5ExemptionClaim[CRPF name],MATCH(TR_6RecyclingArranger[[#This Row],[ID_EC]],TR_5ExemptionClaim[ID_EC],0))=0,"None",INDEX(TR_5ExemptionClaim[CRPF name],MATCH(TR_6RecyclingArranger[[#This Row],[ID_EC]],TR_5ExemptionClaim[ID_EC],0))))</f>
        <v/>
      </c>
      <c r="G249" s="45"/>
      <c r="H249" s="108"/>
      <c r="I249" s="47"/>
      <c r="J249" s="48"/>
      <c r="K249" s="47"/>
      <c r="L249" s="79">
        <f>IF(COUNTIFS(TR_6RecyclingArranger[ID_EC],TR_6RecyclingArranger[[#This Row],[ID_EC]],TR_6RecyclingArranger[Name of Third-Party Recycling Arranger],TR_6RecyclingArranger[[#This Row],[Name of Third-Party Recycling Arranger]])&gt;1,1,0)</f>
        <v>0</v>
      </c>
      <c r="M249" s="79">
        <f>IF(TR_6RecyclingArranger[[#This Row],[ID_EC]]="",0,IFERROR(0*MATCH(TR_6RecyclingArranger[[#This Row],[ID_EC]],TR_5ExemptionClaim[Lookup: for arranger tab],0),1))</f>
        <v>0</v>
      </c>
      <c r="N249" s="79">
        <f>IF(TR_6RecyclingArranger[[#This Row],[ID_EC]]="",0,IF(COUNTA(TR_6RecyclingArranger[[#This Row],[Name of Third-Party Recycling Arranger]],TR_6RecyclingArranger[[#This Row],[Pounds of Producer''s Material Recycled by this Recycling Arranger]:[Recycling Arranger Contact Email]])=7,0,1))</f>
        <v>0</v>
      </c>
      <c r="O249" s="79">
        <f>IF(TR_6RecyclingArranger[[#This Row],[ID_EC]]&lt;&gt;"",0,IF(COUNTA(TR_6RecyclingArranger[[#This Row],[Name of Third-Party Recycling Arranger]],TR_6RecyclingArranger[[#This Row],[Pounds of Producer''s Material Recycled by this Recycling Arranger]:[Recycling Arranger Contact Email]])&gt;0,1,0))</f>
        <v>0</v>
      </c>
      <c r="P249" s="79">
        <f>IF(TR_6RecyclingArranger[[#This Row],[Lookup: pounds (this table)]]&gt;TR_6RecyclingArranger[[#This Row],[Lookup: pounds (5B tab)]],1,0)</f>
        <v>0</v>
      </c>
      <c r="Q249" s="78">
        <f>SUMIFS(TR_6RecyclingArranger[Pounds of Producer''s Material Recycled by this Recycling Arranger],TR_6RecyclingArranger[ID_EC],TR_6RecyclingArranger[[#This Row],[ID_EC]])</f>
        <v>0</v>
      </c>
      <c r="R249" s="78">
        <f>IFERROR(INDEX(TR_5ExemptionClaim[How many of the pounds recycled through this pathway were supplied by this producer?],MATCH(TR_6RecyclingArranger[[#This Row],[ID_EC]],TR_5ExemptionClaim[ID_EC],0)),0)</f>
        <v>0</v>
      </c>
      <c r="S249" s="81" t="str">
        <f t="shared" si="3"/>
        <v/>
      </c>
      <c r="T249" s="40"/>
      <c r="U249" s="58"/>
    </row>
    <row r="250" spans="1:21" ht="30.75" customHeight="1" x14ac:dyDescent="0.2">
      <c r="A250" s="82" t="s">
        <v>634</v>
      </c>
      <c r="B250" s="46"/>
      <c r="C250" s="113"/>
      <c r="D250" s="215" t="str">
        <f>IF(TR_6RecyclingArranger[[#This Row],[ID_EC]]="","",INDEX(TR_5ExemptionClaim[End Market Name],MATCH(TR_6RecyclingArranger[[#This Row],[ID_EC]],TR_5ExemptionClaim[ID_EC],0)))</f>
        <v/>
      </c>
      <c r="E250" s="215" t="str">
        <f>IF(TR_6RecyclingArranger[[#This Row],[ID_EC]]="","",INDEX(TR_5ExemptionClaim[Collection or Transportation Service Provider Name],MATCH(TR_6RecyclingArranger[[#This Row],[ID_EC]],TR_5ExemptionClaim[ID_EC],0)))</f>
        <v/>
      </c>
      <c r="F250" s="215" t="str">
        <f>IF(TR_6RecyclingArranger[[#This Row],[ID_EC]]="","",IF(INDEX(TR_5ExemptionClaim[CRPF name],MATCH(TR_6RecyclingArranger[[#This Row],[ID_EC]],TR_5ExemptionClaim[ID_EC],0))=0,"None",INDEX(TR_5ExemptionClaim[CRPF name],MATCH(TR_6RecyclingArranger[[#This Row],[ID_EC]],TR_5ExemptionClaim[ID_EC],0))))</f>
        <v/>
      </c>
      <c r="G250" s="45"/>
      <c r="H250" s="108"/>
      <c r="I250" s="47"/>
      <c r="J250" s="48"/>
      <c r="K250" s="47"/>
      <c r="L250" s="79">
        <f>IF(COUNTIFS(TR_6RecyclingArranger[ID_EC],TR_6RecyclingArranger[[#This Row],[ID_EC]],TR_6RecyclingArranger[Name of Third-Party Recycling Arranger],TR_6RecyclingArranger[[#This Row],[Name of Third-Party Recycling Arranger]])&gt;1,1,0)</f>
        <v>0</v>
      </c>
      <c r="M250" s="79">
        <f>IF(TR_6RecyclingArranger[[#This Row],[ID_EC]]="",0,IFERROR(0*MATCH(TR_6RecyclingArranger[[#This Row],[ID_EC]],TR_5ExemptionClaim[Lookup: for arranger tab],0),1))</f>
        <v>0</v>
      </c>
      <c r="N250" s="79">
        <f>IF(TR_6RecyclingArranger[[#This Row],[ID_EC]]="",0,IF(COUNTA(TR_6RecyclingArranger[[#This Row],[Name of Third-Party Recycling Arranger]],TR_6RecyclingArranger[[#This Row],[Pounds of Producer''s Material Recycled by this Recycling Arranger]:[Recycling Arranger Contact Email]])=7,0,1))</f>
        <v>0</v>
      </c>
      <c r="O250" s="79">
        <f>IF(TR_6RecyclingArranger[[#This Row],[ID_EC]]&lt;&gt;"",0,IF(COUNTA(TR_6RecyclingArranger[[#This Row],[Name of Third-Party Recycling Arranger]],TR_6RecyclingArranger[[#This Row],[Pounds of Producer''s Material Recycled by this Recycling Arranger]:[Recycling Arranger Contact Email]])&gt;0,1,0))</f>
        <v>0</v>
      </c>
      <c r="P250" s="79">
        <f>IF(TR_6RecyclingArranger[[#This Row],[Lookup: pounds (this table)]]&gt;TR_6RecyclingArranger[[#This Row],[Lookup: pounds (5B tab)]],1,0)</f>
        <v>0</v>
      </c>
      <c r="Q250" s="78">
        <f>SUMIFS(TR_6RecyclingArranger[Pounds of Producer''s Material Recycled by this Recycling Arranger],TR_6RecyclingArranger[ID_EC],TR_6RecyclingArranger[[#This Row],[ID_EC]])</f>
        <v>0</v>
      </c>
      <c r="R250" s="78">
        <f>IFERROR(INDEX(TR_5ExemptionClaim[How many of the pounds recycled through this pathway were supplied by this producer?],MATCH(TR_6RecyclingArranger[[#This Row],[ID_EC]],TR_5ExemptionClaim[ID_EC],0)),0)</f>
        <v>0</v>
      </c>
      <c r="S250" s="81" t="str">
        <f t="shared" si="3"/>
        <v/>
      </c>
      <c r="T250" s="40"/>
      <c r="U250" s="58"/>
    </row>
    <row r="251" spans="1:21" ht="30.75" customHeight="1" x14ac:dyDescent="0.2">
      <c r="A251" s="82" t="s">
        <v>635</v>
      </c>
      <c r="B251" s="46"/>
      <c r="C251" s="113"/>
      <c r="D251" s="215" t="str">
        <f>IF(TR_6RecyclingArranger[[#This Row],[ID_EC]]="","",INDEX(TR_5ExemptionClaim[End Market Name],MATCH(TR_6RecyclingArranger[[#This Row],[ID_EC]],TR_5ExemptionClaim[ID_EC],0)))</f>
        <v/>
      </c>
      <c r="E251" s="215" t="str">
        <f>IF(TR_6RecyclingArranger[[#This Row],[ID_EC]]="","",INDEX(TR_5ExemptionClaim[Collection or Transportation Service Provider Name],MATCH(TR_6RecyclingArranger[[#This Row],[ID_EC]],TR_5ExemptionClaim[ID_EC],0)))</f>
        <v/>
      </c>
      <c r="F251" s="215" t="str">
        <f>IF(TR_6RecyclingArranger[[#This Row],[ID_EC]]="","",IF(INDEX(TR_5ExemptionClaim[CRPF name],MATCH(TR_6RecyclingArranger[[#This Row],[ID_EC]],TR_5ExemptionClaim[ID_EC],0))=0,"None",INDEX(TR_5ExemptionClaim[CRPF name],MATCH(TR_6RecyclingArranger[[#This Row],[ID_EC]],TR_5ExemptionClaim[ID_EC],0))))</f>
        <v/>
      </c>
      <c r="G251" s="45"/>
      <c r="H251" s="108"/>
      <c r="I251" s="47"/>
      <c r="J251" s="48"/>
      <c r="K251" s="47"/>
      <c r="L251" s="79">
        <f>IF(COUNTIFS(TR_6RecyclingArranger[ID_EC],TR_6RecyclingArranger[[#This Row],[ID_EC]],TR_6RecyclingArranger[Name of Third-Party Recycling Arranger],TR_6RecyclingArranger[[#This Row],[Name of Third-Party Recycling Arranger]])&gt;1,1,0)</f>
        <v>0</v>
      </c>
      <c r="M251" s="79">
        <f>IF(TR_6RecyclingArranger[[#This Row],[ID_EC]]="",0,IFERROR(0*MATCH(TR_6RecyclingArranger[[#This Row],[ID_EC]],TR_5ExemptionClaim[Lookup: for arranger tab],0),1))</f>
        <v>0</v>
      </c>
      <c r="N251" s="79">
        <f>IF(TR_6RecyclingArranger[[#This Row],[ID_EC]]="",0,IF(COUNTA(TR_6RecyclingArranger[[#This Row],[Name of Third-Party Recycling Arranger]],TR_6RecyclingArranger[[#This Row],[Pounds of Producer''s Material Recycled by this Recycling Arranger]:[Recycling Arranger Contact Email]])=7,0,1))</f>
        <v>0</v>
      </c>
      <c r="O251" s="79">
        <f>IF(TR_6RecyclingArranger[[#This Row],[ID_EC]]&lt;&gt;"",0,IF(COUNTA(TR_6RecyclingArranger[[#This Row],[Name of Third-Party Recycling Arranger]],TR_6RecyclingArranger[[#This Row],[Pounds of Producer''s Material Recycled by this Recycling Arranger]:[Recycling Arranger Contact Email]])&gt;0,1,0))</f>
        <v>0</v>
      </c>
      <c r="P251" s="79">
        <f>IF(TR_6RecyclingArranger[[#This Row],[Lookup: pounds (this table)]]&gt;TR_6RecyclingArranger[[#This Row],[Lookup: pounds (5B tab)]],1,0)</f>
        <v>0</v>
      </c>
      <c r="Q251" s="78">
        <f>SUMIFS(TR_6RecyclingArranger[Pounds of Producer''s Material Recycled by this Recycling Arranger],TR_6RecyclingArranger[ID_EC],TR_6RecyclingArranger[[#This Row],[ID_EC]])</f>
        <v>0</v>
      </c>
      <c r="R251" s="78">
        <f>IFERROR(INDEX(TR_5ExemptionClaim[How many of the pounds recycled through this pathway were supplied by this producer?],MATCH(TR_6RecyclingArranger[[#This Row],[ID_EC]],TR_5ExemptionClaim[ID_EC],0)),0)</f>
        <v>0</v>
      </c>
      <c r="S251" s="81" t="str">
        <f t="shared" si="3"/>
        <v/>
      </c>
      <c r="T251" s="40"/>
      <c r="U251" s="58"/>
    </row>
    <row r="252" spans="1:21" ht="30.75" customHeight="1" x14ac:dyDescent="0.2">
      <c r="A252" s="82" t="s">
        <v>636</v>
      </c>
      <c r="B252" s="46"/>
      <c r="C252" s="113"/>
      <c r="D252" s="215" t="str">
        <f>IF(TR_6RecyclingArranger[[#This Row],[ID_EC]]="","",INDEX(TR_5ExemptionClaim[End Market Name],MATCH(TR_6RecyclingArranger[[#This Row],[ID_EC]],TR_5ExemptionClaim[ID_EC],0)))</f>
        <v/>
      </c>
      <c r="E252" s="215" t="str">
        <f>IF(TR_6RecyclingArranger[[#This Row],[ID_EC]]="","",INDEX(TR_5ExemptionClaim[Collection or Transportation Service Provider Name],MATCH(TR_6RecyclingArranger[[#This Row],[ID_EC]],TR_5ExemptionClaim[ID_EC],0)))</f>
        <v/>
      </c>
      <c r="F252" s="215" t="str">
        <f>IF(TR_6RecyclingArranger[[#This Row],[ID_EC]]="","",IF(INDEX(TR_5ExemptionClaim[CRPF name],MATCH(TR_6RecyclingArranger[[#This Row],[ID_EC]],TR_5ExemptionClaim[ID_EC],0))=0,"None",INDEX(TR_5ExemptionClaim[CRPF name],MATCH(TR_6RecyclingArranger[[#This Row],[ID_EC]],TR_5ExemptionClaim[ID_EC],0))))</f>
        <v/>
      </c>
      <c r="G252" s="45"/>
      <c r="H252" s="108"/>
      <c r="I252" s="47"/>
      <c r="J252" s="48"/>
      <c r="K252" s="47"/>
      <c r="L252" s="79">
        <f>IF(COUNTIFS(TR_6RecyclingArranger[ID_EC],TR_6RecyclingArranger[[#This Row],[ID_EC]],TR_6RecyclingArranger[Name of Third-Party Recycling Arranger],TR_6RecyclingArranger[[#This Row],[Name of Third-Party Recycling Arranger]])&gt;1,1,0)</f>
        <v>0</v>
      </c>
      <c r="M252" s="79">
        <f>IF(TR_6RecyclingArranger[[#This Row],[ID_EC]]="",0,IFERROR(0*MATCH(TR_6RecyclingArranger[[#This Row],[ID_EC]],TR_5ExemptionClaim[Lookup: for arranger tab],0),1))</f>
        <v>0</v>
      </c>
      <c r="N252" s="79">
        <f>IF(TR_6RecyclingArranger[[#This Row],[ID_EC]]="",0,IF(COUNTA(TR_6RecyclingArranger[[#This Row],[Name of Third-Party Recycling Arranger]],TR_6RecyclingArranger[[#This Row],[Pounds of Producer''s Material Recycled by this Recycling Arranger]:[Recycling Arranger Contact Email]])=7,0,1))</f>
        <v>0</v>
      </c>
      <c r="O252" s="79">
        <f>IF(TR_6RecyclingArranger[[#This Row],[ID_EC]]&lt;&gt;"",0,IF(COUNTA(TR_6RecyclingArranger[[#This Row],[Name of Third-Party Recycling Arranger]],TR_6RecyclingArranger[[#This Row],[Pounds of Producer''s Material Recycled by this Recycling Arranger]:[Recycling Arranger Contact Email]])&gt;0,1,0))</f>
        <v>0</v>
      </c>
      <c r="P252" s="79">
        <f>IF(TR_6RecyclingArranger[[#This Row],[Lookup: pounds (this table)]]&gt;TR_6RecyclingArranger[[#This Row],[Lookup: pounds (5B tab)]],1,0)</f>
        <v>0</v>
      </c>
      <c r="Q252" s="78">
        <f>SUMIFS(TR_6RecyclingArranger[Pounds of Producer''s Material Recycled by this Recycling Arranger],TR_6RecyclingArranger[ID_EC],TR_6RecyclingArranger[[#This Row],[ID_EC]])</f>
        <v>0</v>
      </c>
      <c r="R252" s="78">
        <f>IFERROR(INDEX(TR_5ExemptionClaim[How many of the pounds recycled through this pathway were supplied by this producer?],MATCH(TR_6RecyclingArranger[[#This Row],[ID_EC]],TR_5ExemptionClaim[ID_EC],0)),0)</f>
        <v>0</v>
      </c>
      <c r="S252" s="81" t="str">
        <f t="shared" si="3"/>
        <v/>
      </c>
      <c r="T252" s="40"/>
      <c r="U252" s="58"/>
    </row>
    <row r="253" spans="1:21" ht="30.75" customHeight="1" x14ac:dyDescent="0.2">
      <c r="A253" s="82" t="s">
        <v>637</v>
      </c>
      <c r="B253" s="46"/>
      <c r="C253" s="113"/>
      <c r="D253" s="215" t="str">
        <f>IF(TR_6RecyclingArranger[[#This Row],[ID_EC]]="","",INDEX(TR_5ExemptionClaim[End Market Name],MATCH(TR_6RecyclingArranger[[#This Row],[ID_EC]],TR_5ExemptionClaim[ID_EC],0)))</f>
        <v/>
      </c>
      <c r="E253" s="215" t="str">
        <f>IF(TR_6RecyclingArranger[[#This Row],[ID_EC]]="","",INDEX(TR_5ExemptionClaim[Collection or Transportation Service Provider Name],MATCH(TR_6RecyclingArranger[[#This Row],[ID_EC]],TR_5ExemptionClaim[ID_EC],0)))</f>
        <v/>
      </c>
      <c r="F253" s="215" t="str">
        <f>IF(TR_6RecyclingArranger[[#This Row],[ID_EC]]="","",IF(INDEX(TR_5ExemptionClaim[CRPF name],MATCH(TR_6RecyclingArranger[[#This Row],[ID_EC]],TR_5ExemptionClaim[ID_EC],0))=0,"None",INDEX(TR_5ExemptionClaim[CRPF name],MATCH(TR_6RecyclingArranger[[#This Row],[ID_EC]],TR_5ExemptionClaim[ID_EC],0))))</f>
        <v/>
      </c>
      <c r="G253" s="45"/>
      <c r="H253" s="108"/>
      <c r="I253" s="47"/>
      <c r="J253" s="48"/>
      <c r="K253" s="47"/>
      <c r="L253" s="79">
        <f>IF(COUNTIFS(TR_6RecyclingArranger[ID_EC],TR_6RecyclingArranger[[#This Row],[ID_EC]],TR_6RecyclingArranger[Name of Third-Party Recycling Arranger],TR_6RecyclingArranger[[#This Row],[Name of Third-Party Recycling Arranger]])&gt;1,1,0)</f>
        <v>0</v>
      </c>
      <c r="M253" s="79">
        <f>IF(TR_6RecyclingArranger[[#This Row],[ID_EC]]="",0,IFERROR(0*MATCH(TR_6RecyclingArranger[[#This Row],[ID_EC]],TR_5ExemptionClaim[Lookup: for arranger tab],0),1))</f>
        <v>0</v>
      </c>
      <c r="N253" s="79">
        <f>IF(TR_6RecyclingArranger[[#This Row],[ID_EC]]="",0,IF(COUNTA(TR_6RecyclingArranger[[#This Row],[Name of Third-Party Recycling Arranger]],TR_6RecyclingArranger[[#This Row],[Pounds of Producer''s Material Recycled by this Recycling Arranger]:[Recycling Arranger Contact Email]])=7,0,1))</f>
        <v>0</v>
      </c>
      <c r="O253" s="79">
        <f>IF(TR_6RecyclingArranger[[#This Row],[ID_EC]]&lt;&gt;"",0,IF(COUNTA(TR_6RecyclingArranger[[#This Row],[Name of Third-Party Recycling Arranger]],TR_6RecyclingArranger[[#This Row],[Pounds of Producer''s Material Recycled by this Recycling Arranger]:[Recycling Arranger Contact Email]])&gt;0,1,0))</f>
        <v>0</v>
      </c>
      <c r="P253" s="79">
        <f>IF(TR_6RecyclingArranger[[#This Row],[Lookup: pounds (this table)]]&gt;TR_6RecyclingArranger[[#This Row],[Lookup: pounds (5B tab)]],1,0)</f>
        <v>0</v>
      </c>
      <c r="Q253" s="78">
        <f>SUMIFS(TR_6RecyclingArranger[Pounds of Producer''s Material Recycled by this Recycling Arranger],TR_6RecyclingArranger[ID_EC],TR_6RecyclingArranger[[#This Row],[ID_EC]])</f>
        <v>0</v>
      </c>
      <c r="R253" s="78">
        <f>IFERROR(INDEX(TR_5ExemptionClaim[How many of the pounds recycled through this pathway were supplied by this producer?],MATCH(TR_6RecyclingArranger[[#This Row],[ID_EC]],TR_5ExemptionClaim[ID_EC],0)),0)</f>
        <v>0</v>
      </c>
      <c r="S253" s="81" t="str">
        <f t="shared" si="3"/>
        <v/>
      </c>
      <c r="T253" s="40"/>
      <c r="U253" s="58"/>
    </row>
    <row r="254" spans="1:21" ht="30.75" customHeight="1" x14ac:dyDescent="0.2">
      <c r="A254" s="82" t="s">
        <v>638</v>
      </c>
      <c r="B254" s="46"/>
      <c r="C254" s="113"/>
      <c r="D254" s="215" t="str">
        <f>IF(TR_6RecyclingArranger[[#This Row],[ID_EC]]="","",INDEX(TR_5ExemptionClaim[End Market Name],MATCH(TR_6RecyclingArranger[[#This Row],[ID_EC]],TR_5ExemptionClaim[ID_EC],0)))</f>
        <v/>
      </c>
      <c r="E254" s="215" t="str">
        <f>IF(TR_6RecyclingArranger[[#This Row],[ID_EC]]="","",INDEX(TR_5ExemptionClaim[Collection or Transportation Service Provider Name],MATCH(TR_6RecyclingArranger[[#This Row],[ID_EC]],TR_5ExemptionClaim[ID_EC],0)))</f>
        <v/>
      </c>
      <c r="F254" s="215" t="str">
        <f>IF(TR_6RecyclingArranger[[#This Row],[ID_EC]]="","",IF(INDEX(TR_5ExemptionClaim[CRPF name],MATCH(TR_6RecyclingArranger[[#This Row],[ID_EC]],TR_5ExemptionClaim[ID_EC],0))=0,"None",INDEX(TR_5ExemptionClaim[CRPF name],MATCH(TR_6RecyclingArranger[[#This Row],[ID_EC]],TR_5ExemptionClaim[ID_EC],0))))</f>
        <v/>
      </c>
      <c r="G254" s="45"/>
      <c r="H254" s="108"/>
      <c r="I254" s="47"/>
      <c r="J254" s="48"/>
      <c r="K254" s="47"/>
      <c r="L254" s="79">
        <f>IF(COUNTIFS(TR_6RecyclingArranger[ID_EC],TR_6RecyclingArranger[[#This Row],[ID_EC]],TR_6RecyclingArranger[Name of Third-Party Recycling Arranger],TR_6RecyclingArranger[[#This Row],[Name of Third-Party Recycling Arranger]])&gt;1,1,0)</f>
        <v>0</v>
      </c>
      <c r="M254" s="79">
        <f>IF(TR_6RecyclingArranger[[#This Row],[ID_EC]]="",0,IFERROR(0*MATCH(TR_6RecyclingArranger[[#This Row],[ID_EC]],TR_5ExemptionClaim[Lookup: for arranger tab],0),1))</f>
        <v>0</v>
      </c>
      <c r="N254" s="79">
        <f>IF(TR_6RecyclingArranger[[#This Row],[ID_EC]]="",0,IF(COUNTA(TR_6RecyclingArranger[[#This Row],[Name of Third-Party Recycling Arranger]],TR_6RecyclingArranger[[#This Row],[Pounds of Producer''s Material Recycled by this Recycling Arranger]:[Recycling Arranger Contact Email]])=7,0,1))</f>
        <v>0</v>
      </c>
      <c r="O254" s="79">
        <f>IF(TR_6RecyclingArranger[[#This Row],[ID_EC]]&lt;&gt;"",0,IF(COUNTA(TR_6RecyclingArranger[[#This Row],[Name of Third-Party Recycling Arranger]],TR_6RecyclingArranger[[#This Row],[Pounds of Producer''s Material Recycled by this Recycling Arranger]:[Recycling Arranger Contact Email]])&gt;0,1,0))</f>
        <v>0</v>
      </c>
      <c r="P254" s="79">
        <f>IF(TR_6RecyclingArranger[[#This Row],[Lookup: pounds (this table)]]&gt;TR_6RecyclingArranger[[#This Row],[Lookup: pounds (5B tab)]],1,0)</f>
        <v>0</v>
      </c>
      <c r="Q254" s="78">
        <f>SUMIFS(TR_6RecyclingArranger[Pounds of Producer''s Material Recycled by this Recycling Arranger],TR_6RecyclingArranger[ID_EC],TR_6RecyclingArranger[[#This Row],[ID_EC]])</f>
        <v>0</v>
      </c>
      <c r="R254" s="78">
        <f>IFERROR(INDEX(TR_5ExemptionClaim[How many of the pounds recycled through this pathway were supplied by this producer?],MATCH(TR_6RecyclingArranger[[#This Row],[ID_EC]],TR_5ExemptionClaim[ID_EC],0)),0)</f>
        <v>0</v>
      </c>
      <c r="S254" s="81" t="str">
        <f t="shared" si="3"/>
        <v/>
      </c>
      <c r="T254" s="40"/>
      <c r="U254" s="58"/>
    </row>
    <row r="255" spans="1:21" ht="30.75" customHeight="1" x14ac:dyDescent="0.2">
      <c r="A255" s="82" t="s">
        <v>639</v>
      </c>
      <c r="B255" s="46"/>
      <c r="C255" s="113"/>
      <c r="D255" s="215" t="str">
        <f>IF(TR_6RecyclingArranger[[#This Row],[ID_EC]]="","",INDEX(TR_5ExemptionClaim[End Market Name],MATCH(TR_6RecyclingArranger[[#This Row],[ID_EC]],TR_5ExemptionClaim[ID_EC],0)))</f>
        <v/>
      </c>
      <c r="E255" s="215" t="str">
        <f>IF(TR_6RecyclingArranger[[#This Row],[ID_EC]]="","",INDEX(TR_5ExemptionClaim[Collection or Transportation Service Provider Name],MATCH(TR_6RecyclingArranger[[#This Row],[ID_EC]],TR_5ExemptionClaim[ID_EC],0)))</f>
        <v/>
      </c>
      <c r="F255" s="215" t="str">
        <f>IF(TR_6RecyclingArranger[[#This Row],[ID_EC]]="","",IF(INDEX(TR_5ExemptionClaim[CRPF name],MATCH(TR_6RecyclingArranger[[#This Row],[ID_EC]],TR_5ExemptionClaim[ID_EC],0))=0,"None",INDEX(TR_5ExemptionClaim[CRPF name],MATCH(TR_6RecyclingArranger[[#This Row],[ID_EC]],TR_5ExemptionClaim[ID_EC],0))))</f>
        <v/>
      </c>
      <c r="G255" s="45"/>
      <c r="H255" s="108"/>
      <c r="I255" s="47"/>
      <c r="J255" s="48"/>
      <c r="K255" s="47"/>
      <c r="L255" s="79">
        <f>IF(COUNTIFS(TR_6RecyclingArranger[ID_EC],TR_6RecyclingArranger[[#This Row],[ID_EC]],TR_6RecyclingArranger[Name of Third-Party Recycling Arranger],TR_6RecyclingArranger[[#This Row],[Name of Third-Party Recycling Arranger]])&gt;1,1,0)</f>
        <v>0</v>
      </c>
      <c r="M255" s="79">
        <f>IF(TR_6RecyclingArranger[[#This Row],[ID_EC]]="",0,IFERROR(0*MATCH(TR_6RecyclingArranger[[#This Row],[ID_EC]],TR_5ExemptionClaim[Lookup: for arranger tab],0),1))</f>
        <v>0</v>
      </c>
      <c r="N255" s="79">
        <f>IF(TR_6RecyclingArranger[[#This Row],[ID_EC]]="",0,IF(COUNTA(TR_6RecyclingArranger[[#This Row],[Name of Third-Party Recycling Arranger]],TR_6RecyclingArranger[[#This Row],[Pounds of Producer''s Material Recycled by this Recycling Arranger]:[Recycling Arranger Contact Email]])=7,0,1))</f>
        <v>0</v>
      </c>
      <c r="O255" s="79">
        <f>IF(TR_6RecyclingArranger[[#This Row],[ID_EC]]&lt;&gt;"",0,IF(COUNTA(TR_6RecyclingArranger[[#This Row],[Name of Third-Party Recycling Arranger]],TR_6RecyclingArranger[[#This Row],[Pounds of Producer''s Material Recycled by this Recycling Arranger]:[Recycling Arranger Contact Email]])&gt;0,1,0))</f>
        <v>0</v>
      </c>
      <c r="P255" s="79">
        <f>IF(TR_6RecyclingArranger[[#This Row],[Lookup: pounds (this table)]]&gt;TR_6RecyclingArranger[[#This Row],[Lookup: pounds (5B tab)]],1,0)</f>
        <v>0</v>
      </c>
      <c r="Q255" s="78">
        <f>SUMIFS(TR_6RecyclingArranger[Pounds of Producer''s Material Recycled by this Recycling Arranger],TR_6RecyclingArranger[ID_EC],TR_6RecyclingArranger[[#This Row],[ID_EC]])</f>
        <v>0</v>
      </c>
      <c r="R255" s="78">
        <f>IFERROR(INDEX(TR_5ExemptionClaim[How many of the pounds recycled through this pathway were supplied by this producer?],MATCH(TR_6RecyclingArranger[[#This Row],[ID_EC]],TR_5ExemptionClaim[ID_EC],0)),0)</f>
        <v>0</v>
      </c>
      <c r="S255" s="81" t="str">
        <f t="shared" si="3"/>
        <v/>
      </c>
      <c r="T255" s="40"/>
      <c r="U255" s="58"/>
    </row>
    <row r="256" spans="1:21" ht="30.75" customHeight="1" x14ac:dyDescent="0.2">
      <c r="A256" s="82" t="s">
        <v>640</v>
      </c>
      <c r="B256" s="46"/>
      <c r="C256" s="113"/>
      <c r="D256" s="215" t="str">
        <f>IF(TR_6RecyclingArranger[[#This Row],[ID_EC]]="","",INDEX(TR_5ExemptionClaim[End Market Name],MATCH(TR_6RecyclingArranger[[#This Row],[ID_EC]],TR_5ExemptionClaim[ID_EC],0)))</f>
        <v/>
      </c>
      <c r="E256" s="215" t="str">
        <f>IF(TR_6RecyclingArranger[[#This Row],[ID_EC]]="","",INDEX(TR_5ExemptionClaim[Collection or Transportation Service Provider Name],MATCH(TR_6RecyclingArranger[[#This Row],[ID_EC]],TR_5ExemptionClaim[ID_EC],0)))</f>
        <v/>
      </c>
      <c r="F256" s="215" t="str">
        <f>IF(TR_6RecyclingArranger[[#This Row],[ID_EC]]="","",IF(INDEX(TR_5ExemptionClaim[CRPF name],MATCH(TR_6RecyclingArranger[[#This Row],[ID_EC]],TR_5ExemptionClaim[ID_EC],0))=0,"None",INDEX(TR_5ExemptionClaim[CRPF name],MATCH(TR_6RecyclingArranger[[#This Row],[ID_EC]],TR_5ExemptionClaim[ID_EC],0))))</f>
        <v/>
      </c>
      <c r="G256" s="45"/>
      <c r="H256" s="108"/>
      <c r="I256" s="47"/>
      <c r="J256" s="48"/>
      <c r="K256" s="47"/>
      <c r="L256" s="79">
        <f>IF(COUNTIFS(TR_6RecyclingArranger[ID_EC],TR_6RecyclingArranger[[#This Row],[ID_EC]],TR_6RecyclingArranger[Name of Third-Party Recycling Arranger],TR_6RecyclingArranger[[#This Row],[Name of Third-Party Recycling Arranger]])&gt;1,1,0)</f>
        <v>0</v>
      </c>
      <c r="M256" s="79">
        <f>IF(TR_6RecyclingArranger[[#This Row],[ID_EC]]="",0,IFERROR(0*MATCH(TR_6RecyclingArranger[[#This Row],[ID_EC]],TR_5ExemptionClaim[Lookup: for arranger tab],0),1))</f>
        <v>0</v>
      </c>
      <c r="N256" s="79">
        <f>IF(TR_6RecyclingArranger[[#This Row],[ID_EC]]="",0,IF(COUNTA(TR_6RecyclingArranger[[#This Row],[Name of Third-Party Recycling Arranger]],TR_6RecyclingArranger[[#This Row],[Pounds of Producer''s Material Recycled by this Recycling Arranger]:[Recycling Arranger Contact Email]])=7,0,1))</f>
        <v>0</v>
      </c>
      <c r="O256" s="79">
        <f>IF(TR_6RecyclingArranger[[#This Row],[ID_EC]]&lt;&gt;"",0,IF(COUNTA(TR_6RecyclingArranger[[#This Row],[Name of Third-Party Recycling Arranger]],TR_6RecyclingArranger[[#This Row],[Pounds of Producer''s Material Recycled by this Recycling Arranger]:[Recycling Arranger Contact Email]])&gt;0,1,0))</f>
        <v>0</v>
      </c>
      <c r="P256" s="79">
        <f>IF(TR_6RecyclingArranger[[#This Row],[Lookup: pounds (this table)]]&gt;TR_6RecyclingArranger[[#This Row],[Lookup: pounds (5B tab)]],1,0)</f>
        <v>0</v>
      </c>
      <c r="Q256" s="78">
        <f>SUMIFS(TR_6RecyclingArranger[Pounds of Producer''s Material Recycled by this Recycling Arranger],TR_6RecyclingArranger[ID_EC],TR_6RecyclingArranger[[#This Row],[ID_EC]])</f>
        <v>0</v>
      </c>
      <c r="R256" s="78">
        <f>IFERROR(INDEX(TR_5ExemptionClaim[How many of the pounds recycled through this pathway were supplied by this producer?],MATCH(TR_6RecyclingArranger[[#This Row],[ID_EC]],TR_5ExemptionClaim[ID_EC],0)),0)</f>
        <v>0</v>
      </c>
      <c r="S256" s="81" t="str">
        <f t="shared" si="3"/>
        <v/>
      </c>
      <c r="T256" s="40"/>
      <c r="U256" s="58"/>
    </row>
    <row r="257" spans="1:21" ht="30.75" customHeight="1" x14ac:dyDescent="0.2">
      <c r="A257" s="82" t="s">
        <v>641</v>
      </c>
      <c r="B257" s="46"/>
      <c r="C257" s="113"/>
      <c r="D257" s="215" t="str">
        <f>IF(TR_6RecyclingArranger[[#This Row],[ID_EC]]="","",INDEX(TR_5ExemptionClaim[End Market Name],MATCH(TR_6RecyclingArranger[[#This Row],[ID_EC]],TR_5ExemptionClaim[ID_EC],0)))</f>
        <v/>
      </c>
      <c r="E257" s="215" t="str">
        <f>IF(TR_6RecyclingArranger[[#This Row],[ID_EC]]="","",INDEX(TR_5ExemptionClaim[Collection or Transportation Service Provider Name],MATCH(TR_6RecyclingArranger[[#This Row],[ID_EC]],TR_5ExemptionClaim[ID_EC],0)))</f>
        <v/>
      </c>
      <c r="F257" s="215" t="str">
        <f>IF(TR_6RecyclingArranger[[#This Row],[ID_EC]]="","",IF(INDEX(TR_5ExemptionClaim[CRPF name],MATCH(TR_6RecyclingArranger[[#This Row],[ID_EC]],TR_5ExemptionClaim[ID_EC],0))=0,"None",INDEX(TR_5ExemptionClaim[CRPF name],MATCH(TR_6RecyclingArranger[[#This Row],[ID_EC]],TR_5ExemptionClaim[ID_EC],0))))</f>
        <v/>
      </c>
      <c r="G257" s="45"/>
      <c r="H257" s="108"/>
      <c r="I257" s="47"/>
      <c r="J257" s="48"/>
      <c r="K257" s="47"/>
      <c r="L257" s="79">
        <f>IF(COUNTIFS(TR_6RecyclingArranger[ID_EC],TR_6RecyclingArranger[[#This Row],[ID_EC]],TR_6RecyclingArranger[Name of Third-Party Recycling Arranger],TR_6RecyclingArranger[[#This Row],[Name of Third-Party Recycling Arranger]])&gt;1,1,0)</f>
        <v>0</v>
      </c>
      <c r="M257" s="79">
        <f>IF(TR_6RecyclingArranger[[#This Row],[ID_EC]]="",0,IFERROR(0*MATCH(TR_6RecyclingArranger[[#This Row],[ID_EC]],TR_5ExemptionClaim[Lookup: for arranger tab],0),1))</f>
        <v>0</v>
      </c>
      <c r="N257" s="79">
        <f>IF(TR_6RecyclingArranger[[#This Row],[ID_EC]]="",0,IF(COUNTA(TR_6RecyclingArranger[[#This Row],[Name of Third-Party Recycling Arranger]],TR_6RecyclingArranger[[#This Row],[Pounds of Producer''s Material Recycled by this Recycling Arranger]:[Recycling Arranger Contact Email]])=7,0,1))</f>
        <v>0</v>
      </c>
      <c r="O257" s="79">
        <f>IF(TR_6RecyclingArranger[[#This Row],[ID_EC]]&lt;&gt;"",0,IF(COUNTA(TR_6RecyclingArranger[[#This Row],[Name of Third-Party Recycling Arranger]],TR_6RecyclingArranger[[#This Row],[Pounds of Producer''s Material Recycled by this Recycling Arranger]:[Recycling Arranger Contact Email]])&gt;0,1,0))</f>
        <v>0</v>
      </c>
      <c r="P257" s="79">
        <f>IF(TR_6RecyclingArranger[[#This Row],[Lookup: pounds (this table)]]&gt;TR_6RecyclingArranger[[#This Row],[Lookup: pounds (5B tab)]],1,0)</f>
        <v>0</v>
      </c>
      <c r="Q257" s="78">
        <f>SUMIFS(TR_6RecyclingArranger[Pounds of Producer''s Material Recycled by this Recycling Arranger],TR_6RecyclingArranger[ID_EC],TR_6RecyclingArranger[[#This Row],[ID_EC]])</f>
        <v>0</v>
      </c>
      <c r="R257" s="78">
        <f>IFERROR(INDEX(TR_5ExemptionClaim[How many of the pounds recycled through this pathway were supplied by this producer?],MATCH(TR_6RecyclingArranger[[#This Row],[ID_EC]],TR_5ExemptionClaim[ID_EC],0)),0)</f>
        <v>0</v>
      </c>
      <c r="S257" s="81" t="str">
        <f t="shared" si="3"/>
        <v/>
      </c>
      <c r="T257" s="40"/>
      <c r="U257" s="58"/>
    </row>
    <row r="258" spans="1:21" ht="30.75" customHeight="1" x14ac:dyDescent="0.2">
      <c r="A258" s="82" t="s">
        <v>642</v>
      </c>
      <c r="B258" s="46"/>
      <c r="C258" s="113"/>
      <c r="D258" s="215" t="str">
        <f>IF(TR_6RecyclingArranger[[#This Row],[ID_EC]]="","",INDEX(TR_5ExemptionClaim[End Market Name],MATCH(TR_6RecyclingArranger[[#This Row],[ID_EC]],TR_5ExemptionClaim[ID_EC],0)))</f>
        <v/>
      </c>
      <c r="E258" s="215" t="str">
        <f>IF(TR_6RecyclingArranger[[#This Row],[ID_EC]]="","",INDEX(TR_5ExemptionClaim[Collection or Transportation Service Provider Name],MATCH(TR_6RecyclingArranger[[#This Row],[ID_EC]],TR_5ExemptionClaim[ID_EC],0)))</f>
        <v/>
      </c>
      <c r="F258" s="215" t="str">
        <f>IF(TR_6RecyclingArranger[[#This Row],[ID_EC]]="","",IF(INDEX(TR_5ExemptionClaim[CRPF name],MATCH(TR_6RecyclingArranger[[#This Row],[ID_EC]],TR_5ExemptionClaim[ID_EC],0))=0,"None",INDEX(TR_5ExemptionClaim[CRPF name],MATCH(TR_6RecyclingArranger[[#This Row],[ID_EC]],TR_5ExemptionClaim[ID_EC],0))))</f>
        <v/>
      </c>
      <c r="G258" s="45"/>
      <c r="H258" s="108"/>
      <c r="I258" s="47"/>
      <c r="J258" s="48"/>
      <c r="K258" s="47"/>
      <c r="L258" s="79">
        <f>IF(COUNTIFS(TR_6RecyclingArranger[ID_EC],TR_6RecyclingArranger[[#This Row],[ID_EC]],TR_6RecyclingArranger[Name of Third-Party Recycling Arranger],TR_6RecyclingArranger[[#This Row],[Name of Third-Party Recycling Arranger]])&gt;1,1,0)</f>
        <v>0</v>
      </c>
      <c r="M258" s="79">
        <f>IF(TR_6RecyclingArranger[[#This Row],[ID_EC]]="",0,IFERROR(0*MATCH(TR_6RecyclingArranger[[#This Row],[ID_EC]],TR_5ExemptionClaim[Lookup: for arranger tab],0),1))</f>
        <v>0</v>
      </c>
      <c r="N258" s="79">
        <f>IF(TR_6RecyclingArranger[[#This Row],[ID_EC]]="",0,IF(COUNTA(TR_6RecyclingArranger[[#This Row],[Name of Third-Party Recycling Arranger]],TR_6RecyclingArranger[[#This Row],[Pounds of Producer''s Material Recycled by this Recycling Arranger]:[Recycling Arranger Contact Email]])=7,0,1))</f>
        <v>0</v>
      </c>
      <c r="O258" s="79">
        <f>IF(TR_6RecyclingArranger[[#This Row],[ID_EC]]&lt;&gt;"",0,IF(COUNTA(TR_6RecyclingArranger[[#This Row],[Name of Third-Party Recycling Arranger]],TR_6RecyclingArranger[[#This Row],[Pounds of Producer''s Material Recycled by this Recycling Arranger]:[Recycling Arranger Contact Email]])&gt;0,1,0))</f>
        <v>0</v>
      </c>
      <c r="P258" s="79">
        <f>IF(TR_6RecyclingArranger[[#This Row],[Lookup: pounds (this table)]]&gt;TR_6RecyclingArranger[[#This Row],[Lookup: pounds (5B tab)]],1,0)</f>
        <v>0</v>
      </c>
      <c r="Q258" s="78">
        <f>SUMIFS(TR_6RecyclingArranger[Pounds of Producer''s Material Recycled by this Recycling Arranger],TR_6RecyclingArranger[ID_EC],TR_6RecyclingArranger[[#This Row],[ID_EC]])</f>
        <v>0</v>
      </c>
      <c r="R258" s="78">
        <f>IFERROR(INDEX(TR_5ExemptionClaim[How many of the pounds recycled through this pathway were supplied by this producer?],MATCH(TR_6RecyclingArranger[[#This Row],[ID_EC]],TR_5ExemptionClaim[ID_EC],0)),0)</f>
        <v>0</v>
      </c>
      <c r="S258" s="81" t="str">
        <f t="shared" si="3"/>
        <v/>
      </c>
      <c r="T258" s="40"/>
      <c r="U258" s="58"/>
    </row>
    <row r="259" spans="1:21" ht="30.75" customHeight="1" x14ac:dyDescent="0.2">
      <c r="A259" s="82" t="s">
        <v>643</v>
      </c>
      <c r="B259" s="46"/>
      <c r="C259" s="113"/>
      <c r="D259" s="215" t="str">
        <f>IF(TR_6RecyclingArranger[[#This Row],[ID_EC]]="","",INDEX(TR_5ExemptionClaim[End Market Name],MATCH(TR_6RecyclingArranger[[#This Row],[ID_EC]],TR_5ExemptionClaim[ID_EC],0)))</f>
        <v/>
      </c>
      <c r="E259" s="215" t="str">
        <f>IF(TR_6RecyclingArranger[[#This Row],[ID_EC]]="","",INDEX(TR_5ExemptionClaim[Collection or Transportation Service Provider Name],MATCH(TR_6RecyclingArranger[[#This Row],[ID_EC]],TR_5ExemptionClaim[ID_EC],0)))</f>
        <v/>
      </c>
      <c r="F259" s="215" t="str">
        <f>IF(TR_6RecyclingArranger[[#This Row],[ID_EC]]="","",IF(INDEX(TR_5ExemptionClaim[CRPF name],MATCH(TR_6RecyclingArranger[[#This Row],[ID_EC]],TR_5ExemptionClaim[ID_EC],0))=0,"None",INDEX(TR_5ExemptionClaim[CRPF name],MATCH(TR_6RecyclingArranger[[#This Row],[ID_EC]],TR_5ExemptionClaim[ID_EC],0))))</f>
        <v/>
      </c>
      <c r="G259" s="45"/>
      <c r="H259" s="108"/>
      <c r="I259" s="47"/>
      <c r="J259" s="48"/>
      <c r="K259" s="47"/>
      <c r="L259" s="79">
        <f>IF(COUNTIFS(TR_6RecyclingArranger[ID_EC],TR_6RecyclingArranger[[#This Row],[ID_EC]],TR_6RecyclingArranger[Name of Third-Party Recycling Arranger],TR_6RecyclingArranger[[#This Row],[Name of Third-Party Recycling Arranger]])&gt;1,1,0)</f>
        <v>0</v>
      </c>
      <c r="M259" s="79">
        <f>IF(TR_6RecyclingArranger[[#This Row],[ID_EC]]="",0,IFERROR(0*MATCH(TR_6RecyclingArranger[[#This Row],[ID_EC]],TR_5ExemptionClaim[Lookup: for arranger tab],0),1))</f>
        <v>0</v>
      </c>
      <c r="N259" s="79">
        <f>IF(TR_6RecyclingArranger[[#This Row],[ID_EC]]="",0,IF(COUNTA(TR_6RecyclingArranger[[#This Row],[Name of Third-Party Recycling Arranger]],TR_6RecyclingArranger[[#This Row],[Pounds of Producer''s Material Recycled by this Recycling Arranger]:[Recycling Arranger Contact Email]])=7,0,1))</f>
        <v>0</v>
      </c>
      <c r="O259" s="79">
        <f>IF(TR_6RecyclingArranger[[#This Row],[ID_EC]]&lt;&gt;"",0,IF(COUNTA(TR_6RecyclingArranger[[#This Row],[Name of Third-Party Recycling Arranger]],TR_6RecyclingArranger[[#This Row],[Pounds of Producer''s Material Recycled by this Recycling Arranger]:[Recycling Arranger Contact Email]])&gt;0,1,0))</f>
        <v>0</v>
      </c>
      <c r="P259" s="79">
        <f>IF(TR_6RecyclingArranger[[#This Row],[Lookup: pounds (this table)]]&gt;TR_6RecyclingArranger[[#This Row],[Lookup: pounds (5B tab)]],1,0)</f>
        <v>0</v>
      </c>
      <c r="Q259" s="78">
        <f>SUMIFS(TR_6RecyclingArranger[Pounds of Producer''s Material Recycled by this Recycling Arranger],TR_6RecyclingArranger[ID_EC],TR_6RecyclingArranger[[#This Row],[ID_EC]])</f>
        <v>0</v>
      </c>
      <c r="R259" s="78">
        <f>IFERROR(INDEX(TR_5ExemptionClaim[How many of the pounds recycled through this pathway were supplied by this producer?],MATCH(TR_6RecyclingArranger[[#This Row],[ID_EC]],TR_5ExemptionClaim[ID_EC],0)),0)</f>
        <v>0</v>
      </c>
      <c r="S259" s="81" t="str">
        <f t="shared" si="3"/>
        <v/>
      </c>
      <c r="T259" s="40"/>
      <c r="U259" s="58"/>
    </row>
    <row r="260" spans="1:21" ht="30.75" customHeight="1" x14ac:dyDescent="0.2">
      <c r="A260" s="82" t="s">
        <v>644</v>
      </c>
      <c r="B260" s="46"/>
      <c r="C260" s="113"/>
      <c r="D260" s="215" t="str">
        <f>IF(TR_6RecyclingArranger[[#This Row],[ID_EC]]="","",INDEX(TR_5ExemptionClaim[End Market Name],MATCH(TR_6RecyclingArranger[[#This Row],[ID_EC]],TR_5ExemptionClaim[ID_EC],0)))</f>
        <v/>
      </c>
      <c r="E260" s="215" t="str">
        <f>IF(TR_6RecyclingArranger[[#This Row],[ID_EC]]="","",INDEX(TR_5ExemptionClaim[Collection or Transportation Service Provider Name],MATCH(TR_6RecyclingArranger[[#This Row],[ID_EC]],TR_5ExemptionClaim[ID_EC],0)))</f>
        <v/>
      </c>
      <c r="F260" s="215" t="str">
        <f>IF(TR_6RecyclingArranger[[#This Row],[ID_EC]]="","",IF(INDEX(TR_5ExemptionClaim[CRPF name],MATCH(TR_6RecyclingArranger[[#This Row],[ID_EC]],TR_5ExemptionClaim[ID_EC],0))=0,"None",INDEX(TR_5ExemptionClaim[CRPF name],MATCH(TR_6RecyclingArranger[[#This Row],[ID_EC]],TR_5ExemptionClaim[ID_EC],0))))</f>
        <v/>
      </c>
      <c r="G260" s="45"/>
      <c r="H260" s="108"/>
      <c r="I260" s="47"/>
      <c r="J260" s="48"/>
      <c r="K260" s="47"/>
      <c r="L260" s="79">
        <f>IF(COUNTIFS(TR_6RecyclingArranger[ID_EC],TR_6RecyclingArranger[[#This Row],[ID_EC]],TR_6RecyclingArranger[Name of Third-Party Recycling Arranger],TR_6RecyclingArranger[[#This Row],[Name of Third-Party Recycling Arranger]])&gt;1,1,0)</f>
        <v>0</v>
      </c>
      <c r="M260" s="79">
        <f>IF(TR_6RecyclingArranger[[#This Row],[ID_EC]]="",0,IFERROR(0*MATCH(TR_6RecyclingArranger[[#This Row],[ID_EC]],TR_5ExemptionClaim[Lookup: for arranger tab],0),1))</f>
        <v>0</v>
      </c>
      <c r="N260" s="79">
        <f>IF(TR_6RecyclingArranger[[#This Row],[ID_EC]]="",0,IF(COUNTA(TR_6RecyclingArranger[[#This Row],[Name of Third-Party Recycling Arranger]],TR_6RecyclingArranger[[#This Row],[Pounds of Producer''s Material Recycled by this Recycling Arranger]:[Recycling Arranger Contact Email]])=7,0,1))</f>
        <v>0</v>
      </c>
      <c r="O260" s="79">
        <f>IF(TR_6RecyclingArranger[[#This Row],[ID_EC]]&lt;&gt;"",0,IF(COUNTA(TR_6RecyclingArranger[[#This Row],[Name of Third-Party Recycling Arranger]],TR_6RecyclingArranger[[#This Row],[Pounds of Producer''s Material Recycled by this Recycling Arranger]:[Recycling Arranger Contact Email]])&gt;0,1,0))</f>
        <v>0</v>
      </c>
      <c r="P260" s="79">
        <f>IF(TR_6RecyclingArranger[[#This Row],[Lookup: pounds (this table)]]&gt;TR_6RecyclingArranger[[#This Row],[Lookup: pounds (5B tab)]],1,0)</f>
        <v>0</v>
      </c>
      <c r="Q260" s="78">
        <f>SUMIFS(TR_6RecyclingArranger[Pounds of Producer''s Material Recycled by this Recycling Arranger],TR_6RecyclingArranger[ID_EC],TR_6RecyclingArranger[[#This Row],[ID_EC]])</f>
        <v>0</v>
      </c>
      <c r="R260" s="78">
        <f>IFERROR(INDEX(TR_5ExemptionClaim[How many of the pounds recycled through this pathway were supplied by this producer?],MATCH(TR_6RecyclingArranger[[#This Row],[ID_EC]],TR_5ExemptionClaim[ID_EC],0)),0)</f>
        <v>0</v>
      </c>
      <c r="S260" s="81" t="str">
        <f t="shared" si="3"/>
        <v/>
      </c>
      <c r="T260" s="40"/>
      <c r="U260" s="58"/>
    </row>
    <row r="261" spans="1:21" ht="30.75" customHeight="1" x14ac:dyDescent="0.2">
      <c r="A261" s="82" t="s">
        <v>645</v>
      </c>
      <c r="B261" s="46"/>
      <c r="C261" s="113"/>
      <c r="D261" s="215" t="str">
        <f>IF(TR_6RecyclingArranger[[#This Row],[ID_EC]]="","",INDEX(TR_5ExemptionClaim[End Market Name],MATCH(TR_6RecyclingArranger[[#This Row],[ID_EC]],TR_5ExemptionClaim[ID_EC],0)))</f>
        <v/>
      </c>
      <c r="E261" s="215" t="str">
        <f>IF(TR_6RecyclingArranger[[#This Row],[ID_EC]]="","",INDEX(TR_5ExemptionClaim[Collection or Transportation Service Provider Name],MATCH(TR_6RecyclingArranger[[#This Row],[ID_EC]],TR_5ExemptionClaim[ID_EC],0)))</f>
        <v/>
      </c>
      <c r="F261" s="215" t="str">
        <f>IF(TR_6RecyclingArranger[[#This Row],[ID_EC]]="","",IF(INDEX(TR_5ExemptionClaim[CRPF name],MATCH(TR_6RecyclingArranger[[#This Row],[ID_EC]],TR_5ExemptionClaim[ID_EC],0))=0,"None",INDEX(TR_5ExemptionClaim[CRPF name],MATCH(TR_6RecyclingArranger[[#This Row],[ID_EC]],TR_5ExemptionClaim[ID_EC],0))))</f>
        <v/>
      </c>
      <c r="G261" s="45"/>
      <c r="H261" s="108"/>
      <c r="I261" s="47"/>
      <c r="J261" s="48"/>
      <c r="K261" s="47"/>
      <c r="L261" s="79">
        <f>IF(COUNTIFS(TR_6RecyclingArranger[ID_EC],TR_6RecyclingArranger[[#This Row],[ID_EC]],TR_6RecyclingArranger[Name of Third-Party Recycling Arranger],TR_6RecyclingArranger[[#This Row],[Name of Third-Party Recycling Arranger]])&gt;1,1,0)</f>
        <v>0</v>
      </c>
      <c r="M261" s="79">
        <f>IF(TR_6RecyclingArranger[[#This Row],[ID_EC]]="",0,IFERROR(0*MATCH(TR_6RecyclingArranger[[#This Row],[ID_EC]],TR_5ExemptionClaim[Lookup: for arranger tab],0),1))</f>
        <v>0</v>
      </c>
      <c r="N261" s="79">
        <f>IF(TR_6RecyclingArranger[[#This Row],[ID_EC]]="",0,IF(COUNTA(TR_6RecyclingArranger[[#This Row],[Name of Third-Party Recycling Arranger]],TR_6RecyclingArranger[[#This Row],[Pounds of Producer''s Material Recycled by this Recycling Arranger]:[Recycling Arranger Contact Email]])=7,0,1))</f>
        <v>0</v>
      </c>
      <c r="O261" s="79">
        <f>IF(TR_6RecyclingArranger[[#This Row],[ID_EC]]&lt;&gt;"",0,IF(COUNTA(TR_6RecyclingArranger[[#This Row],[Name of Third-Party Recycling Arranger]],TR_6RecyclingArranger[[#This Row],[Pounds of Producer''s Material Recycled by this Recycling Arranger]:[Recycling Arranger Contact Email]])&gt;0,1,0))</f>
        <v>0</v>
      </c>
      <c r="P261" s="79">
        <f>IF(TR_6RecyclingArranger[[#This Row],[Lookup: pounds (this table)]]&gt;TR_6RecyclingArranger[[#This Row],[Lookup: pounds (5B tab)]],1,0)</f>
        <v>0</v>
      </c>
      <c r="Q261" s="78">
        <f>SUMIFS(TR_6RecyclingArranger[Pounds of Producer''s Material Recycled by this Recycling Arranger],TR_6RecyclingArranger[ID_EC],TR_6RecyclingArranger[[#This Row],[ID_EC]])</f>
        <v>0</v>
      </c>
      <c r="R261" s="78">
        <f>IFERROR(INDEX(TR_5ExemptionClaim[How many of the pounds recycled through this pathway were supplied by this producer?],MATCH(TR_6RecyclingArranger[[#This Row],[ID_EC]],TR_5ExemptionClaim[ID_EC],0)),0)</f>
        <v>0</v>
      </c>
      <c r="S261" s="81" t="str">
        <f t="shared" si="3"/>
        <v/>
      </c>
      <c r="T261" s="40"/>
      <c r="U261" s="58"/>
    </row>
    <row r="262" spans="1:21" ht="30.75" customHeight="1" x14ac:dyDescent="0.2">
      <c r="A262" s="82" t="s">
        <v>646</v>
      </c>
      <c r="B262" s="46"/>
      <c r="C262" s="113"/>
      <c r="D262" s="215" t="str">
        <f>IF(TR_6RecyclingArranger[[#This Row],[ID_EC]]="","",INDEX(TR_5ExemptionClaim[End Market Name],MATCH(TR_6RecyclingArranger[[#This Row],[ID_EC]],TR_5ExemptionClaim[ID_EC],0)))</f>
        <v/>
      </c>
      <c r="E262" s="215" t="str">
        <f>IF(TR_6RecyclingArranger[[#This Row],[ID_EC]]="","",INDEX(TR_5ExemptionClaim[Collection or Transportation Service Provider Name],MATCH(TR_6RecyclingArranger[[#This Row],[ID_EC]],TR_5ExemptionClaim[ID_EC],0)))</f>
        <v/>
      </c>
      <c r="F262" s="215" t="str">
        <f>IF(TR_6RecyclingArranger[[#This Row],[ID_EC]]="","",IF(INDEX(TR_5ExemptionClaim[CRPF name],MATCH(TR_6RecyclingArranger[[#This Row],[ID_EC]],TR_5ExemptionClaim[ID_EC],0))=0,"None",INDEX(TR_5ExemptionClaim[CRPF name],MATCH(TR_6RecyclingArranger[[#This Row],[ID_EC]],TR_5ExemptionClaim[ID_EC],0))))</f>
        <v/>
      </c>
      <c r="G262" s="45"/>
      <c r="H262" s="108"/>
      <c r="I262" s="47"/>
      <c r="J262" s="48"/>
      <c r="K262" s="47"/>
      <c r="L262" s="79">
        <f>IF(COUNTIFS(TR_6RecyclingArranger[ID_EC],TR_6RecyclingArranger[[#This Row],[ID_EC]],TR_6RecyclingArranger[Name of Third-Party Recycling Arranger],TR_6RecyclingArranger[[#This Row],[Name of Third-Party Recycling Arranger]])&gt;1,1,0)</f>
        <v>0</v>
      </c>
      <c r="M262" s="79">
        <f>IF(TR_6RecyclingArranger[[#This Row],[ID_EC]]="",0,IFERROR(0*MATCH(TR_6RecyclingArranger[[#This Row],[ID_EC]],TR_5ExemptionClaim[Lookup: for arranger tab],0),1))</f>
        <v>0</v>
      </c>
      <c r="N262" s="79">
        <f>IF(TR_6RecyclingArranger[[#This Row],[ID_EC]]="",0,IF(COUNTA(TR_6RecyclingArranger[[#This Row],[Name of Third-Party Recycling Arranger]],TR_6RecyclingArranger[[#This Row],[Pounds of Producer''s Material Recycled by this Recycling Arranger]:[Recycling Arranger Contact Email]])=7,0,1))</f>
        <v>0</v>
      </c>
      <c r="O262" s="79">
        <f>IF(TR_6RecyclingArranger[[#This Row],[ID_EC]]&lt;&gt;"",0,IF(COUNTA(TR_6RecyclingArranger[[#This Row],[Name of Third-Party Recycling Arranger]],TR_6RecyclingArranger[[#This Row],[Pounds of Producer''s Material Recycled by this Recycling Arranger]:[Recycling Arranger Contact Email]])&gt;0,1,0))</f>
        <v>0</v>
      </c>
      <c r="P262" s="79">
        <f>IF(TR_6RecyclingArranger[[#This Row],[Lookup: pounds (this table)]]&gt;TR_6RecyclingArranger[[#This Row],[Lookup: pounds (5B tab)]],1,0)</f>
        <v>0</v>
      </c>
      <c r="Q262" s="78">
        <f>SUMIFS(TR_6RecyclingArranger[Pounds of Producer''s Material Recycled by this Recycling Arranger],TR_6RecyclingArranger[ID_EC],TR_6RecyclingArranger[[#This Row],[ID_EC]])</f>
        <v>0</v>
      </c>
      <c r="R262" s="78">
        <f>IFERROR(INDEX(TR_5ExemptionClaim[How many of the pounds recycled through this pathway were supplied by this producer?],MATCH(TR_6RecyclingArranger[[#This Row],[ID_EC]],TR_5ExemptionClaim[ID_EC],0)),0)</f>
        <v>0</v>
      </c>
      <c r="S262" s="81" t="str">
        <f t="shared" ref="S262:S325" si="4">IF(DR_ProducerID=0,"",DR_ProducerID)</f>
        <v/>
      </c>
      <c r="T262" s="40"/>
      <c r="U262" s="58"/>
    </row>
    <row r="263" spans="1:21" ht="30.75" customHeight="1" x14ac:dyDescent="0.2">
      <c r="A263" s="82" t="s">
        <v>647</v>
      </c>
      <c r="B263" s="46"/>
      <c r="C263" s="113"/>
      <c r="D263" s="215" t="str">
        <f>IF(TR_6RecyclingArranger[[#This Row],[ID_EC]]="","",INDEX(TR_5ExemptionClaim[End Market Name],MATCH(TR_6RecyclingArranger[[#This Row],[ID_EC]],TR_5ExemptionClaim[ID_EC],0)))</f>
        <v/>
      </c>
      <c r="E263" s="215" t="str">
        <f>IF(TR_6RecyclingArranger[[#This Row],[ID_EC]]="","",INDEX(TR_5ExemptionClaim[Collection or Transportation Service Provider Name],MATCH(TR_6RecyclingArranger[[#This Row],[ID_EC]],TR_5ExemptionClaim[ID_EC],0)))</f>
        <v/>
      </c>
      <c r="F263" s="215" t="str">
        <f>IF(TR_6RecyclingArranger[[#This Row],[ID_EC]]="","",IF(INDEX(TR_5ExemptionClaim[CRPF name],MATCH(TR_6RecyclingArranger[[#This Row],[ID_EC]],TR_5ExemptionClaim[ID_EC],0))=0,"None",INDEX(TR_5ExemptionClaim[CRPF name],MATCH(TR_6RecyclingArranger[[#This Row],[ID_EC]],TR_5ExemptionClaim[ID_EC],0))))</f>
        <v/>
      </c>
      <c r="G263" s="45"/>
      <c r="H263" s="108"/>
      <c r="I263" s="47"/>
      <c r="J263" s="48"/>
      <c r="K263" s="47"/>
      <c r="L263" s="79">
        <f>IF(COUNTIFS(TR_6RecyclingArranger[ID_EC],TR_6RecyclingArranger[[#This Row],[ID_EC]],TR_6RecyclingArranger[Name of Third-Party Recycling Arranger],TR_6RecyclingArranger[[#This Row],[Name of Third-Party Recycling Arranger]])&gt;1,1,0)</f>
        <v>0</v>
      </c>
      <c r="M263" s="79">
        <f>IF(TR_6RecyclingArranger[[#This Row],[ID_EC]]="",0,IFERROR(0*MATCH(TR_6RecyclingArranger[[#This Row],[ID_EC]],TR_5ExemptionClaim[Lookup: for arranger tab],0),1))</f>
        <v>0</v>
      </c>
      <c r="N263" s="79">
        <f>IF(TR_6RecyclingArranger[[#This Row],[ID_EC]]="",0,IF(COUNTA(TR_6RecyclingArranger[[#This Row],[Name of Third-Party Recycling Arranger]],TR_6RecyclingArranger[[#This Row],[Pounds of Producer''s Material Recycled by this Recycling Arranger]:[Recycling Arranger Contact Email]])=7,0,1))</f>
        <v>0</v>
      </c>
      <c r="O263" s="79">
        <f>IF(TR_6RecyclingArranger[[#This Row],[ID_EC]]&lt;&gt;"",0,IF(COUNTA(TR_6RecyclingArranger[[#This Row],[Name of Third-Party Recycling Arranger]],TR_6RecyclingArranger[[#This Row],[Pounds of Producer''s Material Recycled by this Recycling Arranger]:[Recycling Arranger Contact Email]])&gt;0,1,0))</f>
        <v>0</v>
      </c>
      <c r="P263" s="79">
        <f>IF(TR_6RecyclingArranger[[#This Row],[Lookup: pounds (this table)]]&gt;TR_6RecyclingArranger[[#This Row],[Lookup: pounds (5B tab)]],1,0)</f>
        <v>0</v>
      </c>
      <c r="Q263" s="78">
        <f>SUMIFS(TR_6RecyclingArranger[Pounds of Producer''s Material Recycled by this Recycling Arranger],TR_6RecyclingArranger[ID_EC],TR_6RecyclingArranger[[#This Row],[ID_EC]])</f>
        <v>0</v>
      </c>
      <c r="R263" s="78">
        <f>IFERROR(INDEX(TR_5ExemptionClaim[How many of the pounds recycled through this pathway were supplied by this producer?],MATCH(TR_6RecyclingArranger[[#This Row],[ID_EC]],TR_5ExemptionClaim[ID_EC],0)),0)</f>
        <v>0</v>
      </c>
      <c r="S263" s="81" t="str">
        <f t="shared" si="4"/>
        <v/>
      </c>
      <c r="T263" s="40"/>
      <c r="U263" s="58"/>
    </row>
    <row r="264" spans="1:21" ht="30.75" customHeight="1" x14ac:dyDescent="0.2">
      <c r="A264" s="82" t="s">
        <v>648</v>
      </c>
      <c r="B264" s="46"/>
      <c r="C264" s="113"/>
      <c r="D264" s="215" t="str">
        <f>IF(TR_6RecyclingArranger[[#This Row],[ID_EC]]="","",INDEX(TR_5ExemptionClaim[End Market Name],MATCH(TR_6RecyclingArranger[[#This Row],[ID_EC]],TR_5ExemptionClaim[ID_EC],0)))</f>
        <v/>
      </c>
      <c r="E264" s="215" t="str">
        <f>IF(TR_6RecyclingArranger[[#This Row],[ID_EC]]="","",INDEX(TR_5ExemptionClaim[Collection or Transportation Service Provider Name],MATCH(TR_6RecyclingArranger[[#This Row],[ID_EC]],TR_5ExemptionClaim[ID_EC],0)))</f>
        <v/>
      </c>
      <c r="F264" s="215" t="str">
        <f>IF(TR_6RecyclingArranger[[#This Row],[ID_EC]]="","",IF(INDEX(TR_5ExemptionClaim[CRPF name],MATCH(TR_6RecyclingArranger[[#This Row],[ID_EC]],TR_5ExemptionClaim[ID_EC],0))=0,"None",INDEX(TR_5ExemptionClaim[CRPF name],MATCH(TR_6RecyclingArranger[[#This Row],[ID_EC]],TR_5ExemptionClaim[ID_EC],0))))</f>
        <v/>
      </c>
      <c r="G264" s="45"/>
      <c r="H264" s="108"/>
      <c r="I264" s="47"/>
      <c r="J264" s="48"/>
      <c r="K264" s="47"/>
      <c r="L264" s="79">
        <f>IF(COUNTIFS(TR_6RecyclingArranger[ID_EC],TR_6RecyclingArranger[[#This Row],[ID_EC]],TR_6RecyclingArranger[Name of Third-Party Recycling Arranger],TR_6RecyclingArranger[[#This Row],[Name of Third-Party Recycling Arranger]])&gt;1,1,0)</f>
        <v>0</v>
      </c>
      <c r="M264" s="79">
        <f>IF(TR_6RecyclingArranger[[#This Row],[ID_EC]]="",0,IFERROR(0*MATCH(TR_6RecyclingArranger[[#This Row],[ID_EC]],TR_5ExemptionClaim[Lookup: for arranger tab],0),1))</f>
        <v>0</v>
      </c>
      <c r="N264" s="79">
        <f>IF(TR_6RecyclingArranger[[#This Row],[ID_EC]]="",0,IF(COUNTA(TR_6RecyclingArranger[[#This Row],[Name of Third-Party Recycling Arranger]],TR_6RecyclingArranger[[#This Row],[Pounds of Producer''s Material Recycled by this Recycling Arranger]:[Recycling Arranger Contact Email]])=7,0,1))</f>
        <v>0</v>
      </c>
      <c r="O264" s="79">
        <f>IF(TR_6RecyclingArranger[[#This Row],[ID_EC]]&lt;&gt;"",0,IF(COUNTA(TR_6RecyclingArranger[[#This Row],[Name of Third-Party Recycling Arranger]],TR_6RecyclingArranger[[#This Row],[Pounds of Producer''s Material Recycled by this Recycling Arranger]:[Recycling Arranger Contact Email]])&gt;0,1,0))</f>
        <v>0</v>
      </c>
      <c r="P264" s="79">
        <f>IF(TR_6RecyclingArranger[[#This Row],[Lookup: pounds (this table)]]&gt;TR_6RecyclingArranger[[#This Row],[Lookup: pounds (5B tab)]],1,0)</f>
        <v>0</v>
      </c>
      <c r="Q264" s="78">
        <f>SUMIFS(TR_6RecyclingArranger[Pounds of Producer''s Material Recycled by this Recycling Arranger],TR_6RecyclingArranger[ID_EC],TR_6RecyclingArranger[[#This Row],[ID_EC]])</f>
        <v>0</v>
      </c>
      <c r="R264" s="78">
        <f>IFERROR(INDEX(TR_5ExemptionClaim[How many of the pounds recycled through this pathway were supplied by this producer?],MATCH(TR_6RecyclingArranger[[#This Row],[ID_EC]],TR_5ExemptionClaim[ID_EC],0)),0)</f>
        <v>0</v>
      </c>
      <c r="S264" s="81" t="str">
        <f t="shared" si="4"/>
        <v/>
      </c>
      <c r="T264" s="40"/>
      <c r="U264" s="58"/>
    </row>
    <row r="265" spans="1:21" ht="30.75" customHeight="1" x14ac:dyDescent="0.2">
      <c r="A265" s="82" t="s">
        <v>649</v>
      </c>
      <c r="B265" s="46"/>
      <c r="C265" s="113"/>
      <c r="D265" s="215" t="str">
        <f>IF(TR_6RecyclingArranger[[#This Row],[ID_EC]]="","",INDEX(TR_5ExemptionClaim[End Market Name],MATCH(TR_6RecyclingArranger[[#This Row],[ID_EC]],TR_5ExemptionClaim[ID_EC],0)))</f>
        <v/>
      </c>
      <c r="E265" s="215" t="str">
        <f>IF(TR_6RecyclingArranger[[#This Row],[ID_EC]]="","",INDEX(TR_5ExemptionClaim[Collection or Transportation Service Provider Name],MATCH(TR_6RecyclingArranger[[#This Row],[ID_EC]],TR_5ExemptionClaim[ID_EC],0)))</f>
        <v/>
      </c>
      <c r="F265" s="215" t="str">
        <f>IF(TR_6RecyclingArranger[[#This Row],[ID_EC]]="","",IF(INDEX(TR_5ExemptionClaim[CRPF name],MATCH(TR_6RecyclingArranger[[#This Row],[ID_EC]],TR_5ExemptionClaim[ID_EC],0))=0,"None",INDEX(TR_5ExemptionClaim[CRPF name],MATCH(TR_6RecyclingArranger[[#This Row],[ID_EC]],TR_5ExemptionClaim[ID_EC],0))))</f>
        <v/>
      </c>
      <c r="G265" s="45"/>
      <c r="H265" s="108"/>
      <c r="I265" s="47"/>
      <c r="J265" s="48"/>
      <c r="K265" s="47"/>
      <c r="L265" s="79">
        <f>IF(COUNTIFS(TR_6RecyclingArranger[ID_EC],TR_6RecyclingArranger[[#This Row],[ID_EC]],TR_6RecyclingArranger[Name of Third-Party Recycling Arranger],TR_6RecyclingArranger[[#This Row],[Name of Third-Party Recycling Arranger]])&gt;1,1,0)</f>
        <v>0</v>
      </c>
      <c r="M265" s="79">
        <f>IF(TR_6RecyclingArranger[[#This Row],[ID_EC]]="",0,IFERROR(0*MATCH(TR_6RecyclingArranger[[#This Row],[ID_EC]],TR_5ExemptionClaim[Lookup: for arranger tab],0),1))</f>
        <v>0</v>
      </c>
      <c r="N265" s="79">
        <f>IF(TR_6RecyclingArranger[[#This Row],[ID_EC]]="",0,IF(COUNTA(TR_6RecyclingArranger[[#This Row],[Name of Third-Party Recycling Arranger]],TR_6RecyclingArranger[[#This Row],[Pounds of Producer''s Material Recycled by this Recycling Arranger]:[Recycling Arranger Contact Email]])=7,0,1))</f>
        <v>0</v>
      </c>
      <c r="O265" s="79">
        <f>IF(TR_6RecyclingArranger[[#This Row],[ID_EC]]&lt;&gt;"",0,IF(COUNTA(TR_6RecyclingArranger[[#This Row],[Name of Third-Party Recycling Arranger]],TR_6RecyclingArranger[[#This Row],[Pounds of Producer''s Material Recycled by this Recycling Arranger]:[Recycling Arranger Contact Email]])&gt;0,1,0))</f>
        <v>0</v>
      </c>
      <c r="P265" s="79">
        <f>IF(TR_6RecyclingArranger[[#This Row],[Lookup: pounds (this table)]]&gt;TR_6RecyclingArranger[[#This Row],[Lookup: pounds (5B tab)]],1,0)</f>
        <v>0</v>
      </c>
      <c r="Q265" s="78">
        <f>SUMIFS(TR_6RecyclingArranger[Pounds of Producer''s Material Recycled by this Recycling Arranger],TR_6RecyclingArranger[ID_EC],TR_6RecyclingArranger[[#This Row],[ID_EC]])</f>
        <v>0</v>
      </c>
      <c r="R265" s="78">
        <f>IFERROR(INDEX(TR_5ExemptionClaim[How many of the pounds recycled through this pathway were supplied by this producer?],MATCH(TR_6RecyclingArranger[[#This Row],[ID_EC]],TR_5ExemptionClaim[ID_EC],0)),0)</f>
        <v>0</v>
      </c>
      <c r="S265" s="81" t="str">
        <f t="shared" si="4"/>
        <v/>
      </c>
      <c r="T265" s="40"/>
      <c r="U265" s="58"/>
    </row>
    <row r="266" spans="1:21" ht="30.75" customHeight="1" x14ac:dyDescent="0.2">
      <c r="A266" s="82" t="s">
        <v>650</v>
      </c>
      <c r="B266" s="46"/>
      <c r="C266" s="113"/>
      <c r="D266" s="215" t="str">
        <f>IF(TR_6RecyclingArranger[[#This Row],[ID_EC]]="","",INDEX(TR_5ExemptionClaim[End Market Name],MATCH(TR_6RecyclingArranger[[#This Row],[ID_EC]],TR_5ExemptionClaim[ID_EC],0)))</f>
        <v/>
      </c>
      <c r="E266" s="215" t="str">
        <f>IF(TR_6RecyclingArranger[[#This Row],[ID_EC]]="","",INDEX(TR_5ExemptionClaim[Collection or Transportation Service Provider Name],MATCH(TR_6RecyclingArranger[[#This Row],[ID_EC]],TR_5ExemptionClaim[ID_EC],0)))</f>
        <v/>
      </c>
      <c r="F266" s="215" t="str">
        <f>IF(TR_6RecyclingArranger[[#This Row],[ID_EC]]="","",IF(INDEX(TR_5ExemptionClaim[CRPF name],MATCH(TR_6RecyclingArranger[[#This Row],[ID_EC]],TR_5ExemptionClaim[ID_EC],0))=0,"None",INDEX(TR_5ExemptionClaim[CRPF name],MATCH(TR_6RecyclingArranger[[#This Row],[ID_EC]],TR_5ExemptionClaim[ID_EC],0))))</f>
        <v/>
      </c>
      <c r="G266" s="45"/>
      <c r="H266" s="108"/>
      <c r="I266" s="47"/>
      <c r="J266" s="48"/>
      <c r="K266" s="47"/>
      <c r="L266" s="79">
        <f>IF(COUNTIFS(TR_6RecyclingArranger[ID_EC],TR_6RecyclingArranger[[#This Row],[ID_EC]],TR_6RecyclingArranger[Name of Third-Party Recycling Arranger],TR_6RecyclingArranger[[#This Row],[Name of Third-Party Recycling Arranger]])&gt;1,1,0)</f>
        <v>0</v>
      </c>
      <c r="M266" s="79">
        <f>IF(TR_6RecyclingArranger[[#This Row],[ID_EC]]="",0,IFERROR(0*MATCH(TR_6RecyclingArranger[[#This Row],[ID_EC]],TR_5ExemptionClaim[Lookup: for arranger tab],0),1))</f>
        <v>0</v>
      </c>
      <c r="N266" s="79">
        <f>IF(TR_6RecyclingArranger[[#This Row],[ID_EC]]="",0,IF(COUNTA(TR_6RecyclingArranger[[#This Row],[Name of Third-Party Recycling Arranger]],TR_6RecyclingArranger[[#This Row],[Pounds of Producer''s Material Recycled by this Recycling Arranger]:[Recycling Arranger Contact Email]])=7,0,1))</f>
        <v>0</v>
      </c>
      <c r="O266" s="79">
        <f>IF(TR_6RecyclingArranger[[#This Row],[ID_EC]]&lt;&gt;"",0,IF(COUNTA(TR_6RecyclingArranger[[#This Row],[Name of Third-Party Recycling Arranger]],TR_6RecyclingArranger[[#This Row],[Pounds of Producer''s Material Recycled by this Recycling Arranger]:[Recycling Arranger Contact Email]])&gt;0,1,0))</f>
        <v>0</v>
      </c>
      <c r="P266" s="79">
        <f>IF(TR_6RecyclingArranger[[#This Row],[Lookup: pounds (this table)]]&gt;TR_6RecyclingArranger[[#This Row],[Lookup: pounds (5B tab)]],1,0)</f>
        <v>0</v>
      </c>
      <c r="Q266" s="78">
        <f>SUMIFS(TR_6RecyclingArranger[Pounds of Producer''s Material Recycled by this Recycling Arranger],TR_6RecyclingArranger[ID_EC],TR_6RecyclingArranger[[#This Row],[ID_EC]])</f>
        <v>0</v>
      </c>
      <c r="R266" s="78">
        <f>IFERROR(INDEX(TR_5ExemptionClaim[How many of the pounds recycled through this pathway were supplied by this producer?],MATCH(TR_6RecyclingArranger[[#This Row],[ID_EC]],TR_5ExemptionClaim[ID_EC],0)),0)</f>
        <v>0</v>
      </c>
      <c r="S266" s="81" t="str">
        <f t="shared" si="4"/>
        <v/>
      </c>
      <c r="T266" s="40"/>
      <c r="U266" s="58"/>
    </row>
    <row r="267" spans="1:21" ht="30.75" customHeight="1" x14ac:dyDescent="0.2">
      <c r="A267" s="82" t="s">
        <v>651</v>
      </c>
      <c r="B267" s="46"/>
      <c r="C267" s="113"/>
      <c r="D267" s="215" t="str">
        <f>IF(TR_6RecyclingArranger[[#This Row],[ID_EC]]="","",INDEX(TR_5ExemptionClaim[End Market Name],MATCH(TR_6RecyclingArranger[[#This Row],[ID_EC]],TR_5ExemptionClaim[ID_EC],0)))</f>
        <v/>
      </c>
      <c r="E267" s="215" t="str">
        <f>IF(TR_6RecyclingArranger[[#This Row],[ID_EC]]="","",INDEX(TR_5ExemptionClaim[Collection or Transportation Service Provider Name],MATCH(TR_6RecyclingArranger[[#This Row],[ID_EC]],TR_5ExemptionClaim[ID_EC],0)))</f>
        <v/>
      </c>
      <c r="F267" s="215" t="str">
        <f>IF(TR_6RecyclingArranger[[#This Row],[ID_EC]]="","",IF(INDEX(TR_5ExemptionClaim[CRPF name],MATCH(TR_6RecyclingArranger[[#This Row],[ID_EC]],TR_5ExemptionClaim[ID_EC],0))=0,"None",INDEX(TR_5ExemptionClaim[CRPF name],MATCH(TR_6RecyclingArranger[[#This Row],[ID_EC]],TR_5ExemptionClaim[ID_EC],0))))</f>
        <v/>
      </c>
      <c r="G267" s="45"/>
      <c r="H267" s="108"/>
      <c r="I267" s="47"/>
      <c r="J267" s="48"/>
      <c r="K267" s="47"/>
      <c r="L267" s="79">
        <f>IF(COUNTIFS(TR_6RecyclingArranger[ID_EC],TR_6RecyclingArranger[[#This Row],[ID_EC]],TR_6RecyclingArranger[Name of Third-Party Recycling Arranger],TR_6RecyclingArranger[[#This Row],[Name of Third-Party Recycling Arranger]])&gt;1,1,0)</f>
        <v>0</v>
      </c>
      <c r="M267" s="79">
        <f>IF(TR_6RecyclingArranger[[#This Row],[ID_EC]]="",0,IFERROR(0*MATCH(TR_6RecyclingArranger[[#This Row],[ID_EC]],TR_5ExemptionClaim[Lookup: for arranger tab],0),1))</f>
        <v>0</v>
      </c>
      <c r="N267" s="79">
        <f>IF(TR_6RecyclingArranger[[#This Row],[ID_EC]]="",0,IF(COUNTA(TR_6RecyclingArranger[[#This Row],[Name of Third-Party Recycling Arranger]],TR_6RecyclingArranger[[#This Row],[Pounds of Producer''s Material Recycled by this Recycling Arranger]:[Recycling Arranger Contact Email]])=7,0,1))</f>
        <v>0</v>
      </c>
      <c r="O267" s="79">
        <f>IF(TR_6RecyclingArranger[[#This Row],[ID_EC]]&lt;&gt;"",0,IF(COUNTA(TR_6RecyclingArranger[[#This Row],[Name of Third-Party Recycling Arranger]],TR_6RecyclingArranger[[#This Row],[Pounds of Producer''s Material Recycled by this Recycling Arranger]:[Recycling Arranger Contact Email]])&gt;0,1,0))</f>
        <v>0</v>
      </c>
      <c r="P267" s="79">
        <f>IF(TR_6RecyclingArranger[[#This Row],[Lookup: pounds (this table)]]&gt;TR_6RecyclingArranger[[#This Row],[Lookup: pounds (5B tab)]],1,0)</f>
        <v>0</v>
      </c>
      <c r="Q267" s="78">
        <f>SUMIFS(TR_6RecyclingArranger[Pounds of Producer''s Material Recycled by this Recycling Arranger],TR_6RecyclingArranger[ID_EC],TR_6RecyclingArranger[[#This Row],[ID_EC]])</f>
        <v>0</v>
      </c>
      <c r="R267" s="78">
        <f>IFERROR(INDEX(TR_5ExemptionClaim[How many of the pounds recycled through this pathway were supplied by this producer?],MATCH(TR_6RecyclingArranger[[#This Row],[ID_EC]],TR_5ExemptionClaim[ID_EC],0)),0)</f>
        <v>0</v>
      </c>
      <c r="S267" s="81" t="str">
        <f t="shared" si="4"/>
        <v/>
      </c>
      <c r="T267" s="40"/>
      <c r="U267" s="58"/>
    </row>
    <row r="268" spans="1:21" ht="30.75" customHeight="1" x14ac:dyDescent="0.2">
      <c r="A268" s="82" t="s">
        <v>652</v>
      </c>
      <c r="B268" s="46"/>
      <c r="C268" s="113"/>
      <c r="D268" s="215" t="str">
        <f>IF(TR_6RecyclingArranger[[#This Row],[ID_EC]]="","",INDEX(TR_5ExemptionClaim[End Market Name],MATCH(TR_6RecyclingArranger[[#This Row],[ID_EC]],TR_5ExemptionClaim[ID_EC],0)))</f>
        <v/>
      </c>
      <c r="E268" s="215" t="str">
        <f>IF(TR_6RecyclingArranger[[#This Row],[ID_EC]]="","",INDEX(TR_5ExemptionClaim[Collection or Transportation Service Provider Name],MATCH(TR_6RecyclingArranger[[#This Row],[ID_EC]],TR_5ExemptionClaim[ID_EC],0)))</f>
        <v/>
      </c>
      <c r="F268" s="215" t="str">
        <f>IF(TR_6RecyclingArranger[[#This Row],[ID_EC]]="","",IF(INDEX(TR_5ExemptionClaim[CRPF name],MATCH(TR_6RecyclingArranger[[#This Row],[ID_EC]],TR_5ExemptionClaim[ID_EC],0))=0,"None",INDEX(TR_5ExemptionClaim[CRPF name],MATCH(TR_6RecyclingArranger[[#This Row],[ID_EC]],TR_5ExemptionClaim[ID_EC],0))))</f>
        <v/>
      </c>
      <c r="G268" s="45"/>
      <c r="H268" s="108"/>
      <c r="I268" s="47"/>
      <c r="J268" s="48"/>
      <c r="K268" s="47"/>
      <c r="L268" s="79">
        <f>IF(COUNTIFS(TR_6RecyclingArranger[ID_EC],TR_6RecyclingArranger[[#This Row],[ID_EC]],TR_6RecyclingArranger[Name of Third-Party Recycling Arranger],TR_6RecyclingArranger[[#This Row],[Name of Third-Party Recycling Arranger]])&gt;1,1,0)</f>
        <v>0</v>
      </c>
      <c r="M268" s="79">
        <f>IF(TR_6RecyclingArranger[[#This Row],[ID_EC]]="",0,IFERROR(0*MATCH(TR_6RecyclingArranger[[#This Row],[ID_EC]],TR_5ExemptionClaim[Lookup: for arranger tab],0),1))</f>
        <v>0</v>
      </c>
      <c r="N268" s="79">
        <f>IF(TR_6RecyclingArranger[[#This Row],[ID_EC]]="",0,IF(COUNTA(TR_6RecyclingArranger[[#This Row],[Name of Third-Party Recycling Arranger]],TR_6RecyclingArranger[[#This Row],[Pounds of Producer''s Material Recycled by this Recycling Arranger]:[Recycling Arranger Contact Email]])=7,0,1))</f>
        <v>0</v>
      </c>
      <c r="O268" s="79">
        <f>IF(TR_6RecyclingArranger[[#This Row],[ID_EC]]&lt;&gt;"",0,IF(COUNTA(TR_6RecyclingArranger[[#This Row],[Name of Third-Party Recycling Arranger]],TR_6RecyclingArranger[[#This Row],[Pounds of Producer''s Material Recycled by this Recycling Arranger]:[Recycling Arranger Contact Email]])&gt;0,1,0))</f>
        <v>0</v>
      </c>
      <c r="P268" s="79">
        <f>IF(TR_6RecyclingArranger[[#This Row],[Lookup: pounds (this table)]]&gt;TR_6RecyclingArranger[[#This Row],[Lookup: pounds (5B tab)]],1,0)</f>
        <v>0</v>
      </c>
      <c r="Q268" s="78">
        <f>SUMIFS(TR_6RecyclingArranger[Pounds of Producer''s Material Recycled by this Recycling Arranger],TR_6RecyclingArranger[ID_EC],TR_6RecyclingArranger[[#This Row],[ID_EC]])</f>
        <v>0</v>
      </c>
      <c r="R268" s="78">
        <f>IFERROR(INDEX(TR_5ExemptionClaim[How many of the pounds recycled through this pathway were supplied by this producer?],MATCH(TR_6RecyclingArranger[[#This Row],[ID_EC]],TR_5ExemptionClaim[ID_EC],0)),0)</f>
        <v>0</v>
      </c>
      <c r="S268" s="81" t="str">
        <f t="shared" si="4"/>
        <v/>
      </c>
      <c r="T268" s="40"/>
      <c r="U268" s="58"/>
    </row>
    <row r="269" spans="1:21" ht="30.75" customHeight="1" x14ac:dyDescent="0.2">
      <c r="A269" s="82" t="s">
        <v>653</v>
      </c>
      <c r="B269" s="46"/>
      <c r="C269" s="113"/>
      <c r="D269" s="215" t="str">
        <f>IF(TR_6RecyclingArranger[[#This Row],[ID_EC]]="","",INDEX(TR_5ExemptionClaim[End Market Name],MATCH(TR_6RecyclingArranger[[#This Row],[ID_EC]],TR_5ExemptionClaim[ID_EC],0)))</f>
        <v/>
      </c>
      <c r="E269" s="215" t="str">
        <f>IF(TR_6RecyclingArranger[[#This Row],[ID_EC]]="","",INDEX(TR_5ExemptionClaim[Collection or Transportation Service Provider Name],MATCH(TR_6RecyclingArranger[[#This Row],[ID_EC]],TR_5ExemptionClaim[ID_EC],0)))</f>
        <v/>
      </c>
      <c r="F269" s="215" t="str">
        <f>IF(TR_6RecyclingArranger[[#This Row],[ID_EC]]="","",IF(INDEX(TR_5ExemptionClaim[CRPF name],MATCH(TR_6RecyclingArranger[[#This Row],[ID_EC]],TR_5ExemptionClaim[ID_EC],0))=0,"None",INDEX(TR_5ExemptionClaim[CRPF name],MATCH(TR_6RecyclingArranger[[#This Row],[ID_EC]],TR_5ExemptionClaim[ID_EC],0))))</f>
        <v/>
      </c>
      <c r="G269" s="45"/>
      <c r="H269" s="108"/>
      <c r="I269" s="47"/>
      <c r="J269" s="48"/>
      <c r="K269" s="47"/>
      <c r="L269" s="79">
        <f>IF(COUNTIFS(TR_6RecyclingArranger[ID_EC],TR_6RecyclingArranger[[#This Row],[ID_EC]],TR_6RecyclingArranger[Name of Third-Party Recycling Arranger],TR_6RecyclingArranger[[#This Row],[Name of Third-Party Recycling Arranger]])&gt;1,1,0)</f>
        <v>0</v>
      </c>
      <c r="M269" s="79">
        <f>IF(TR_6RecyclingArranger[[#This Row],[ID_EC]]="",0,IFERROR(0*MATCH(TR_6RecyclingArranger[[#This Row],[ID_EC]],TR_5ExemptionClaim[Lookup: for arranger tab],0),1))</f>
        <v>0</v>
      </c>
      <c r="N269" s="79">
        <f>IF(TR_6RecyclingArranger[[#This Row],[ID_EC]]="",0,IF(COUNTA(TR_6RecyclingArranger[[#This Row],[Name of Third-Party Recycling Arranger]],TR_6RecyclingArranger[[#This Row],[Pounds of Producer''s Material Recycled by this Recycling Arranger]:[Recycling Arranger Contact Email]])=7,0,1))</f>
        <v>0</v>
      </c>
      <c r="O269" s="79">
        <f>IF(TR_6RecyclingArranger[[#This Row],[ID_EC]]&lt;&gt;"",0,IF(COUNTA(TR_6RecyclingArranger[[#This Row],[Name of Third-Party Recycling Arranger]],TR_6RecyclingArranger[[#This Row],[Pounds of Producer''s Material Recycled by this Recycling Arranger]:[Recycling Arranger Contact Email]])&gt;0,1,0))</f>
        <v>0</v>
      </c>
      <c r="P269" s="79">
        <f>IF(TR_6RecyclingArranger[[#This Row],[Lookup: pounds (this table)]]&gt;TR_6RecyclingArranger[[#This Row],[Lookup: pounds (5B tab)]],1,0)</f>
        <v>0</v>
      </c>
      <c r="Q269" s="78">
        <f>SUMIFS(TR_6RecyclingArranger[Pounds of Producer''s Material Recycled by this Recycling Arranger],TR_6RecyclingArranger[ID_EC],TR_6RecyclingArranger[[#This Row],[ID_EC]])</f>
        <v>0</v>
      </c>
      <c r="R269" s="78">
        <f>IFERROR(INDEX(TR_5ExemptionClaim[How many of the pounds recycled through this pathway were supplied by this producer?],MATCH(TR_6RecyclingArranger[[#This Row],[ID_EC]],TR_5ExemptionClaim[ID_EC],0)),0)</f>
        <v>0</v>
      </c>
      <c r="S269" s="81" t="str">
        <f t="shared" si="4"/>
        <v/>
      </c>
      <c r="T269" s="40"/>
      <c r="U269" s="58"/>
    </row>
    <row r="270" spans="1:21" ht="30.75" customHeight="1" x14ac:dyDescent="0.2">
      <c r="A270" s="82" t="s">
        <v>654</v>
      </c>
      <c r="B270" s="46"/>
      <c r="C270" s="113"/>
      <c r="D270" s="215" t="str">
        <f>IF(TR_6RecyclingArranger[[#This Row],[ID_EC]]="","",INDEX(TR_5ExemptionClaim[End Market Name],MATCH(TR_6RecyclingArranger[[#This Row],[ID_EC]],TR_5ExemptionClaim[ID_EC],0)))</f>
        <v/>
      </c>
      <c r="E270" s="215" t="str">
        <f>IF(TR_6RecyclingArranger[[#This Row],[ID_EC]]="","",INDEX(TR_5ExemptionClaim[Collection or Transportation Service Provider Name],MATCH(TR_6RecyclingArranger[[#This Row],[ID_EC]],TR_5ExemptionClaim[ID_EC],0)))</f>
        <v/>
      </c>
      <c r="F270" s="215" t="str">
        <f>IF(TR_6RecyclingArranger[[#This Row],[ID_EC]]="","",IF(INDEX(TR_5ExemptionClaim[CRPF name],MATCH(TR_6RecyclingArranger[[#This Row],[ID_EC]],TR_5ExemptionClaim[ID_EC],0))=0,"None",INDEX(TR_5ExemptionClaim[CRPF name],MATCH(TR_6RecyclingArranger[[#This Row],[ID_EC]],TR_5ExemptionClaim[ID_EC],0))))</f>
        <v/>
      </c>
      <c r="G270" s="45"/>
      <c r="H270" s="108"/>
      <c r="I270" s="47"/>
      <c r="J270" s="48"/>
      <c r="K270" s="47"/>
      <c r="L270" s="79">
        <f>IF(COUNTIFS(TR_6RecyclingArranger[ID_EC],TR_6RecyclingArranger[[#This Row],[ID_EC]],TR_6RecyclingArranger[Name of Third-Party Recycling Arranger],TR_6RecyclingArranger[[#This Row],[Name of Third-Party Recycling Arranger]])&gt;1,1,0)</f>
        <v>0</v>
      </c>
      <c r="M270" s="79">
        <f>IF(TR_6RecyclingArranger[[#This Row],[ID_EC]]="",0,IFERROR(0*MATCH(TR_6RecyclingArranger[[#This Row],[ID_EC]],TR_5ExemptionClaim[Lookup: for arranger tab],0),1))</f>
        <v>0</v>
      </c>
      <c r="N270" s="79">
        <f>IF(TR_6RecyclingArranger[[#This Row],[ID_EC]]="",0,IF(COUNTA(TR_6RecyclingArranger[[#This Row],[Name of Third-Party Recycling Arranger]],TR_6RecyclingArranger[[#This Row],[Pounds of Producer''s Material Recycled by this Recycling Arranger]:[Recycling Arranger Contact Email]])=7,0,1))</f>
        <v>0</v>
      </c>
      <c r="O270" s="79">
        <f>IF(TR_6RecyclingArranger[[#This Row],[ID_EC]]&lt;&gt;"",0,IF(COUNTA(TR_6RecyclingArranger[[#This Row],[Name of Third-Party Recycling Arranger]],TR_6RecyclingArranger[[#This Row],[Pounds of Producer''s Material Recycled by this Recycling Arranger]:[Recycling Arranger Contact Email]])&gt;0,1,0))</f>
        <v>0</v>
      </c>
      <c r="P270" s="79">
        <f>IF(TR_6RecyclingArranger[[#This Row],[Lookup: pounds (this table)]]&gt;TR_6RecyclingArranger[[#This Row],[Lookup: pounds (5B tab)]],1,0)</f>
        <v>0</v>
      </c>
      <c r="Q270" s="78">
        <f>SUMIFS(TR_6RecyclingArranger[Pounds of Producer''s Material Recycled by this Recycling Arranger],TR_6RecyclingArranger[ID_EC],TR_6RecyclingArranger[[#This Row],[ID_EC]])</f>
        <v>0</v>
      </c>
      <c r="R270" s="78">
        <f>IFERROR(INDEX(TR_5ExemptionClaim[How many of the pounds recycled through this pathway were supplied by this producer?],MATCH(TR_6RecyclingArranger[[#This Row],[ID_EC]],TR_5ExemptionClaim[ID_EC],0)),0)</f>
        <v>0</v>
      </c>
      <c r="S270" s="81" t="str">
        <f t="shared" si="4"/>
        <v/>
      </c>
      <c r="T270" s="40"/>
      <c r="U270" s="58"/>
    </row>
    <row r="271" spans="1:21" ht="30.75" customHeight="1" x14ac:dyDescent="0.2">
      <c r="A271" s="82" t="s">
        <v>655</v>
      </c>
      <c r="B271" s="46"/>
      <c r="C271" s="113"/>
      <c r="D271" s="215" t="str">
        <f>IF(TR_6RecyclingArranger[[#This Row],[ID_EC]]="","",INDEX(TR_5ExemptionClaim[End Market Name],MATCH(TR_6RecyclingArranger[[#This Row],[ID_EC]],TR_5ExemptionClaim[ID_EC],0)))</f>
        <v/>
      </c>
      <c r="E271" s="215" t="str">
        <f>IF(TR_6RecyclingArranger[[#This Row],[ID_EC]]="","",INDEX(TR_5ExemptionClaim[Collection or Transportation Service Provider Name],MATCH(TR_6RecyclingArranger[[#This Row],[ID_EC]],TR_5ExemptionClaim[ID_EC],0)))</f>
        <v/>
      </c>
      <c r="F271" s="215" t="str">
        <f>IF(TR_6RecyclingArranger[[#This Row],[ID_EC]]="","",IF(INDEX(TR_5ExemptionClaim[CRPF name],MATCH(TR_6RecyclingArranger[[#This Row],[ID_EC]],TR_5ExemptionClaim[ID_EC],0))=0,"None",INDEX(TR_5ExemptionClaim[CRPF name],MATCH(TR_6RecyclingArranger[[#This Row],[ID_EC]],TR_5ExemptionClaim[ID_EC],0))))</f>
        <v/>
      </c>
      <c r="G271" s="45"/>
      <c r="H271" s="108"/>
      <c r="I271" s="47"/>
      <c r="J271" s="48"/>
      <c r="K271" s="47"/>
      <c r="L271" s="79">
        <f>IF(COUNTIFS(TR_6RecyclingArranger[ID_EC],TR_6RecyclingArranger[[#This Row],[ID_EC]],TR_6RecyclingArranger[Name of Third-Party Recycling Arranger],TR_6RecyclingArranger[[#This Row],[Name of Third-Party Recycling Arranger]])&gt;1,1,0)</f>
        <v>0</v>
      </c>
      <c r="M271" s="79">
        <f>IF(TR_6RecyclingArranger[[#This Row],[ID_EC]]="",0,IFERROR(0*MATCH(TR_6RecyclingArranger[[#This Row],[ID_EC]],TR_5ExemptionClaim[Lookup: for arranger tab],0),1))</f>
        <v>0</v>
      </c>
      <c r="N271" s="79">
        <f>IF(TR_6RecyclingArranger[[#This Row],[ID_EC]]="",0,IF(COUNTA(TR_6RecyclingArranger[[#This Row],[Name of Third-Party Recycling Arranger]],TR_6RecyclingArranger[[#This Row],[Pounds of Producer''s Material Recycled by this Recycling Arranger]:[Recycling Arranger Contact Email]])=7,0,1))</f>
        <v>0</v>
      </c>
      <c r="O271" s="79">
        <f>IF(TR_6RecyclingArranger[[#This Row],[ID_EC]]&lt;&gt;"",0,IF(COUNTA(TR_6RecyclingArranger[[#This Row],[Name of Third-Party Recycling Arranger]],TR_6RecyclingArranger[[#This Row],[Pounds of Producer''s Material Recycled by this Recycling Arranger]:[Recycling Arranger Contact Email]])&gt;0,1,0))</f>
        <v>0</v>
      </c>
      <c r="P271" s="79">
        <f>IF(TR_6RecyclingArranger[[#This Row],[Lookup: pounds (this table)]]&gt;TR_6RecyclingArranger[[#This Row],[Lookup: pounds (5B tab)]],1,0)</f>
        <v>0</v>
      </c>
      <c r="Q271" s="78">
        <f>SUMIFS(TR_6RecyclingArranger[Pounds of Producer''s Material Recycled by this Recycling Arranger],TR_6RecyclingArranger[ID_EC],TR_6RecyclingArranger[[#This Row],[ID_EC]])</f>
        <v>0</v>
      </c>
      <c r="R271" s="78">
        <f>IFERROR(INDEX(TR_5ExemptionClaim[How many of the pounds recycled through this pathway were supplied by this producer?],MATCH(TR_6RecyclingArranger[[#This Row],[ID_EC]],TR_5ExemptionClaim[ID_EC],0)),0)</f>
        <v>0</v>
      </c>
      <c r="S271" s="81" t="str">
        <f t="shared" si="4"/>
        <v/>
      </c>
      <c r="T271" s="40"/>
      <c r="U271" s="58"/>
    </row>
    <row r="272" spans="1:21" ht="30.75" customHeight="1" x14ac:dyDescent="0.2">
      <c r="A272" s="82" t="s">
        <v>656</v>
      </c>
      <c r="B272" s="46"/>
      <c r="C272" s="113"/>
      <c r="D272" s="215" t="str">
        <f>IF(TR_6RecyclingArranger[[#This Row],[ID_EC]]="","",INDEX(TR_5ExemptionClaim[End Market Name],MATCH(TR_6RecyclingArranger[[#This Row],[ID_EC]],TR_5ExemptionClaim[ID_EC],0)))</f>
        <v/>
      </c>
      <c r="E272" s="215" t="str">
        <f>IF(TR_6RecyclingArranger[[#This Row],[ID_EC]]="","",INDEX(TR_5ExemptionClaim[Collection or Transportation Service Provider Name],MATCH(TR_6RecyclingArranger[[#This Row],[ID_EC]],TR_5ExemptionClaim[ID_EC],0)))</f>
        <v/>
      </c>
      <c r="F272" s="215" t="str">
        <f>IF(TR_6RecyclingArranger[[#This Row],[ID_EC]]="","",IF(INDEX(TR_5ExemptionClaim[CRPF name],MATCH(TR_6RecyclingArranger[[#This Row],[ID_EC]],TR_5ExemptionClaim[ID_EC],0))=0,"None",INDEX(TR_5ExemptionClaim[CRPF name],MATCH(TR_6RecyclingArranger[[#This Row],[ID_EC]],TR_5ExemptionClaim[ID_EC],0))))</f>
        <v/>
      </c>
      <c r="G272" s="45"/>
      <c r="H272" s="108"/>
      <c r="I272" s="47"/>
      <c r="J272" s="48"/>
      <c r="K272" s="47"/>
      <c r="L272" s="79">
        <f>IF(COUNTIFS(TR_6RecyclingArranger[ID_EC],TR_6RecyclingArranger[[#This Row],[ID_EC]],TR_6RecyclingArranger[Name of Third-Party Recycling Arranger],TR_6RecyclingArranger[[#This Row],[Name of Third-Party Recycling Arranger]])&gt;1,1,0)</f>
        <v>0</v>
      </c>
      <c r="M272" s="79">
        <f>IF(TR_6RecyclingArranger[[#This Row],[ID_EC]]="",0,IFERROR(0*MATCH(TR_6RecyclingArranger[[#This Row],[ID_EC]],TR_5ExemptionClaim[Lookup: for arranger tab],0),1))</f>
        <v>0</v>
      </c>
      <c r="N272" s="79">
        <f>IF(TR_6RecyclingArranger[[#This Row],[ID_EC]]="",0,IF(COUNTA(TR_6RecyclingArranger[[#This Row],[Name of Third-Party Recycling Arranger]],TR_6RecyclingArranger[[#This Row],[Pounds of Producer''s Material Recycled by this Recycling Arranger]:[Recycling Arranger Contact Email]])=7,0,1))</f>
        <v>0</v>
      </c>
      <c r="O272" s="79">
        <f>IF(TR_6RecyclingArranger[[#This Row],[ID_EC]]&lt;&gt;"",0,IF(COUNTA(TR_6RecyclingArranger[[#This Row],[Name of Third-Party Recycling Arranger]],TR_6RecyclingArranger[[#This Row],[Pounds of Producer''s Material Recycled by this Recycling Arranger]:[Recycling Arranger Contact Email]])&gt;0,1,0))</f>
        <v>0</v>
      </c>
      <c r="P272" s="79">
        <f>IF(TR_6RecyclingArranger[[#This Row],[Lookup: pounds (this table)]]&gt;TR_6RecyclingArranger[[#This Row],[Lookup: pounds (5B tab)]],1,0)</f>
        <v>0</v>
      </c>
      <c r="Q272" s="78">
        <f>SUMIFS(TR_6RecyclingArranger[Pounds of Producer''s Material Recycled by this Recycling Arranger],TR_6RecyclingArranger[ID_EC],TR_6RecyclingArranger[[#This Row],[ID_EC]])</f>
        <v>0</v>
      </c>
      <c r="R272" s="78">
        <f>IFERROR(INDEX(TR_5ExemptionClaim[How many of the pounds recycled through this pathway were supplied by this producer?],MATCH(TR_6RecyclingArranger[[#This Row],[ID_EC]],TR_5ExemptionClaim[ID_EC],0)),0)</f>
        <v>0</v>
      </c>
      <c r="S272" s="81" t="str">
        <f t="shared" si="4"/>
        <v/>
      </c>
      <c r="T272" s="40"/>
      <c r="U272" s="58"/>
    </row>
    <row r="273" spans="1:21" ht="30.75" customHeight="1" x14ac:dyDescent="0.2">
      <c r="A273" s="82" t="s">
        <v>657</v>
      </c>
      <c r="B273" s="46"/>
      <c r="C273" s="113"/>
      <c r="D273" s="215" t="str">
        <f>IF(TR_6RecyclingArranger[[#This Row],[ID_EC]]="","",INDEX(TR_5ExemptionClaim[End Market Name],MATCH(TR_6RecyclingArranger[[#This Row],[ID_EC]],TR_5ExemptionClaim[ID_EC],0)))</f>
        <v/>
      </c>
      <c r="E273" s="215" t="str">
        <f>IF(TR_6RecyclingArranger[[#This Row],[ID_EC]]="","",INDEX(TR_5ExemptionClaim[Collection or Transportation Service Provider Name],MATCH(TR_6RecyclingArranger[[#This Row],[ID_EC]],TR_5ExemptionClaim[ID_EC],0)))</f>
        <v/>
      </c>
      <c r="F273" s="215" t="str">
        <f>IF(TR_6RecyclingArranger[[#This Row],[ID_EC]]="","",IF(INDEX(TR_5ExemptionClaim[CRPF name],MATCH(TR_6RecyclingArranger[[#This Row],[ID_EC]],TR_5ExemptionClaim[ID_EC],0))=0,"None",INDEX(TR_5ExemptionClaim[CRPF name],MATCH(TR_6RecyclingArranger[[#This Row],[ID_EC]],TR_5ExemptionClaim[ID_EC],0))))</f>
        <v/>
      </c>
      <c r="G273" s="45"/>
      <c r="H273" s="108"/>
      <c r="I273" s="47"/>
      <c r="J273" s="48"/>
      <c r="K273" s="47"/>
      <c r="L273" s="79">
        <f>IF(COUNTIFS(TR_6RecyclingArranger[ID_EC],TR_6RecyclingArranger[[#This Row],[ID_EC]],TR_6RecyclingArranger[Name of Third-Party Recycling Arranger],TR_6RecyclingArranger[[#This Row],[Name of Third-Party Recycling Arranger]])&gt;1,1,0)</f>
        <v>0</v>
      </c>
      <c r="M273" s="79">
        <f>IF(TR_6RecyclingArranger[[#This Row],[ID_EC]]="",0,IFERROR(0*MATCH(TR_6RecyclingArranger[[#This Row],[ID_EC]],TR_5ExemptionClaim[Lookup: for arranger tab],0),1))</f>
        <v>0</v>
      </c>
      <c r="N273" s="79">
        <f>IF(TR_6RecyclingArranger[[#This Row],[ID_EC]]="",0,IF(COUNTA(TR_6RecyclingArranger[[#This Row],[Name of Third-Party Recycling Arranger]],TR_6RecyclingArranger[[#This Row],[Pounds of Producer''s Material Recycled by this Recycling Arranger]:[Recycling Arranger Contact Email]])=7,0,1))</f>
        <v>0</v>
      </c>
      <c r="O273" s="79">
        <f>IF(TR_6RecyclingArranger[[#This Row],[ID_EC]]&lt;&gt;"",0,IF(COUNTA(TR_6RecyclingArranger[[#This Row],[Name of Third-Party Recycling Arranger]],TR_6RecyclingArranger[[#This Row],[Pounds of Producer''s Material Recycled by this Recycling Arranger]:[Recycling Arranger Contact Email]])&gt;0,1,0))</f>
        <v>0</v>
      </c>
      <c r="P273" s="79">
        <f>IF(TR_6RecyclingArranger[[#This Row],[Lookup: pounds (this table)]]&gt;TR_6RecyclingArranger[[#This Row],[Lookup: pounds (5B tab)]],1,0)</f>
        <v>0</v>
      </c>
      <c r="Q273" s="78">
        <f>SUMIFS(TR_6RecyclingArranger[Pounds of Producer''s Material Recycled by this Recycling Arranger],TR_6RecyclingArranger[ID_EC],TR_6RecyclingArranger[[#This Row],[ID_EC]])</f>
        <v>0</v>
      </c>
      <c r="R273" s="78">
        <f>IFERROR(INDEX(TR_5ExemptionClaim[How many of the pounds recycled through this pathway were supplied by this producer?],MATCH(TR_6RecyclingArranger[[#This Row],[ID_EC]],TR_5ExemptionClaim[ID_EC],0)),0)</f>
        <v>0</v>
      </c>
      <c r="S273" s="81" t="str">
        <f t="shared" si="4"/>
        <v/>
      </c>
      <c r="T273" s="40"/>
      <c r="U273" s="58"/>
    </row>
    <row r="274" spans="1:21" ht="30.75" customHeight="1" x14ac:dyDescent="0.2">
      <c r="A274" s="82" t="s">
        <v>658</v>
      </c>
      <c r="B274" s="46"/>
      <c r="C274" s="113"/>
      <c r="D274" s="215" t="str">
        <f>IF(TR_6RecyclingArranger[[#This Row],[ID_EC]]="","",INDEX(TR_5ExemptionClaim[End Market Name],MATCH(TR_6RecyclingArranger[[#This Row],[ID_EC]],TR_5ExemptionClaim[ID_EC],0)))</f>
        <v/>
      </c>
      <c r="E274" s="215" t="str">
        <f>IF(TR_6RecyclingArranger[[#This Row],[ID_EC]]="","",INDEX(TR_5ExemptionClaim[Collection or Transportation Service Provider Name],MATCH(TR_6RecyclingArranger[[#This Row],[ID_EC]],TR_5ExemptionClaim[ID_EC],0)))</f>
        <v/>
      </c>
      <c r="F274" s="215" t="str">
        <f>IF(TR_6RecyclingArranger[[#This Row],[ID_EC]]="","",IF(INDEX(TR_5ExemptionClaim[CRPF name],MATCH(TR_6RecyclingArranger[[#This Row],[ID_EC]],TR_5ExemptionClaim[ID_EC],0))=0,"None",INDEX(TR_5ExemptionClaim[CRPF name],MATCH(TR_6RecyclingArranger[[#This Row],[ID_EC]],TR_5ExemptionClaim[ID_EC],0))))</f>
        <v/>
      </c>
      <c r="G274" s="45"/>
      <c r="H274" s="108"/>
      <c r="I274" s="47"/>
      <c r="J274" s="48"/>
      <c r="K274" s="47"/>
      <c r="L274" s="79">
        <f>IF(COUNTIFS(TR_6RecyclingArranger[ID_EC],TR_6RecyclingArranger[[#This Row],[ID_EC]],TR_6RecyclingArranger[Name of Third-Party Recycling Arranger],TR_6RecyclingArranger[[#This Row],[Name of Third-Party Recycling Arranger]])&gt;1,1,0)</f>
        <v>0</v>
      </c>
      <c r="M274" s="79">
        <f>IF(TR_6RecyclingArranger[[#This Row],[ID_EC]]="",0,IFERROR(0*MATCH(TR_6RecyclingArranger[[#This Row],[ID_EC]],TR_5ExemptionClaim[Lookup: for arranger tab],0),1))</f>
        <v>0</v>
      </c>
      <c r="N274" s="79">
        <f>IF(TR_6RecyclingArranger[[#This Row],[ID_EC]]="",0,IF(COUNTA(TR_6RecyclingArranger[[#This Row],[Name of Third-Party Recycling Arranger]],TR_6RecyclingArranger[[#This Row],[Pounds of Producer''s Material Recycled by this Recycling Arranger]:[Recycling Arranger Contact Email]])=7,0,1))</f>
        <v>0</v>
      </c>
      <c r="O274" s="79">
        <f>IF(TR_6RecyclingArranger[[#This Row],[ID_EC]]&lt;&gt;"",0,IF(COUNTA(TR_6RecyclingArranger[[#This Row],[Name of Third-Party Recycling Arranger]],TR_6RecyclingArranger[[#This Row],[Pounds of Producer''s Material Recycled by this Recycling Arranger]:[Recycling Arranger Contact Email]])&gt;0,1,0))</f>
        <v>0</v>
      </c>
      <c r="P274" s="79">
        <f>IF(TR_6RecyclingArranger[[#This Row],[Lookup: pounds (this table)]]&gt;TR_6RecyclingArranger[[#This Row],[Lookup: pounds (5B tab)]],1,0)</f>
        <v>0</v>
      </c>
      <c r="Q274" s="78">
        <f>SUMIFS(TR_6RecyclingArranger[Pounds of Producer''s Material Recycled by this Recycling Arranger],TR_6RecyclingArranger[ID_EC],TR_6RecyclingArranger[[#This Row],[ID_EC]])</f>
        <v>0</v>
      </c>
      <c r="R274" s="78">
        <f>IFERROR(INDEX(TR_5ExemptionClaim[How many of the pounds recycled through this pathway were supplied by this producer?],MATCH(TR_6RecyclingArranger[[#This Row],[ID_EC]],TR_5ExemptionClaim[ID_EC],0)),0)</f>
        <v>0</v>
      </c>
      <c r="S274" s="81" t="str">
        <f t="shared" si="4"/>
        <v/>
      </c>
      <c r="T274" s="40"/>
      <c r="U274" s="58"/>
    </row>
    <row r="275" spans="1:21" ht="30.75" customHeight="1" x14ac:dyDescent="0.2">
      <c r="A275" s="82" t="s">
        <v>659</v>
      </c>
      <c r="B275" s="46"/>
      <c r="C275" s="113"/>
      <c r="D275" s="215" t="str">
        <f>IF(TR_6RecyclingArranger[[#This Row],[ID_EC]]="","",INDEX(TR_5ExemptionClaim[End Market Name],MATCH(TR_6RecyclingArranger[[#This Row],[ID_EC]],TR_5ExemptionClaim[ID_EC],0)))</f>
        <v/>
      </c>
      <c r="E275" s="215" t="str">
        <f>IF(TR_6RecyclingArranger[[#This Row],[ID_EC]]="","",INDEX(TR_5ExemptionClaim[Collection or Transportation Service Provider Name],MATCH(TR_6RecyclingArranger[[#This Row],[ID_EC]],TR_5ExemptionClaim[ID_EC],0)))</f>
        <v/>
      </c>
      <c r="F275" s="215" t="str">
        <f>IF(TR_6RecyclingArranger[[#This Row],[ID_EC]]="","",IF(INDEX(TR_5ExemptionClaim[CRPF name],MATCH(TR_6RecyclingArranger[[#This Row],[ID_EC]],TR_5ExemptionClaim[ID_EC],0))=0,"None",INDEX(TR_5ExemptionClaim[CRPF name],MATCH(TR_6RecyclingArranger[[#This Row],[ID_EC]],TR_5ExemptionClaim[ID_EC],0))))</f>
        <v/>
      </c>
      <c r="G275" s="45"/>
      <c r="H275" s="108"/>
      <c r="I275" s="47"/>
      <c r="J275" s="48"/>
      <c r="K275" s="47"/>
      <c r="L275" s="79">
        <f>IF(COUNTIFS(TR_6RecyclingArranger[ID_EC],TR_6RecyclingArranger[[#This Row],[ID_EC]],TR_6RecyclingArranger[Name of Third-Party Recycling Arranger],TR_6RecyclingArranger[[#This Row],[Name of Third-Party Recycling Arranger]])&gt;1,1,0)</f>
        <v>0</v>
      </c>
      <c r="M275" s="79">
        <f>IF(TR_6RecyclingArranger[[#This Row],[ID_EC]]="",0,IFERROR(0*MATCH(TR_6RecyclingArranger[[#This Row],[ID_EC]],TR_5ExemptionClaim[Lookup: for arranger tab],0),1))</f>
        <v>0</v>
      </c>
      <c r="N275" s="79">
        <f>IF(TR_6RecyclingArranger[[#This Row],[ID_EC]]="",0,IF(COUNTA(TR_6RecyclingArranger[[#This Row],[Name of Third-Party Recycling Arranger]],TR_6RecyclingArranger[[#This Row],[Pounds of Producer''s Material Recycled by this Recycling Arranger]:[Recycling Arranger Contact Email]])=7,0,1))</f>
        <v>0</v>
      </c>
      <c r="O275" s="79">
        <f>IF(TR_6RecyclingArranger[[#This Row],[ID_EC]]&lt;&gt;"",0,IF(COUNTA(TR_6RecyclingArranger[[#This Row],[Name of Third-Party Recycling Arranger]],TR_6RecyclingArranger[[#This Row],[Pounds of Producer''s Material Recycled by this Recycling Arranger]:[Recycling Arranger Contact Email]])&gt;0,1,0))</f>
        <v>0</v>
      </c>
      <c r="P275" s="79">
        <f>IF(TR_6RecyclingArranger[[#This Row],[Lookup: pounds (this table)]]&gt;TR_6RecyclingArranger[[#This Row],[Lookup: pounds (5B tab)]],1,0)</f>
        <v>0</v>
      </c>
      <c r="Q275" s="78">
        <f>SUMIFS(TR_6RecyclingArranger[Pounds of Producer''s Material Recycled by this Recycling Arranger],TR_6RecyclingArranger[ID_EC],TR_6RecyclingArranger[[#This Row],[ID_EC]])</f>
        <v>0</v>
      </c>
      <c r="R275" s="78">
        <f>IFERROR(INDEX(TR_5ExemptionClaim[How many of the pounds recycled through this pathway were supplied by this producer?],MATCH(TR_6RecyclingArranger[[#This Row],[ID_EC]],TR_5ExemptionClaim[ID_EC],0)),0)</f>
        <v>0</v>
      </c>
      <c r="S275" s="81" t="str">
        <f t="shared" si="4"/>
        <v/>
      </c>
      <c r="T275" s="40"/>
      <c r="U275" s="58"/>
    </row>
    <row r="276" spans="1:21" ht="30.75" customHeight="1" x14ac:dyDescent="0.2">
      <c r="A276" s="82" t="s">
        <v>660</v>
      </c>
      <c r="B276" s="46"/>
      <c r="C276" s="113"/>
      <c r="D276" s="215" t="str">
        <f>IF(TR_6RecyclingArranger[[#This Row],[ID_EC]]="","",INDEX(TR_5ExemptionClaim[End Market Name],MATCH(TR_6RecyclingArranger[[#This Row],[ID_EC]],TR_5ExemptionClaim[ID_EC],0)))</f>
        <v/>
      </c>
      <c r="E276" s="215" t="str">
        <f>IF(TR_6RecyclingArranger[[#This Row],[ID_EC]]="","",INDEX(TR_5ExemptionClaim[Collection or Transportation Service Provider Name],MATCH(TR_6RecyclingArranger[[#This Row],[ID_EC]],TR_5ExemptionClaim[ID_EC],0)))</f>
        <v/>
      </c>
      <c r="F276" s="215" t="str">
        <f>IF(TR_6RecyclingArranger[[#This Row],[ID_EC]]="","",IF(INDEX(TR_5ExemptionClaim[CRPF name],MATCH(TR_6RecyclingArranger[[#This Row],[ID_EC]],TR_5ExemptionClaim[ID_EC],0))=0,"None",INDEX(TR_5ExemptionClaim[CRPF name],MATCH(TR_6RecyclingArranger[[#This Row],[ID_EC]],TR_5ExemptionClaim[ID_EC],0))))</f>
        <v/>
      </c>
      <c r="G276" s="45"/>
      <c r="H276" s="108"/>
      <c r="I276" s="47"/>
      <c r="J276" s="48"/>
      <c r="K276" s="47"/>
      <c r="L276" s="79">
        <f>IF(COUNTIFS(TR_6RecyclingArranger[ID_EC],TR_6RecyclingArranger[[#This Row],[ID_EC]],TR_6RecyclingArranger[Name of Third-Party Recycling Arranger],TR_6RecyclingArranger[[#This Row],[Name of Third-Party Recycling Arranger]])&gt;1,1,0)</f>
        <v>0</v>
      </c>
      <c r="M276" s="79">
        <f>IF(TR_6RecyclingArranger[[#This Row],[ID_EC]]="",0,IFERROR(0*MATCH(TR_6RecyclingArranger[[#This Row],[ID_EC]],TR_5ExemptionClaim[Lookup: for arranger tab],0),1))</f>
        <v>0</v>
      </c>
      <c r="N276" s="79">
        <f>IF(TR_6RecyclingArranger[[#This Row],[ID_EC]]="",0,IF(COUNTA(TR_6RecyclingArranger[[#This Row],[Name of Third-Party Recycling Arranger]],TR_6RecyclingArranger[[#This Row],[Pounds of Producer''s Material Recycled by this Recycling Arranger]:[Recycling Arranger Contact Email]])=7,0,1))</f>
        <v>0</v>
      </c>
      <c r="O276" s="79">
        <f>IF(TR_6RecyclingArranger[[#This Row],[ID_EC]]&lt;&gt;"",0,IF(COUNTA(TR_6RecyclingArranger[[#This Row],[Name of Third-Party Recycling Arranger]],TR_6RecyclingArranger[[#This Row],[Pounds of Producer''s Material Recycled by this Recycling Arranger]:[Recycling Arranger Contact Email]])&gt;0,1,0))</f>
        <v>0</v>
      </c>
      <c r="P276" s="79">
        <f>IF(TR_6RecyclingArranger[[#This Row],[Lookup: pounds (this table)]]&gt;TR_6RecyclingArranger[[#This Row],[Lookup: pounds (5B tab)]],1,0)</f>
        <v>0</v>
      </c>
      <c r="Q276" s="78">
        <f>SUMIFS(TR_6RecyclingArranger[Pounds of Producer''s Material Recycled by this Recycling Arranger],TR_6RecyclingArranger[ID_EC],TR_6RecyclingArranger[[#This Row],[ID_EC]])</f>
        <v>0</v>
      </c>
      <c r="R276" s="78">
        <f>IFERROR(INDEX(TR_5ExemptionClaim[How many of the pounds recycled through this pathway were supplied by this producer?],MATCH(TR_6RecyclingArranger[[#This Row],[ID_EC]],TR_5ExemptionClaim[ID_EC],0)),0)</f>
        <v>0</v>
      </c>
      <c r="S276" s="81" t="str">
        <f t="shared" si="4"/>
        <v/>
      </c>
      <c r="T276" s="40"/>
      <c r="U276" s="58"/>
    </row>
    <row r="277" spans="1:21" ht="30.75" customHeight="1" x14ac:dyDescent="0.2">
      <c r="A277" s="82" t="s">
        <v>661</v>
      </c>
      <c r="B277" s="46"/>
      <c r="C277" s="113"/>
      <c r="D277" s="215" t="str">
        <f>IF(TR_6RecyclingArranger[[#This Row],[ID_EC]]="","",INDEX(TR_5ExemptionClaim[End Market Name],MATCH(TR_6RecyclingArranger[[#This Row],[ID_EC]],TR_5ExemptionClaim[ID_EC],0)))</f>
        <v/>
      </c>
      <c r="E277" s="215" t="str">
        <f>IF(TR_6RecyclingArranger[[#This Row],[ID_EC]]="","",INDEX(TR_5ExemptionClaim[Collection or Transportation Service Provider Name],MATCH(TR_6RecyclingArranger[[#This Row],[ID_EC]],TR_5ExemptionClaim[ID_EC],0)))</f>
        <v/>
      </c>
      <c r="F277" s="215" t="str">
        <f>IF(TR_6RecyclingArranger[[#This Row],[ID_EC]]="","",IF(INDEX(TR_5ExemptionClaim[CRPF name],MATCH(TR_6RecyclingArranger[[#This Row],[ID_EC]],TR_5ExemptionClaim[ID_EC],0))=0,"None",INDEX(TR_5ExemptionClaim[CRPF name],MATCH(TR_6RecyclingArranger[[#This Row],[ID_EC]],TR_5ExemptionClaim[ID_EC],0))))</f>
        <v/>
      </c>
      <c r="G277" s="45"/>
      <c r="H277" s="108"/>
      <c r="I277" s="47"/>
      <c r="J277" s="48"/>
      <c r="K277" s="47"/>
      <c r="L277" s="79">
        <f>IF(COUNTIFS(TR_6RecyclingArranger[ID_EC],TR_6RecyclingArranger[[#This Row],[ID_EC]],TR_6RecyclingArranger[Name of Third-Party Recycling Arranger],TR_6RecyclingArranger[[#This Row],[Name of Third-Party Recycling Arranger]])&gt;1,1,0)</f>
        <v>0</v>
      </c>
      <c r="M277" s="79">
        <f>IF(TR_6RecyclingArranger[[#This Row],[ID_EC]]="",0,IFERROR(0*MATCH(TR_6RecyclingArranger[[#This Row],[ID_EC]],TR_5ExemptionClaim[Lookup: for arranger tab],0),1))</f>
        <v>0</v>
      </c>
      <c r="N277" s="79">
        <f>IF(TR_6RecyclingArranger[[#This Row],[ID_EC]]="",0,IF(COUNTA(TR_6RecyclingArranger[[#This Row],[Name of Third-Party Recycling Arranger]],TR_6RecyclingArranger[[#This Row],[Pounds of Producer''s Material Recycled by this Recycling Arranger]:[Recycling Arranger Contact Email]])=7,0,1))</f>
        <v>0</v>
      </c>
      <c r="O277" s="79">
        <f>IF(TR_6RecyclingArranger[[#This Row],[ID_EC]]&lt;&gt;"",0,IF(COUNTA(TR_6RecyclingArranger[[#This Row],[Name of Third-Party Recycling Arranger]],TR_6RecyclingArranger[[#This Row],[Pounds of Producer''s Material Recycled by this Recycling Arranger]:[Recycling Arranger Contact Email]])&gt;0,1,0))</f>
        <v>0</v>
      </c>
      <c r="P277" s="79">
        <f>IF(TR_6RecyclingArranger[[#This Row],[Lookup: pounds (this table)]]&gt;TR_6RecyclingArranger[[#This Row],[Lookup: pounds (5B tab)]],1,0)</f>
        <v>0</v>
      </c>
      <c r="Q277" s="78">
        <f>SUMIFS(TR_6RecyclingArranger[Pounds of Producer''s Material Recycled by this Recycling Arranger],TR_6RecyclingArranger[ID_EC],TR_6RecyclingArranger[[#This Row],[ID_EC]])</f>
        <v>0</v>
      </c>
      <c r="R277" s="78">
        <f>IFERROR(INDEX(TR_5ExemptionClaim[How many of the pounds recycled through this pathway were supplied by this producer?],MATCH(TR_6RecyclingArranger[[#This Row],[ID_EC]],TR_5ExemptionClaim[ID_EC],0)),0)</f>
        <v>0</v>
      </c>
      <c r="S277" s="81" t="str">
        <f t="shared" si="4"/>
        <v/>
      </c>
      <c r="T277" s="40"/>
      <c r="U277" s="58"/>
    </row>
    <row r="278" spans="1:21" ht="30.75" customHeight="1" x14ac:dyDescent="0.2">
      <c r="A278" s="82" t="s">
        <v>662</v>
      </c>
      <c r="B278" s="46"/>
      <c r="C278" s="113"/>
      <c r="D278" s="215" t="str">
        <f>IF(TR_6RecyclingArranger[[#This Row],[ID_EC]]="","",INDEX(TR_5ExemptionClaim[End Market Name],MATCH(TR_6RecyclingArranger[[#This Row],[ID_EC]],TR_5ExemptionClaim[ID_EC],0)))</f>
        <v/>
      </c>
      <c r="E278" s="215" t="str">
        <f>IF(TR_6RecyclingArranger[[#This Row],[ID_EC]]="","",INDEX(TR_5ExemptionClaim[Collection or Transportation Service Provider Name],MATCH(TR_6RecyclingArranger[[#This Row],[ID_EC]],TR_5ExemptionClaim[ID_EC],0)))</f>
        <v/>
      </c>
      <c r="F278" s="215" t="str">
        <f>IF(TR_6RecyclingArranger[[#This Row],[ID_EC]]="","",IF(INDEX(TR_5ExemptionClaim[CRPF name],MATCH(TR_6RecyclingArranger[[#This Row],[ID_EC]],TR_5ExemptionClaim[ID_EC],0))=0,"None",INDEX(TR_5ExemptionClaim[CRPF name],MATCH(TR_6RecyclingArranger[[#This Row],[ID_EC]],TR_5ExemptionClaim[ID_EC],0))))</f>
        <v/>
      </c>
      <c r="G278" s="45"/>
      <c r="H278" s="108"/>
      <c r="I278" s="47"/>
      <c r="J278" s="48"/>
      <c r="K278" s="47"/>
      <c r="L278" s="79">
        <f>IF(COUNTIFS(TR_6RecyclingArranger[ID_EC],TR_6RecyclingArranger[[#This Row],[ID_EC]],TR_6RecyclingArranger[Name of Third-Party Recycling Arranger],TR_6RecyclingArranger[[#This Row],[Name of Third-Party Recycling Arranger]])&gt;1,1,0)</f>
        <v>0</v>
      </c>
      <c r="M278" s="79">
        <f>IF(TR_6RecyclingArranger[[#This Row],[ID_EC]]="",0,IFERROR(0*MATCH(TR_6RecyclingArranger[[#This Row],[ID_EC]],TR_5ExemptionClaim[Lookup: for arranger tab],0),1))</f>
        <v>0</v>
      </c>
      <c r="N278" s="79">
        <f>IF(TR_6RecyclingArranger[[#This Row],[ID_EC]]="",0,IF(COUNTA(TR_6RecyclingArranger[[#This Row],[Name of Third-Party Recycling Arranger]],TR_6RecyclingArranger[[#This Row],[Pounds of Producer''s Material Recycled by this Recycling Arranger]:[Recycling Arranger Contact Email]])=7,0,1))</f>
        <v>0</v>
      </c>
      <c r="O278" s="79">
        <f>IF(TR_6RecyclingArranger[[#This Row],[ID_EC]]&lt;&gt;"",0,IF(COUNTA(TR_6RecyclingArranger[[#This Row],[Name of Third-Party Recycling Arranger]],TR_6RecyclingArranger[[#This Row],[Pounds of Producer''s Material Recycled by this Recycling Arranger]:[Recycling Arranger Contact Email]])&gt;0,1,0))</f>
        <v>0</v>
      </c>
      <c r="P278" s="79">
        <f>IF(TR_6RecyclingArranger[[#This Row],[Lookup: pounds (this table)]]&gt;TR_6RecyclingArranger[[#This Row],[Lookup: pounds (5B tab)]],1,0)</f>
        <v>0</v>
      </c>
      <c r="Q278" s="78">
        <f>SUMIFS(TR_6RecyclingArranger[Pounds of Producer''s Material Recycled by this Recycling Arranger],TR_6RecyclingArranger[ID_EC],TR_6RecyclingArranger[[#This Row],[ID_EC]])</f>
        <v>0</v>
      </c>
      <c r="R278" s="78">
        <f>IFERROR(INDEX(TR_5ExemptionClaim[How many of the pounds recycled through this pathway were supplied by this producer?],MATCH(TR_6RecyclingArranger[[#This Row],[ID_EC]],TR_5ExemptionClaim[ID_EC],0)),0)</f>
        <v>0</v>
      </c>
      <c r="S278" s="81" t="str">
        <f t="shared" si="4"/>
        <v/>
      </c>
      <c r="T278" s="40"/>
      <c r="U278" s="58"/>
    </row>
    <row r="279" spans="1:21" ht="30.75" customHeight="1" x14ac:dyDescent="0.2">
      <c r="A279" s="82" t="s">
        <v>663</v>
      </c>
      <c r="B279" s="46"/>
      <c r="C279" s="113"/>
      <c r="D279" s="215" t="str">
        <f>IF(TR_6RecyclingArranger[[#This Row],[ID_EC]]="","",INDEX(TR_5ExemptionClaim[End Market Name],MATCH(TR_6RecyclingArranger[[#This Row],[ID_EC]],TR_5ExemptionClaim[ID_EC],0)))</f>
        <v/>
      </c>
      <c r="E279" s="215" t="str">
        <f>IF(TR_6RecyclingArranger[[#This Row],[ID_EC]]="","",INDEX(TR_5ExemptionClaim[Collection or Transportation Service Provider Name],MATCH(TR_6RecyclingArranger[[#This Row],[ID_EC]],TR_5ExemptionClaim[ID_EC],0)))</f>
        <v/>
      </c>
      <c r="F279" s="215" t="str">
        <f>IF(TR_6RecyclingArranger[[#This Row],[ID_EC]]="","",IF(INDEX(TR_5ExemptionClaim[CRPF name],MATCH(TR_6RecyclingArranger[[#This Row],[ID_EC]],TR_5ExemptionClaim[ID_EC],0))=0,"None",INDEX(TR_5ExemptionClaim[CRPF name],MATCH(TR_6RecyclingArranger[[#This Row],[ID_EC]],TR_5ExemptionClaim[ID_EC],0))))</f>
        <v/>
      </c>
      <c r="G279" s="45"/>
      <c r="H279" s="108"/>
      <c r="I279" s="47"/>
      <c r="J279" s="48"/>
      <c r="K279" s="47"/>
      <c r="L279" s="79">
        <f>IF(COUNTIFS(TR_6RecyclingArranger[ID_EC],TR_6RecyclingArranger[[#This Row],[ID_EC]],TR_6RecyclingArranger[Name of Third-Party Recycling Arranger],TR_6RecyclingArranger[[#This Row],[Name of Third-Party Recycling Arranger]])&gt;1,1,0)</f>
        <v>0</v>
      </c>
      <c r="M279" s="79">
        <f>IF(TR_6RecyclingArranger[[#This Row],[ID_EC]]="",0,IFERROR(0*MATCH(TR_6RecyclingArranger[[#This Row],[ID_EC]],TR_5ExemptionClaim[Lookup: for arranger tab],0),1))</f>
        <v>0</v>
      </c>
      <c r="N279" s="79">
        <f>IF(TR_6RecyclingArranger[[#This Row],[ID_EC]]="",0,IF(COUNTA(TR_6RecyclingArranger[[#This Row],[Name of Third-Party Recycling Arranger]],TR_6RecyclingArranger[[#This Row],[Pounds of Producer''s Material Recycled by this Recycling Arranger]:[Recycling Arranger Contact Email]])=7,0,1))</f>
        <v>0</v>
      </c>
      <c r="O279" s="79">
        <f>IF(TR_6RecyclingArranger[[#This Row],[ID_EC]]&lt;&gt;"",0,IF(COUNTA(TR_6RecyclingArranger[[#This Row],[Name of Third-Party Recycling Arranger]],TR_6RecyclingArranger[[#This Row],[Pounds of Producer''s Material Recycled by this Recycling Arranger]:[Recycling Arranger Contact Email]])&gt;0,1,0))</f>
        <v>0</v>
      </c>
      <c r="P279" s="79">
        <f>IF(TR_6RecyclingArranger[[#This Row],[Lookup: pounds (this table)]]&gt;TR_6RecyclingArranger[[#This Row],[Lookup: pounds (5B tab)]],1,0)</f>
        <v>0</v>
      </c>
      <c r="Q279" s="78">
        <f>SUMIFS(TR_6RecyclingArranger[Pounds of Producer''s Material Recycled by this Recycling Arranger],TR_6RecyclingArranger[ID_EC],TR_6RecyclingArranger[[#This Row],[ID_EC]])</f>
        <v>0</v>
      </c>
      <c r="R279" s="78">
        <f>IFERROR(INDEX(TR_5ExemptionClaim[How many of the pounds recycled through this pathway were supplied by this producer?],MATCH(TR_6RecyclingArranger[[#This Row],[ID_EC]],TR_5ExemptionClaim[ID_EC],0)),0)</f>
        <v>0</v>
      </c>
      <c r="S279" s="81" t="str">
        <f t="shared" si="4"/>
        <v/>
      </c>
      <c r="T279" s="40"/>
      <c r="U279" s="58"/>
    </row>
    <row r="280" spans="1:21" ht="30.75" customHeight="1" x14ac:dyDescent="0.2">
      <c r="A280" s="82" t="s">
        <v>664</v>
      </c>
      <c r="B280" s="46"/>
      <c r="C280" s="113"/>
      <c r="D280" s="215" t="str">
        <f>IF(TR_6RecyclingArranger[[#This Row],[ID_EC]]="","",INDEX(TR_5ExemptionClaim[End Market Name],MATCH(TR_6RecyclingArranger[[#This Row],[ID_EC]],TR_5ExemptionClaim[ID_EC],0)))</f>
        <v/>
      </c>
      <c r="E280" s="215" t="str">
        <f>IF(TR_6RecyclingArranger[[#This Row],[ID_EC]]="","",INDEX(TR_5ExemptionClaim[Collection or Transportation Service Provider Name],MATCH(TR_6RecyclingArranger[[#This Row],[ID_EC]],TR_5ExemptionClaim[ID_EC],0)))</f>
        <v/>
      </c>
      <c r="F280" s="215" t="str">
        <f>IF(TR_6RecyclingArranger[[#This Row],[ID_EC]]="","",IF(INDEX(TR_5ExemptionClaim[CRPF name],MATCH(TR_6RecyclingArranger[[#This Row],[ID_EC]],TR_5ExemptionClaim[ID_EC],0))=0,"None",INDEX(TR_5ExemptionClaim[CRPF name],MATCH(TR_6RecyclingArranger[[#This Row],[ID_EC]],TR_5ExemptionClaim[ID_EC],0))))</f>
        <v/>
      </c>
      <c r="G280" s="45"/>
      <c r="H280" s="108"/>
      <c r="I280" s="47"/>
      <c r="J280" s="48"/>
      <c r="K280" s="47"/>
      <c r="L280" s="79">
        <f>IF(COUNTIFS(TR_6RecyclingArranger[ID_EC],TR_6RecyclingArranger[[#This Row],[ID_EC]],TR_6RecyclingArranger[Name of Third-Party Recycling Arranger],TR_6RecyclingArranger[[#This Row],[Name of Third-Party Recycling Arranger]])&gt;1,1,0)</f>
        <v>0</v>
      </c>
      <c r="M280" s="79">
        <f>IF(TR_6RecyclingArranger[[#This Row],[ID_EC]]="",0,IFERROR(0*MATCH(TR_6RecyclingArranger[[#This Row],[ID_EC]],TR_5ExemptionClaim[Lookup: for arranger tab],0),1))</f>
        <v>0</v>
      </c>
      <c r="N280" s="79">
        <f>IF(TR_6RecyclingArranger[[#This Row],[ID_EC]]="",0,IF(COUNTA(TR_6RecyclingArranger[[#This Row],[Name of Third-Party Recycling Arranger]],TR_6RecyclingArranger[[#This Row],[Pounds of Producer''s Material Recycled by this Recycling Arranger]:[Recycling Arranger Contact Email]])=7,0,1))</f>
        <v>0</v>
      </c>
      <c r="O280" s="79">
        <f>IF(TR_6RecyclingArranger[[#This Row],[ID_EC]]&lt;&gt;"",0,IF(COUNTA(TR_6RecyclingArranger[[#This Row],[Name of Third-Party Recycling Arranger]],TR_6RecyclingArranger[[#This Row],[Pounds of Producer''s Material Recycled by this Recycling Arranger]:[Recycling Arranger Contact Email]])&gt;0,1,0))</f>
        <v>0</v>
      </c>
      <c r="P280" s="79">
        <f>IF(TR_6RecyclingArranger[[#This Row],[Lookup: pounds (this table)]]&gt;TR_6RecyclingArranger[[#This Row],[Lookup: pounds (5B tab)]],1,0)</f>
        <v>0</v>
      </c>
      <c r="Q280" s="78">
        <f>SUMIFS(TR_6RecyclingArranger[Pounds of Producer''s Material Recycled by this Recycling Arranger],TR_6RecyclingArranger[ID_EC],TR_6RecyclingArranger[[#This Row],[ID_EC]])</f>
        <v>0</v>
      </c>
      <c r="R280" s="78">
        <f>IFERROR(INDEX(TR_5ExemptionClaim[How many of the pounds recycled through this pathway were supplied by this producer?],MATCH(TR_6RecyclingArranger[[#This Row],[ID_EC]],TR_5ExemptionClaim[ID_EC],0)),0)</f>
        <v>0</v>
      </c>
      <c r="S280" s="81" t="str">
        <f t="shared" si="4"/>
        <v/>
      </c>
      <c r="T280" s="40"/>
      <c r="U280" s="58"/>
    </row>
    <row r="281" spans="1:21" ht="30.75" customHeight="1" x14ac:dyDescent="0.2">
      <c r="A281" s="82" t="s">
        <v>665</v>
      </c>
      <c r="B281" s="46"/>
      <c r="C281" s="113"/>
      <c r="D281" s="215" t="str">
        <f>IF(TR_6RecyclingArranger[[#This Row],[ID_EC]]="","",INDEX(TR_5ExemptionClaim[End Market Name],MATCH(TR_6RecyclingArranger[[#This Row],[ID_EC]],TR_5ExemptionClaim[ID_EC],0)))</f>
        <v/>
      </c>
      <c r="E281" s="215" t="str">
        <f>IF(TR_6RecyclingArranger[[#This Row],[ID_EC]]="","",INDEX(TR_5ExemptionClaim[Collection or Transportation Service Provider Name],MATCH(TR_6RecyclingArranger[[#This Row],[ID_EC]],TR_5ExemptionClaim[ID_EC],0)))</f>
        <v/>
      </c>
      <c r="F281" s="215" t="str">
        <f>IF(TR_6RecyclingArranger[[#This Row],[ID_EC]]="","",IF(INDEX(TR_5ExemptionClaim[CRPF name],MATCH(TR_6RecyclingArranger[[#This Row],[ID_EC]],TR_5ExemptionClaim[ID_EC],0))=0,"None",INDEX(TR_5ExemptionClaim[CRPF name],MATCH(TR_6RecyclingArranger[[#This Row],[ID_EC]],TR_5ExemptionClaim[ID_EC],0))))</f>
        <v/>
      </c>
      <c r="G281" s="45"/>
      <c r="H281" s="108"/>
      <c r="I281" s="47"/>
      <c r="J281" s="48"/>
      <c r="K281" s="47"/>
      <c r="L281" s="79">
        <f>IF(COUNTIFS(TR_6RecyclingArranger[ID_EC],TR_6RecyclingArranger[[#This Row],[ID_EC]],TR_6RecyclingArranger[Name of Third-Party Recycling Arranger],TR_6RecyclingArranger[[#This Row],[Name of Third-Party Recycling Arranger]])&gt;1,1,0)</f>
        <v>0</v>
      </c>
      <c r="M281" s="79">
        <f>IF(TR_6RecyclingArranger[[#This Row],[ID_EC]]="",0,IFERROR(0*MATCH(TR_6RecyclingArranger[[#This Row],[ID_EC]],TR_5ExemptionClaim[Lookup: for arranger tab],0),1))</f>
        <v>0</v>
      </c>
      <c r="N281" s="79">
        <f>IF(TR_6RecyclingArranger[[#This Row],[ID_EC]]="",0,IF(COUNTA(TR_6RecyclingArranger[[#This Row],[Name of Third-Party Recycling Arranger]],TR_6RecyclingArranger[[#This Row],[Pounds of Producer''s Material Recycled by this Recycling Arranger]:[Recycling Arranger Contact Email]])=7,0,1))</f>
        <v>0</v>
      </c>
      <c r="O281" s="79">
        <f>IF(TR_6RecyclingArranger[[#This Row],[ID_EC]]&lt;&gt;"",0,IF(COUNTA(TR_6RecyclingArranger[[#This Row],[Name of Third-Party Recycling Arranger]],TR_6RecyclingArranger[[#This Row],[Pounds of Producer''s Material Recycled by this Recycling Arranger]:[Recycling Arranger Contact Email]])&gt;0,1,0))</f>
        <v>0</v>
      </c>
      <c r="P281" s="79">
        <f>IF(TR_6RecyclingArranger[[#This Row],[Lookup: pounds (this table)]]&gt;TR_6RecyclingArranger[[#This Row],[Lookup: pounds (5B tab)]],1,0)</f>
        <v>0</v>
      </c>
      <c r="Q281" s="78">
        <f>SUMIFS(TR_6RecyclingArranger[Pounds of Producer''s Material Recycled by this Recycling Arranger],TR_6RecyclingArranger[ID_EC],TR_6RecyclingArranger[[#This Row],[ID_EC]])</f>
        <v>0</v>
      </c>
      <c r="R281" s="78">
        <f>IFERROR(INDEX(TR_5ExemptionClaim[How many of the pounds recycled through this pathway were supplied by this producer?],MATCH(TR_6RecyclingArranger[[#This Row],[ID_EC]],TR_5ExemptionClaim[ID_EC],0)),0)</f>
        <v>0</v>
      </c>
      <c r="S281" s="81" t="str">
        <f t="shared" si="4"/>
        <v/>
      </c>
      <c r="T281" s="40"/>
      <c r="U281" s="58"/>
    </row>
    <row r="282" spans="1:21" ht="30.75" customHeight="1" x14ac:dyDescent="0.2">
      <c r="A282" s="82" t="s">
        <v>666</v>
      </c>
      <c r="B282" s="46"/>
      <c r="C282" s="113"/>
      <c r="D282" s="215" t="str">
        <f>IF(TR_6RecyclingArranger[[#This Row],[ID_EC]]="","",INDEX(TR_5ExemptionClaim[End Market Name],MATCH(TR_6RecyclingArranger[[#This Row],[ID_EC]],TR_5ExemptionClaim[ID_EC],0)))</f>
        <v/>
      </c>
      <c r="E282" s="215" t="str">
        <f>IF(TR_6RecyclingArranger[[#This Row],[ID_EC]]="","",INDEX(TR_5ExemptionClaim[Collection or Transportation Service Provider Name],MATCH(TR_6RecyclingArranger[[#This Row],[ID_EC]],TR_5ExemptionClaim[ID_EC],0)))</f>
        <v/>
      </c>
      <c r="F282" s="215" t="str">
        <f>IF(TR_6RecyclingArranger[[#This Row],[ID_EC]]="","",IF(INDEX(TR_5ExemptionClaim[CRPF name],MATCH(TR_6RecyclingArranger[[#This Row],[ID_EC]],TR_5ExemptionClaim[ID_EC],0))=0,"None",INDEX(TR_5ExemptionClaim[CRPF name],MATCH(TR_6RecyclingArranger[[#This Row],[ID_EC]],TR_5ExemptionClaim[ID_EC],0))))</f>
        <v/>
      </c>
      <c r="G282" s="45"/>
      <c r="H282" s="108"/>
      <c r="I282" s="47"/>
      <c r="J282" s="48"/>
      <c r="K282" s="47"/>
      <c r="L282" s="79">
        <f>IF(COUNTIFS(TR_6RecyclingArranger[ID_EC],TR_6RecyclingArranger[[#This Row],[ID_EC]],TR_6RecyclingArranger[Name of Third-Party Recycling Arranger],TR_6RecyclingArranger[[#This Row],[Name of Third-Party Recycling Arranger]])&gt;1,1,0)</f>
        <v>0</v>
      </c>
      <c r="M282" s="79">
        <f>IF(TR_6RecyclingArranger[[#This Row],[ID_EC]]="",0,IFERROR(0*MATCH(TR_6RecyclingArranger[[#This Row],[ID_EC]],TR_5ExemptionClaim[Lookup: for arranger tab],0),1))</f>
        <v>0</v>
      </c>
      <c r="N282" s="79">
        <f>IF(TR_6RecyclingArranger[[#This Row],[ID_EC]]="",0,IF(COUNTA(TR_6RecyclingArranger[[#This Row],[Name of Third-Party Recycling Arranger]],TR_6RecyclingArranger[[#This Row],[Pounds of Producer''s Material Recycled by this Recycling Arranger]:[Recycling Arranger Contact Email]])=7,0,1))</f>
        <v>0</v>
      </c>
      <c r="O282" s="79">
        <f>IF(TR_6RecyclingArranger[[#This Row],[ID_EC]]&lt;&gt;"",0,IF(COUNTA(TR_6RecyclingArranger[[#This Row],[Name of Third-Party Recycling Arranger]],TR_6RecyclingArranger[[#This Row],[Pounds of Producer''s Material Recycled by this Recycling Arranger]:[Recycling Arranger Contact Email]])&gt;0,1,0))</f>
        <v>0</v>
      </c>
      <c r="P282" s="79">
        <f>IF(TR_6RecyclingArranger[[#This Row],[Lookup: pounds (this table)]]&gt;TR_6RecyclingArranger[[#This Row],[Lookup: pounds (5B tab)]],1,0)</f>
        <v>0</v>
      </c>
      <c r="Q282" s="78">
        <f>SUMIFS(TR_6RecyclingArranger[Pounds of Producer''s Material Recycled by this Recycling Arranger],TR_6RecyclingArranger[ID_EC],TR_6RecyclingArranger[[#This Row],[ID_EC]])</f>
        <v>0</v>
      </c>
      <c r="R282" s="78">
        <f>IFERROR(INDEX(TR_5ExemptionClaim[How many of the pounds recycled through this pathway were supplied by this producer?],MATCH(TR_6RecyclingArranger[[#This Row],[ID_EC]],TR_5ExemptionClaim[ID_EC],0)),0)</f>
        <v>0</v>
      </c>
      <c r="S282" s="81" t="str">
        <f t="shared" si="4"/>
        <v/>
      </c>
      <c r="T282" s="40"/>
      <c r="U282" s="58"/>
    </row>
    <row r="283" spans="1:21" ht="30.75" customHeight="1" x14ac:dyDescent="0.2">
      <c r="A283" s="82" t="s">
        <v>667</v>
      </c>
      <c r="B283" s="46"/>
      <c r="C283" s="113"/>
      <c r="D283" s="215" t="str">
        <f>IF(TR_6RecyclingArranger[[#This Row],[ID_EC]]="","",INDEX(TR_5ExemptionClaim[End Market Name],MATCH(TR_6RecyclingArranger[[#This Row],[ID_EC]],TR_5ExemptionClaim[ID_EC],0)))</f>
        <v/>
      </c>
      <c r="E283" s="215" t="str">
        <f>IF(TR_6RecyclingArranger[[#This Row],[ID_EC]]="","",INDEX(TR_5ExemptionClaim[Collection or Transportation Service Provider Name],MATCH(TR_6RecyclingArranger[[#This Row],[ID_EC]],TR_5ExemptionClaim[ID_EC],0)))</f>
        <v/>
      </c>
      <c r="F283" s="215" t="str">
        <f>IF(TR_6RecyclingArranger[[#This Row],[ID_EC]]="","",IF(INDEX(TR_5ExemptionClaim[CRPF name],MATCH(TR_6RecyclingArranger[[#This Row],[ID_EC]],TR_5ExemptionClaim[ID_EC],0))=0,"None",INDEX(TR_5ExemptionClaim[CRPF name],MATCH(TR_6RecyclingArranger[[#This Row],[ID_EC]],TR_5ExemptionClaim[ID_EC],0))))</f>
        <v/>
      </c>
      <c r="G283" s="45"/>
      <c r="H283" s="108"/>
      <c r="I283" s="47"/>
      <c r="J283" s="48"/>
      <c r="K283" s="47"/>
      <c r="L283" s="79">
        <f>IF(COUNTIFS(TR_6RecyclingArranger[ID_EC],TR_6RecyclingArranger[[#This Row],[ID_EC]],TR_6RecyclingArranger[Name of Third-Party Recycling Arranger],TR_6RecyclingArranger[[#This Row],[Name of Third-Party Recycling Arranger]])&gt;1,1,0)</f>
        <v>0</v>
      </c>
      <c r="M283" s="79">
        <f>IF(TR_6RecyclingArranger[[#This Row],[ID_EC]]="",0,IFERROR(0*MATCH(TR_6RecyclingArranger[[#This Row],[ID_EC]],TR_5ExemptionClaim[Lookup: for arranger tab],0),1))</f>
        <v>0</v>
      </c>
      <c r="N283" s="79">
        <f>IF(TR_6RecyclingArranger[[#This Row],[ID_EC]]="",0,IF(COUNTA(TR_6RecyclingArranger[[#This Row],[Name of Third-Party Recycling Arranger]],TR_6RecyclingArranger[[#This Row],[Pounds of Producer''s Material Recycled by this Recycling Arranger]:[Recycling Arranger Contact Email]])=7,0,1))</f>
        <v>0</v>
      </c>
      <c r="O283" s="79">
        <f>IF(TR_6RecyclingArranger[[#This Row],[ID_EC]]&lt;&gt;"",0,IF(COUNTA(TR_6RecyclingArranger[[#This Row],[Name of Third-Party Recycling Arranger]],TR_6RecyclingArranger[[#This Row],[Pounds of Producer''s Material Recycled by this Recycling Arranger]:[Recycling Arranger Contact Email]])&gt;0,1,0))</f>
        <v>0</v>
      </c>
      <c r="P283" s="79">
        <f>IF(TR_6RecyclingArranger[[#This Row],[Lookup: pounds (this table)]]&gt;TR_6RecyclingArranger[[#This Row],[Lookup: pounds (5B tab)]],1,0)</f>
        <v>0</v>
      </c>
      <c r="Q283" s="78">
        <f>SUMIFS(TR_6RecyclingArranger[Pounds of Producer''s Material Recycled by this Recycling Arranger],TR_6RecyclingArranger[ID_EC],TR_6RecyclingArranger[[#This Row],[ID_EC]])</f>
        <v>0</v>
      </c>
      <c r="R283" s="78">
        <f>IFERROR(INDEX(TR_5ExemptionClaim[How many of the pounds recycled through this pathway were supplied by this producer?],MATCH(TR_6RecyclingArranger[[#This Row],[ID_EC]],TR_5ExemptionClaim[ID_EC],0)),0)</f>
        <v>0</v>
      </c>
      <c r="S283" s="81" t="str">
        <f t="shared" si="4"/>
        <v/>
      </c>
      <c r="T283" s="40"/>
      <c r="U283" s="58"/>
    </row>
    <row r="284" spans="1:21" ht="30.75" customHeight="1" x14ac:dyDescent="0.2">
      <c r="A284" s="82" t="s">
        <v>668</v>
      </c>
      <c r="B284" s="46"/>
      <c r="C284" s="113"/>
      <c r="D284" s="215" t="str">
        <f>IF(TR_6RecyclingArranger[[#This Row],[ID_EC]]="","",INDEX(TR_5ExemptionClaim[End Market Name],MATCH(TR_6RecyclingArranger[[#This Row],[ID_EC]],TR_5ExemptionClaim[ID_EC],0)))</f>
        <v/>
      </c>
      <c r="E284" s="215" t="str">
        <f>IF(TR_6RecyclingArranger[[#This Row],[ID_EC]]="","",INDEX(TR_5ExemptionClaim[Collection or Transportation Service Provider Name],MATCH(TR_6RecyclingArranger[[#This Row],[ID_EC]],TR_5ExemptionClaim[ID_EC],0)))</f>
        <v/>
      </c>
      <c r="F284" s="215" t="str">
        <f>IF(TR_6RecyclingArranger[[#This Row],[ID_EC]]="","",IF(INDEX(TR_5ExemptionClaim[CRPF name],MATCH(TR_6RecyclingArranger[[#This Row],[ID_EC]],TR_5ExemptionClaim[ID_EC],0))=0,"None",INDEX(TR_5ExemptionClaim[CRPF name],MATCH(TR_6RecyclingArranger[[#This Row],[ID_EC]],TR_5ExemptionClaim[ID_EC],0))))</f>
        <v/>
      </c>
      <c r="G284" s="45"/>
      <c r="H284" s="108"/>
      <c r="I284" s="47"/>
      <c r="J284" s="48"/>
      <c r="K284" s="47"/>
      <c r="L284" s="79">
        <f>IF(COUNTIFS(TR_6RecyclingArranger[ID_EC],TR_6RecyclingArranger[[#This Row],[ID_EC]],TR_6RecyclingArranger[Name of Third-Party Recycling Arranger],TR_6RecyclingArranger[[#This Row],[Name of Third-Party Recycling Arranger]])&gt;1,1,0)</f>
        <v>0</v>
      </c>
      <c r="M284" s="79">
        <f>IF(TR_6RecyclingArranger[[#This Row],[ID_EC]]="",0,IFERROR(0*MATCH(TR_6RecyclingArranger[[#This Row],[ID_EC]],TR_5ExemptionClaim[Lookup: for arranger tab],0),1))</f>
        <v>0</v>
      </c>
      <c r="N284" s="79">
        <f>IF(TR_6RecyclingArranger[[#This Row],[ID_EC]]="",0,IF(COUNTA(TR_6RecyclingArranger[[#This Row],[Name of Third-Party Recycling Arranger]],TR_6RecyclingArranger[[#This Row],[Pounds of Producer''s Material Recycled by this Recycling Arranger]:[Recycling Arranger Contact Email]])=7,0,1))</f>
        <v>0</v>
      </c>
      <c r="O284" s="79">
        <f>IF(TR_6RecyclingArranger[[#This Row],[ID_EC]]&lt;&gt;"",0,IF(COUNTA(TR_6RecyclingArranger[[#This Row],[Name of Third-Party Recycling Arranger]],TR_6RecyclingArranger[[#This Row],[Pounds of Producer''s Material Recycled by this Recycling Arranger]:[Recycling Arranger Contact Email]])&gt;0,1,0))</f>
        <v>0</v>
      </c>
      <c r="P284" s="79">
        <f>IF(TR_6RecyclingArranger[[#This Row],[Lookup: pounds (this table)]]&gt;TR_6RecyclingArranger[[#This Row],[Lookup: pounds (5B tab)]],1,0)</f>
        <v>0</v>
      </c>
      <c r="Q284" s="78">
        <f>SUMIFS(TR_6RecyclingArranger[Pounds of Producer''s Material Recycled by this Recycling Arranger],TR_6RecyclingArranger[ID_EC],TR_6RecyclingArranger[[#This Row],[ID_EC]])</f>
        <v>0</v>
      </c>
      <c r="R284" s="78">
        <f>IFERROR(INDEX(TR_5ExemptionClaim[How many of the pounds recycled through this pathway were supplied by this producer?],MATCH(TR_6RecyclingArranger[[#This Row],[ID_EC]],TR_5ExemptionClaim[ID_EC],0)),0)</f>
        <v>0</v>
      </c>
      <c r="S284" s="81" t="str">
        <f t="shared" si="4"/>
        <v/>
      </c>
      <c r="T284" s="40"/>
      <c r="U284" s="58"/>
    </row>
    <row r="285" spans="1:21" ht="30.75" customHeight="1" x14ac:dyDescent="0.2">
      <c r="A285" s="82" t="s">
        <v>669</v>
      </c>
      <c r="B285" s="46"/>
      <c r="C285" s="113"/>
      <c r="D285" s="215" t="str">
        <f>IF(TR_6RecyclingArranger[[#This Row],[ID_EC]]="","",INDEX(TR_5ExemptionClaim[End Market Name],MATCH(TR_6RecyclingArranger[[#This Row],[ID_EC]],TR_5ExemptionClaim[ID_EC],0)))</f>
        <v/>
      </c>
      <c r="E285" s="215" t="str">
        <f>IF(TR_6RecyclingArranger[[#This Row],[ID_EC]]="","",INDEX(TR_5ExemptionClaim[Collection or Transportation Service Provider Name],MATCH(TR_6RecyclingArranger[[#This Row],[ID_EC]],TR_5ExemptionClaim[ID_EC],0)))</f>
        <v/>
      </c>
      <c r="F285" s="215" t="str">
        <f>IF(TR_6RecyclingArranger[[#This Row],[ID_EC]]="","",IF(INDEX(TR_5ExemptionClaim[CRPF name],MATCH(TR_6RecyclingArranger[[#This Row],[ID_EC]],TR_5ExemptionClaim[ID_EC],0))=0,"None",INDEX(TR_5ExemptionClaim[CRPF name],MATCH(TR_6RecyclingArranger[[#This Row],[ID_EC]],TR_5ExemptionClaim[ID_EC],0))))</f>
        <v/>
      </c>
      <c r="G285" s="45"/>
      <c r="H285" s="108"/>
      <c r="I285" s="47"/>
      <c r="J285" s="48"/>
      <c r="K285" s="47"/>
      <c r="L285" s="79">
        <f>IF(COUNTIFS(TR_6RecyclingArranger[ID_EC],TR_6RecyclingArranger[[#This Row],[ID_EC]],TR_6RecyclingArranger[Name of Third-Party Recycling Arranger],TR_6RecyclingArranger[[#This Row],[Name of Third-Party Recycling Arranger]])&gt;1,1,0)</f>
        <v>0</v>
      </c>
      <c r="M285" s="79">
        <f>IF(TR_6RecyclingArranger[[#This Row],[ID_EC]]="",0,IFERROR(0*MATCH(TR_6RecyclingArranger[[#This Row],[ID_EC]],TR_5ExemptionClaim[Lookup: for arranger tab],0),1))</f>
        <v>0</v>
      </c>
      <c r="N285" s="79">
        <f>IF(TR_6RecyclingArranger[[#This Row],[ID_EC]]="",0,IF(COUNTA(TR_6RecyclingArranger[[#This Row],[Name of Third-Party Recycling Arranger]],TR_6RecyclingArranger[[#This Row],[Pounds of Producer''s Material Recycled by this Recycling Arranger]:[Recycling Arranger Contact Email]])=7,0,1))</f>
        <v>0</v>
      </c>
      <c r="O285" s="79">
        <f>IF(TR_6RecyclingArranger[[#This Row],[ID_EC]]&lt;&gt;"",0,IF(COUNTA(TR_6RecyclingArranger[[#This Row],[Name of Third-Party Recycling Arranger]],TR_6RecyclingArranger[[#This Row],[Pounds of Producer''s Material Recycled by this Recycling Arranger]:[Recycling Arranger Contact Email]])&gt;0,1,0))</f>
        <v>0</v>
      </c>
      <c r="P285" s="79">
        <f>IF(TR_6RecyclingArranger[[#This Row],[Lookup: pounds (this table)]]&gt;TR_6RecyclingArranger[[#This Row],[Lookup: pounds (5B tab)]],1,0)</f>
        <v>0</v>
      </c>
      <c r="Q285" s="78">
        <f>SUMIFS(TR_6RecyclingArranger[Pounds of Producer''s Material Recycled by this Recycling Arranger],TR_6RecyclingArranger[ID_EC],TR_6RecyclingArranger[[#This Row],[ID_EC]])</f>
        <v>0</v>
      </c>
      <c r="R285" s="78">
        <f>IFERROR(INDEX(TR_5ExemptionClaim[How many of the pounds recycled through this pathway were supplied by this producer?],MATCH(TR_6RecyclingArranger[[#This Row],[ID_EC]],TR_5ExemptionClaim[ID_EC],0)),0)</f>
        <v>0</v>
      </c>
      <c r="S285" s="81" t="str">
        <f t="shared" si="4"/>
        <v/>
      </c>
      <c r="T285" s="40"/>
      <c r="U285" s="58"/>
    </row>
    <row r="286" spans="1:21" ht="30.75" customHeight="1" x14ac:dyDescent="0.2">
      <c r="A286" s="82" t="s">
        <v>670</v>
      </c>
      <c r="B286" s="46"/>
      <c r="C286" s="113"/>
      <c r="D286" s="215" t="str">
        <f>IF(TR_6RecyclingArranger[[#This Row],[ID_EC]]="","",INDEX(TR_5ExemptionClaim[End Market Name],MATCH(TR_6RecyclingArranger[[#This Row],[ID_EC]],TR_5ExemptionClaim[ID_EC],0)))</f>
        <v/>
      </c>
      <c r="E286" s="215" t="str">
        <f>IF(TR_6RecyclingArranger[[#This Row],[ID_EC]]="","",INDEX(TR_5ExemptionClaim[Collection or Transportation Service Provider Name],MATCH(TR_6RecyclingArranger[[#This Row],[ID_EC]],TR_5ExemptionClaim[ID_EC],0)))</f>
        <v/>
      </c>
      <c r="F286" s="215" t="str">
        <f>IF(TR_6RecyclingArranger[[#This Row],[ID_EC]]="","",IF(INDEX(TR_5ExemptionClaim[CRPF name],MATCH(TR_6RecyclingArranger[[#This Row],[ID_EC]],TR_5ExemptionClaim[ID_EC],0))=0,"None",INDEX(TR_5ExemptionClaim[CRPF name],MATCH(TR_6RecyclingArranger[[#This Row],[ID_EC]],TR_5ExemptionClaim[ID_EC],0))))</f>
        <v/>
      </c>
      <c r="G286" s="45"/>
      <c r="H286" s="108"/>
      <c r="I286" s="47"/>
      <c r="J286" s="48"/>
      <c r="K286" s="47"/>
      <c r="L286" s="79">
        <f>IF(COUNTIFS(TR_6RecyclingArranger[ID_EC],TR_6RecyclingArranger[[#This Row],[ID_EC]],TR_6RecyclingArranger[Name of Third-Party Recycling Arranger],TR_6RecyclingArranger[[#This Row],[Name of Third-Party Recycling Arranger]])&gt;1,1,0)</f>
        <v>0</v>
      </c>
      <c r="M286" s="79">
        <f>IF(TR_6RecyclingArranger[[#This Row],[ID_EC]]="",0,IFERROR(0*MATCH(TR_6RecyclingArranger[[#This Row],[ID_EC]],TR_5ExemptionClaim[Lookup: for arranger tab],0),1))</f>
        <v>0</v>
      </c>
      <c r="N286" s="79">
        <f>IF(TR_6RecyclingArranger[[#This Row],[ID_EC]]="",0,IF(COUNTA(TR_6RecyclingArranger[[#This Row],[Name of Third-Party Recycling Arranger]],TR_6RecyclingArranger[[#This Row],[Pounds of Producer''s Material Recycled by this Recycling Arranger]:[Recycling Arranger Contact Email]])=7,0,1))</f>
        <v>0</v>
      </c>
      <c r="O286" s="79">
        <f>IF(TR_6RecyclingArranger[[#This Row],[ID_EC]]&lt;&gt;"",0,IF(COUNTA(TR_6RecyclingArranger[[#This Row],[Name of Third-Party Recycling Arranger]],TR_6RecyclingArranger[[#This Row],[Pounds of Producer''s Material Recycled by this Recycling Arranger]:[Recycling Arranger Contact Email]])&gt;0,1,0))</f>
        <v>0</v>
      </c>
      <c r="P286" s="79">
        <f>IF(TR_6RecyclingArranger[[#This Row],[Lookup: pounds (this table)]]&gt;TR_6RecyclingArranger[[#This Row],[Lookup: pounds (5B tab)]],1,0)</f>
        <v>0</v>
      </c>
      <c r="Q286" s="78">
        <f>SUMIFS(TR_6RecyclingArranger[Pounds of Producer''s Material Recycled by this Recycling Arranger],TR_6RecyclingArranger[ID_EC],TR_6RecyclingArranger[[#This Row],[ID_EC]])</f>
        <v>0</v>
      </c>
      <c r="R286" s="78">
        <f>IFERROR(INDEX(TR_5ExemptionClaim[How many of the pounds recycled through this pathway were supplied by this producer?],MATCH(TR_6RecyclingArranger[[#This Row],[ID_EC]],TR_5ExemptionClaim[ID_EC],0)),0)</f>
        <v>0</v>
      </c>
      <c r="S286" s="81" t="str">
        <f t="shared" si="4"/>
        <v/>
      </c>
      <c r="T286" s="40"/>
      <c r="U286" s="58"/>
    </row>
    <row r="287" spans="1:21" ht="30.75" customHeight="1" x14ac:dyDescent="0.2">
      <c r="A287" s="82" t="s">
        <v>671</v>
      </c>
      <c r="B287" s="46"/>
      <c r="C287" s="113"/>
      <c r="D287" s="215" t="str">
        <f>IF(TR_6RecyclingArranger[[#This Row],[ID_EC]]="","",INDEX(TR_5ExemptionClaim[End Market Name],MATCH(TR_6RecyclingArranger[[#This Row],[ID_EC]],TR_5ExemptionClaim[ID_EC],0)))</f>
        <v/>
      </c>
      <c r="E287" s="215" t="str">
        <f>IF(TR_6RecyclingArranger[[#This Row],[ID_EC]]="","",INDEX(TR_5ExemptionClaim[Collection or Transportation Service Provider Name],MATCH(TR_6RecyclingArranger[[#This Row],[ID_EC]],TR_5ExemptionClaim[ID_EC],0)))</f>
        <v/>
      </c>
      <c r="F287" s="215" t="str">
        <f>IF(TR_6RecyclingArranger[[#This Row],[ID_EC]]="","",IF(INDEX(TR_5ExemptionClaim[CRPF name],MATCH(TR_6RecyclingArranger[[#This Row],[ID_EC]],TR_5ExemptionClaim[ID_EC],0))=0,"None",INDEX(TR_5ExemptionClaim[CRPF name],MATCH(TR_6RecyclingArranger[[#This Row],[ID_EC]],TR_5ExemptionClaim[ID_EC],0))))</f>
        <v/>
      </c>
      <c r="G287" s="45"/>
      <c r="H287" s="108"/>
      <c r="I287" s="47"/>
      <c r="J287" s="48"/>
      <c r="K287" s="47"/>
      <c r="L287" s="79">
        <f>IF(COUNTIFS(TR_6RecyclingArranger[ID_EC],TR_6RecyclingArranger[[#This Row],[ID_EC]],TR_6RecyclingArranger[Name of Third-Party Recycling Arranger],TR_6RecyclingArranger[[#This Row],[Name of Third-Party Recycling Arranger]])&gt;1,1,0)</f>
        <v>0</v>
      </c>
      <c r="M287" s="79">
        <f>IF(TR_6RecyclingArranger[[#This Row],[ID_EC]]="",0,IFERROR(0*MATCH(TR_6RecyclingArranger[[#This Row],[ID_EC]],TR_5ExemptionClaim[Lookup: for arranger tab],0),1))</f>
        <v>0</v>
      </c>
      <c r="N287" s="79">
        <f>IF(TR_6RecyclingArranger[[#This Row],[ID_EC]]="",0,IF(COUNTA(TR_6RecyclingArranger[[#This Row],[Name of Third-Party Recycling Arranger]],TR_6RecyclingArranger[[#This Row],[Pounds of Producer''s Material Recycled by this Recycling Arranger]:[Recycling Arranger Contact Email]])=7,0,1))</f>
        <v>0</v>
      </c>
      <c r="O287" s="79">
        <f>IF(TR_6RecyclingArranger[[#This Row],[ID_EC]]&lt;&gt;"",0,IF(COUNTA(TR_6RecyclingArranger[[#This Row],[Name of Third-Party Recycling Arranger]],TR_6RecyclingArranger[[#This Row],[Pounds of Producer''s Material Recycled by this Recycling Arranger]:[Recycling Arranger Contact Email]])&gt;0,1,0))</f>
        <v>0</v>
      </c>
      <c r="P287" s="79">
        <f>IF(TR_6RecyclingArranger[[#This Row],[Lookup: pounds (this table)]]&gt;TR_6RecyclingArranger[[#This Row],[Lookup: pounds (5B tab)]],1,0)</f>
        <v>0</v>
      </c>
      <c r="Q287" s="78">
        <f>SUMIFS(TR_6RecyclingArranger[Pounds of Producer''s Material Recycled by this Recycling Arranger],TR_6RecyclingArranger[ID_EC],TR_6RecyclingArranger[[#This Row],[ID_EC]])</f>
        <v>0</v>
      </c>
      <c r="R287" s="78">
        <f>IFERROR(INDEX(TR_5ExemptionClaim[How many of the pounds recycled through this pathway were supplied by this producer?],MATCH(TR_6RecyclingArranger[[#This Row],[ID_EC]],TR_5ExemptionClaim[ID_EC],0)),0)</f>
        <v>0</v>
      </c>
      <c r="S287" s="81" t="str">
        <f t="shared" si="4"/>
        <v/>
      </c>
      <c r="T287" s="40"/>
      <c r="U287" s="58"/>
    </row>
    <row r="288" spans="1:21" ht="30.75" customHeight="1" x14ac:dyDescent="0.2">
      <c r="A288" s="82" t="s">
        <v>672</v>
      </c>
      <c r="B288" s="46"/>
      <c r="C288" s="113"/>
      <c r="D288" s="215" t="str">
        <f>IF(TR_6RecyclingArranger[[#This Row],[ID_EC]]="","",INDEX(TR_5ExemptionClaim[End Market Name],MATCH(TR_6RecyclingArranger[[#This Row],[ID_EC]],TR_5ExemptionClaim[ID_EC],0)))</f>
        <v/>
      </c>
      <c r="E288" s="215" t="str">
        <f>IF(TR_6RecyclingArranger[[#This Row],[ID_EC]]="","",INDEX(TR_5ExemptionClaim[Collection or Transportation Service Provider Name],MATCH(TR_6RecyclingArranger[[#This Row],[ID_EC]],TR_5ExemptionClaim[ID_EC],0)))</f>
        <v/>
      </c>
      <c r="F288" s="215" t="str">
        <f>IF(TR_6RecyclingArranger[[#This Row],[ID_EC]]="","",IF(INDEX(TR_5ExemptionClaim[CRPF name],MATCH(TR_6RecyclingArranger[[#This Row],[ID_EC]],TR_5ExemptionClaim[ID_EC],0))=0,"None",INDEX(TR_5ExemptionClaim[CRPF name],MATCH(TR_6RecyclingArranger[[#This Row],[ID_EC]],TR_5ExemptionClaim[ID_EC],0))))</f>
        <v/>
      </c>
      <c r="G288" s="45"/>
      <c r="H288" s="108"/>
      <c r="I288" s="47"/>
      <c r="J288" s="48"/>
      <c r="K288" s="47"/>
      <c r="L288" s="79">
        <f>IF(COUNTIFS(TR_6RecyclingArranger[ID_EC],TR_6RecyclingArranger[[#This Row],[ID_EC]],TR_6RecyclingArranger[Name of Third-Party Recycling Arranger],TR_6RecyclingArranger[[#This Row],[Name of Third-Party Recycling Arranger]])&gt;1,1,0)</f>
        <v>0</v>
      </c>
      <c r="M288" s="79">
        <f>IF(TR_6RecyclingArranger[[#This Row],[ID_EC]]="",0,IFERROR(0*MATCH(TR_6RecyclingArranger[[#This Row],[ID_EC]],TR_5ExemptionClaim[Lookup: for arranger tab],0),1))</f>
        <v>0</v>
      </c>
      <c r="N288" s="79">
        <f>IF(TR_6RecyclingArranger[[#This Row],[ID_EC]]="",0,IF(COUNTA(TR_6RecyclingArranger[[#This Row],[Name of Third-Party Recycling Arranger]],TR_6RecyclingArranger[[#This Row],[Pounds of Producer''s Material Recycled by this Recycling Arranger]:[Recycling Arranger Contact Email]])=7,0,1))</f>
        <v>0</v>
      </c>
      <c r="O288" s="79">
        <f>IF(TR_6RecyclingArranger[[#This Row],[ID_EC]]&lt;&gt;"",0,IF(COUNTA(TR_6RecyclingArranger[[#This Row],[Name of Third-Party Recycling Arranger]],TR_6RecyclingArranger[[#This Row],[Pounds of Producer''s Material Recycled by this Recycling Arranger]:[Recycling Arranger Contact Email]])&gt;0,1,0))</f>
        <v>0</v>
      </c>
      <c r="P288" s="79">
        <f>IF(TR_6RecyclingArranger[[#This Row],[Lookup: pounds (this table)]]&gt;TR_6RecyclingArranger[[#This Row],[Lookup: pounds (5B tab)]],1,0)</f>
        <v>0</v>
      </c>
      <c r="Q288" s="78">
        <f>SUMIFS(TR_6RecyclingArranger[Pounds of Producer''s Material Recycled by this Recycling Arranger],TR_6RecyclingArranger[ID_EC],TR_6RecyclingArranger[[#This Row],[ID_EC]])</f>
        <v>0</v>
      </c>
      <c r="R288" s="78">
        <f>IFERROR(INDEX(TR_5ExemptionClaim[How many of the pounds recycled through this pathway were supplied by this producer?],MATCH(TR_6RecyclingArranger[[#This Row],[ID_EC]],TR_5ExemptionClaim[ID_EC],0)),0)</f>
        <v>0</v>
      </c>
      <c r="S288" s="81" t="str">
        <f t="shared" si="4"/>
        <v/>
      </c>
      <c r="T288" s="40"/>
      <c r="U288" s="58"/>
    </row>
    <row r="289" spans="1:21" ht="30.75" customHeight="1" x14ac:dyDescent="0.2">
      <c r="A289" s="82" t="s">
        <v>673</v>
      </c>
      <c r="B289" s="46"/>
      <c r="C289" s="113"/>
      <c r="D289" s="215" t="str">
        <f>IF(TR_6RecyclingArranger[[#This Row],[ID_EC]]="","",INDEX(TR_5ExemptionClaim[End Market Name],MATCH(TR_6RecyclingArranger[[#This Row],[ID_EC]],TR_5ExemptionClaim[ID_EC],0)))</f>
        <v/>
      </c>
      <c r="E289" s="215" t="str">
        <f>IF(TR_6RecyclingArranger[[#This Row],[ID_EC]]="","",INDEX(TR_5ExemptionClaim[Collection or Transportation Service Provider Name],MATCH(TR_6RecyclingArranger[[#This Row],[ID_EC]],TR_5ExemptionClaim[ID_EC],0)))</f>
        <v/>
      </c>
      <c r="F289" s="215" t="str">
        <f>IF(TR_6RecyclingArranger[[#This Row],[ID_EC]]="","",IF(INDEX(TR_5ExemptionClaim[CRPF name],MATCH(TR_6RecyclingArranger[[#This Row],[ID_EC]],TR_5ExemptionClaim[ID_EC],0))=0,"None",INDEX(TR_5ExemptionClaim[CRPF name],MATCH(TR_6RecyclingArranger[[#This Row],[ID_EC]],TR_5ExemptionClaim[ID_EC],0))))</f>
        <v/>
      </c>
      <c r="G289" s="45"/>
      <c r="H289" s="108"/>
      <c r="I289" s="47"/>
      <c r="J289" s="48"/>
      <c r="K289" s="47"/>
      <c r="L289" s="79">
        <f>IF(COUNTIFS(TR_6RecyclingArranger[ID_EC],TR_6RecyclingArranger[[#This Row],[ID_EC]],TR_6RecyclingArranger[Name of Third-Party Recycling Arranger],TR_6RecyclingArranger[[#This Row],[Name of Third-Party Recycling Arranger]])&gt;1,1,0)</f>
        <v>0</v>
      </c>
      <c r="M289" s="79">
        <f>IF(TR_6RecyclingArranger[[#This Row],[ID_EC]]="",0,IFERROR(0*MATCH(TR_6RecyclingArranger[[#This Row],[ID_EC]],TR_5ExemptionClaim[Lookup: for arranger tab],0),1))</f>
        <v>0</v>
      </c>
      <c r="N289" s="79">
        <f>IF(TR_6RecyclingArranger[[#This Row],[ID_EC]]="",0,IF(COUNTA(TR_6RecyclingArranger[[#This Row],[Name of Third-Party Recycling Arranger]],TR_6RecyclingArranger[[#This Row],[Pounds of Producer''s Material Recycled by this Recycling Arranger]:[Recycling Arranger Contact Email]])=7,0,1))</f>
        <v>0</v>
      </c>
      <c r="O289" s="79">
        <f>IF(TR_6RecyclingArranger[[#This Row],[ID_EC]]&lt;&gt;"",0,IF(COUNTA(TR_6RecyclingArranger[[#This Row],[Name of Third-Party Recycling Arranger]],TR_6RecyclingArranger[[#This Row],[Pounds of Producer''s Material Recycled by this Recycling Arranger]:[Recycling Arranger Contact Email]])&gt;0,1,0))</f>
        <v>0</v>
      </c>
      <c r="P289" s="79">
        <f>IF(TR_6RecyclingArranger[[#This Row],[Lookup: pounds (this table)]]&gt;TR_6RecyclingArranger[[#This Row],[Lookup: pounds (5B tab)]],1,0)</f>
        <v>0</v>
      </c>
      <c r="Q289" s="78">
        <f>SUMIFS(TR_6RecyclingArranger[Pounds of Producer''s Material Recycled by this Recycling Arranger],TR_6RecyclingArranger[ID_EC],TR_6RecyclingArranger[[#This Row],[ID_EC]])</f>
        <v>0</v>
      </c>
      <c r="R289" s="78">
        <f>IFERROR(INDEX(TR_5ExemptionClaim[How many of the pounds recycled through this pathway were supplied by this producer?],MATCH(TR_6RecyclingArranger[[#This Row],[ID_EC]],TR_5ExemptionClaim[ID_EC],0)),0)</f>
        <v>0</v>
      </c>
      <c r="S289" s="81" t="str">
        <f t="shared" si="4"/>
        <v/>
      </c>
      <c r="T289" s="40"/>
      <c r="U289" s="58"/>
    </row>
    <row r="290" spans="1:21" ht="30.75" customHeight="1" x14ac:dyDescent="0.2">
      <c r="A290" s="82" t="s">
        <v>674</v>
      </c>
      <c r="B290" s="46"/>
      <c r="C290" s="113"/>
      <c r="D290" s="215" t="str">
        <f>IF(TR_6RecyclingArranger[[#This Row],[ID_EC]]="","",INDEX(TR_5ExemptionClaim[End Market Name],MATCH(TR_6RecyclingArranger[[#This Row],[ID_EC]],TR_5ExemptionClaim[ID_EC],0)))</f>
        <v/>
      </c>
      <c r="E290" s="215" t="str">
        <f>IF(TR_6RecyclingArranger[[#This Row],[ID_EC]]="","",INDEX(TR_5ExemptionClaim[Collection or Transportation Service Provider Name],MATCH(TR_6RecyclingArranger[[#This Row],[ID_EC]],TR_5ExemptionClaim[ID_EC],0)))</f>
        <v/>
      </c>
      <c r="F290" s="215" t="str">
        <f>IF(TR_6RecyclingArranger[[#This Row],[ID_EC]]="","",IF(INDEX(TR_5ExemptionClaim[CRPF name],MATCH(TR_6RecyclingArranger[[#This Row],[ID_EC]],TR_5ExemptionClaim[ID_EC],0))=0,"None",INDEX(TR_5ExemptionClaim[CRPF name],MATCH(TR_6RecyclingArranger[[#This Row],[ID_EC]],TR_5ExemptionClaim[ID_EC],0))))</f>
        <v/>
      </c>
      <c r="G290" s="45"/>
      <c r="H290" s="108"/>
      <c r="I290" s="47"/>
      <c r="J290" s="48"/>
      <c r="K290" s="47"/>
      <c r="L290" s="79">
        <f>IF(COUNTIFS(TR_6RecyclingArranger[ID_EC],TR_6RecyclingArranger[[#This Row],[ID_EC]],TR_6RecyclingArranger[Name of Third-Party Recycling Arranger],TR_6RecyclingArranger[[#This Row],[Name of Third-Party Recycling Arranger]])&gt;1,1,0)</f>
        <v>0</v>
      </c>
      <c r="M290" s="79">
        <f>IF(TR_6RecyclingArranger[[#This Row],[ID_EC]]="",0,IFERROR(0*MATCH(TR_6RecyclingArranger[[#This Row],[ID_EC]],TR_5ExemptionClaim[Lookup: for arranger tab],0),1))</f>
        <v>0</v>
      </c>
      <c r="N290" s="79">
        <f>IF(TR_6RecyclingArranger[[#This Row],[ID_EC]]="",0,IF(COUNTA(TR_6RecyclingArranger[[#This Row],[Name of Third-Party Recycling Arranger]],TR_6RecyclingArranger[[#This Row],[Pounds of Producer''s Material Recycled by this Recycling Arranger]:[Recycling Arranger Contact Email]])=7,0,1))</f>
        <v>0</v>
      </c>
      <c r="O290" s="79">
        <f>IF(TR_6RecyclingArranger[[#This Row],[ID_EC]]&lt;&gt;"",0,IF(COUNTA(TR_6RecyclingArranger[[#This Row],[Name of Third-Party Recycling Arranger]],TR_6RecyclingArranger[[#This Row],[Pounds of Producer''s Material Recycled by this Recycling Arranger]:[Recycling Arranger Contact Email]])&gt;0,1,0))</f>
        <v>0</v>
      </c>
      <c r="P290" s="79">
        <f>IF(TR_6RecyclingArranger[[#This Row],[Lookup: pounds (this table)]]&gt;TR_6RecyclingArranger[[#This Row],[Lookup: pounds (5B tab)]],1,0)</f>
        <v>0</v>
      </c>
      <c r="Q290" s="78">
        <f>SUMIFS(TR_6RecyclingArranger[Pounds of Producer''s Material Recycled by this Recycling Arranger],TR_6RecyclingArranger[ID_EC],TR_6RecyclingArranger[[#This Row],[ID_EC]])</f>
        <v>0</v>
      </c>
      <c r="R290" s="78">
        <f>IFERROR(INDEX(TR_5ExemptionClaim[How many of the pounds recycled through this pathway were supplied by this producer?],MATCH(TR_6RecyclingArranger[[#This Row],[ID_EC]],TR_5ExemptionClaim[ID_EC],0)),0)</f>
        <v>0</v>
      </c>
      <c r="S290" s="81" t="str">
        <f t="shared" si="4"/>
        <v/>
      </c>
      <c r="T290" s="40"/>
      <c r="U290" s="58"/>
    </row>
    <row r="291" spans="1:21" ht="30.75" customHeight="1" x14ac:dyDescent="0.2">
      <c r="A291" s="82" t="s">
        <v>675</v>
      </c>
      <c r="B291" s="46"/>
      <c r="C291" s="113"/>
      <c r="D291" s="215" t="str">
        <f>IF(TR_6RecyclingArranger[[#This Row],[ID_EC]]="","",INDEX(TR_5ExemptionClaim[End Market Name],MATCH(TR_6RecyclingArranger[[#This Row],[ID_EC]],TR_5ExemptionClaim[ID_EC],0)))</f>
        <v/>
      </c>
      <c r="E291" s="215" t="str">
        <f>IF(TR_6RecyclingArranger[[#This Row],[ID_EC]]="","",INDEX(TR_5ExemptionClaim[Collection or Transportation Service Provider Name],MATCH(TR_6RecyclingArranger[[#This Row],[ID_EC]],TR_5ExemptionClaim[ID_EC],0)))</f>
        <v/>
      </c>
      <c r="F291" s="215" t="str">
        <f>IF(TR_6RecyclingArranger[[#This Row],[ID_EC]]="","",IF(INDEX(TR_5ExemptionClaim[CRPF name],MATCH(TR_6RecyclingArranger[[#This Row],[ID_EC]],TR_5ExemptionClaim[ID_EC],0))=0,"None",INDEX(TR_5ExemptionClaim[CRPF name],MATCH(TR_6RecyclingArranger[[#This Row],[ID_EC]],TR_5ExemptionClaim[ID_EC],0))))</f>
        <v/>
      </c>
      <c r="G291" s="45"/>
      <c r="H291" s="108"/>
      <c r="I291" s="47"/>
      <c r="J291" s="48"/>
      <c r="K291" s="47"/>
      <c r="L291" s="79">
        <f>IF(COUNTIFS(TR_6RecyclingArranger[ID_EC],TR_6RecyclingArranger[[#This Row],[ID_EC]],TR_6RecyclingArranger[Name of Third-Party Recycling Arranger],TR_6RecyclingArranger[[#This Row],[Name of Third-Party Recycling Arranger]])&gt;1,1,0)</f>
        <v>0</v>
      </c>
      <c r="M291" s="79">
        <f>IF(TR_6RecyclingArranger[[#This Row],[ID_EC]]="",0,IFERROR(0*MATCH(TR_6RecyclingArranger[[#This Row],[ID_EC]],TR_5ExemptionClaim[Lookup: for arranger tab],0),1))</f>
        <v>0</v>
      </c>
      <c r="N291" s="79">
        <f>IF(TR_6RecyclingArranger[[#This Row],[ID_EC]]="",0,IF(COUNTA(TR_6RecyclingArranger[[#This Row],[Name of Third-Party Recycling Arranger]],TR_6RecyclingArranger[[#This Row],[Pounds of Producer''s Material Recycled by this Recycling Arranger]:[Recycling Arranger Contact Email]])=7,0,1))</f>
        <v>0</v>
      </c>
      <c r="O291" s="79">
        <f>IF(TR_6RecyclingArranger[[#This Row],[ID_EC]]&lt;&gt;"",0,IF(COUNTA(TR_6RecyclingArranger[[#This Row],[Name of Third-Party Recycling Arranger]],TR_6RecyclingArranger[[#This Row],[Pounds of Producer''s Material Recycled by this Recycling Arranger]:[Recycling Arranger Contact Email]])&gt;0,1,0))</f>
        <v>0</v>
      </c>
      <c r="P291" s="79">
        <f>IF(TR_6RecyclingArranger[[#This Row],[Lookup: pounds (this table)]]&gt;TR_6RecyclingArranger[[#This Row],[Lookup: pounds (5B tab)]],1,0)</f>
        <v>0</v>
      </c>
      <c r="Q291" s="78">
        <f>SUMIFS(TR_6RecyclingArranger[Pounds of Producer''s Material Recycled by this Recycling Arranger],TR_6RecyclingArranger[ID_EC],TR_6RecyclingArranger[[#This Row],[ID_EC]])</f>
        <v>0</v>
      </c>
      <c r="R291" s="78">
        <f>IFERROR(INDEX(TR_5ExemptionClaim[How many of the pounds recycled through this pathway were supplied by this producer?],MATCH(TR_6RecyclingArranger[[#This Row],[ID_EC]],TR_5ExemptionClaim[ID_EC],0)),0)</f>
        <v>0</v>
      </c>
      <c r="S291" s="81" t="str">
        <f t="shared" si="4"/>
        <v/>
      </c>
      <c r="T291" s="40"/>
      <c r="U291" s="58"/>
    </row>
    <row r="292" spans="1:21" ht="30.75" customHeight="1" x14ac:dyDescent="0.2">
      <c r="A292" s="82" t="s">
        <v>676</v>
      </c>
      <c r="B292" s="46"/>
      <c r="C292" s="113"/>
      <c r="D292" s="215" t="str">
        <f>IF(TR_6RecyclingArranger[[#This Row],[ID_EC]]="","",INDEX(TR_5ExemptionClaim[End Market Name],MATCH(TR_6RecyclingArranger[[#This Row],[ID_EC]],TR_5ExemptionClaim[ID_EC],0)))</f>
        <v/>
      </c>
      <c r="E292" s="215" t="str">
        <f>IF(TR_6RecyclingArranger[[#This Row],[ID_EC]]="","",INDEX(TR_5ExemptionClaim[Collection or Transportation Service Provider Name],MATCH(TR_6RecyclingArranger[[#This Row],[ID_EC]],TR_5ExemptionClaim[ID_EC],0)))</f>
        <v/>
      </c>
      <c r="F292" s="215" t="str">
        <f>IF(TR_6RecyclingArranger[[#This Row],[ID_EC]]="","",IF(INDEX(TR_5ExemptionClaim[CRPF name],MATCH(TR_6RecyclingArranger[[#This Row],[ID_EC]],TR_5ExemptionClaim[ID_EC],0))=0,"None",INDEX(TR_5ExemptionClaim[CRPF name],MATCH(TR_6RecyclingArranger[[#This Row],[ID_EC]],TR_5ExemptionClaim[ID_EC],0))))</f>
        <v/>
      </c>
      <c r="G292" s="45"/>
      <c r="H292" s="108"/>
      <c r="I292" s="47"/>
      <c r="J292" s="48"/>
      <c r="K292" s="47"/>
      <c r="L292" s="79">
        <f>IF(COUNTIFS(TR_6RecyclingArranger[ID_EC],TR_6RecyclingArranger[[#This Row],[ID_EC]],TR_6RecyclingArranger[Name of Third-Party Recycling Arranger],TR_6RecyclingArranger[[#This Row],[Name of Third-Party Recycling Arranger]])&gt;1,1,0)</f>
        <v>0</v>
      </c>
      <c r="M292" s="79">
        <f>IF(TR_6RecyclingArranger[[#This Row],[ID_EC]]="",0,IFERROR(0*MATCH(TR_6RecyclingArranger[[#This Row],[ID_EC]],TR_5ExemptionClaim[Lookup: for arranger tab],0),1))</f>
        <v>0</v>
      </c>
      <c r="N292" s="79">
        <f>IF(TR_6RecyclingArranger[[#This Row],[ID_EC]]="",0,IF(COUNTA(TR_6RecyclingArranger[[#This Row],[Name of Third-Party Recycling Arranger]],TR_6RecyclingArranger[[#This Row],[Pounds of Producer''s Material Recycled by this Recycling Arranger]:[Recycling Arranger Contact Email]])=7,0,1))</f>
        <v>0</v>
      </c>
      <c r="O292" s="79">
        <f>IF(TR_6RecyclingArranger[[#This Row],[ID_EC]]&lt;&gt;"",0,IF(COUNTA(TR_6RecyclingArranger[[#This Row],[Name of Third-Party Recycling Arranger]],TR_6RecyclingArranger[[#This Row],[Pounds of Producer''s Material Recycled by this Recycling Arranger]:[Recycling Arranger Contact Email]])&gt;0,1,0))</f>
        <v>0</v>
      </c>
      <c r="P292" s="79">
        <f>IF(TR_6RecyclingArranger[[#This Row],[Lookup: pounds (this table)]]&gt;TR_6RecyclingArranger[[#This Row],[Lookup: pounds (5B tab)]],1,0)</f>
        <v>0</v>
      </c>
      <c r="Q292" s="78">
        <f>SUMIFS(TR_6RecyclingArranger[Pounds of Producer''s Material Recycled by this Recycling Arranger],TR_6RecyclingArranger[ID_EC],TR_6RecyclingArranger[[#This Row],[ID_EC]])</f>
        <v>0</v>
      </c>
      <c r="R292" s="78">
        <f>IFERROR(INDEX(TR_5ExemptionClaim[How many of the pounds recycled through this pathway were supplied by this producer?],MATCH(TR_6RecyclingArranger[[#This Row],[ID_EC]],TR_5ExemptionClaim[ID_EC],0)),0)</f>
        <v>0</v>
      </c>
      <c r="S292" s="81" t="str">
        <f t="shared" si="4"/>
        <v/>
      </c>
      <c r="T292" s="40"/>
      <c r="U292" s="58"/>
    </row>
    <row r="293" spans="1:21" ht="30.75" customHeight="1" x14ac:dyDescent="0.2">
      <c r="A293" s="82" t="s">
        <v>677</v>
      </c>
      <c r="B293" s="46"/>
      <c r="C293" s="113"/>
      <c r="D293" s="215" t="str">
        <f>IF(TR_6RecyclingArranger[[#This Row],[ID_EC]]="","",INDEX(TR_5ExemptionClaim[End Market Name],MATCH(TR_6RecyclingArranger[[#This Row],[ID_EC]],TR_5ExemptionClaim[ID_EC],0)))</f>
        <v/>
      </c>
      <c r="E293" s="215" t="str">
        <f>IF(TR_6RecyclingArranger[[#This Row],[ID_EC]]="","",INDEX(TR_5ExemptionClaim[Collection or Transportation Service Provider Name],MATCH(TR_6RecyclingArranger[[#This Row],[ID_EC]],TR_5ExemptionClaim[ID_EC],0)))</f>
        <v/>
      </c>
      <c r="F293" s="215" t="str">
        <f>IF(TR_6RecyclingArranger[[#This Row],[ID_EC]]="","",IF(INDEX(TR_5ExemptionClaim[CRPF name],MATCH(TR_6RecyclingArranger[[#This Row],[ID_EC]],TR_5ExemptionClaim[ID_EC],0))=0,"None",INDEX(TR_5ExemptionClaim[CRPF name],MATCH(TR_6RecyclingArranger[[#This Row],[ID_EC]],TR_5ExemptionClaim[ID_EC],0))))</f>
        <v/>
      </c>
      <c r="G293" s="45"/>
      <c r="H293" s="108"/>
      <c r="I293" s="47"/>
      <c r="J293" s="48"/>
      <c r="K293" s="47"/>
      <c r="L293" s="79">
        <f>IF(COUNTIFS(TR_6RecyclingArranger[ID_EC],TR_6RecyclingArranger[[#This Row],[ID_EC]],TR_6RecyclingArranger[Name of Third-Party Recycling Arranger],TR_6RecyclingArranger[[#This Row],[Name of Third-Party Recycling Arranger]])&gt;1,1,0)</f>
        <v>0</v>
      </c>
      <c r="M293" s="79">
        <f>IF(TR_6RecyclingArranger[[#This Row],[ID_EC]]="",0,IFERROR(0*MATCH(TR_6RecyclingArranger[[#This Row],[ID_EC]],TR_5ExemptionClaim[Lookup: for arranger tab],0),1))</f>
        <v>0</v>
      </c>
      <c r="N293" s="79">
        <f>IF(TR_6RecyclingArranger[[#This Row],[ID_EC]]="",0,IF(COUNTA(TR_6RecyclingArranger[[#This Row],[Name of Third-Party Recycling Arranger]],TR_6RecyclingArranger[[#This Row],[Pounds of Producer''s Material Recycled by this Recycling Arranger]:[Recycling Arranger Contact Email]])=7,0,1))</f>
        <v>0</v>
      </c>
      <c r="O293" s="79">
        <f>IF(TR_6RecyclingArranger[[#This Row],[ID_EC]]&lt;&gt;"",0,IF(COUNTA(TR_6RecyclingArranger[[#This Row],[Name of Third-Party Recycling Arranger]],TR_6RecyclingArranger[[#This Row],[Pounds of Producer''s Material Recycled by this Recycling Arranger]:[Recycling Arranger Contact Email]])&gt;0,1,0))</f>
        <v>0</v>
      </c>
      <c r="P293" s="79">
        <f>IF(TR_6RecyclingArranger[[#This Row],[Lookup: pounds (this table)]]&gt;TR_6RecyclingArranger[[#This Row],[Lookup: pounds (5B tab)]],1,0)</f>
        <v>0</v>
      </c>
      <c r="Q293" s="78">
        <f>SUMIFS(TR_6RecyclingArranger[Pounds of Producer''s Material Recycled by this Recycling Arranger],TR_6RecyclingArranger[ID_EC],TR_6RecyclingArranger[[#This Row],[ID_EC]])</f>
        <v>0</v>
      </c>
      <c r="R293" s="78">
        <f>IFERROR(INDEX(TR_5ExemptionClaim[How many of the pounds recycled through this pathway were supplied by this producer?],MATCH(TR_6RecyclingArranger[[#This Row],[ID_EC]],TR_5ExemptionClaim[ID_EC],0)),0)</f>
        <v>0</v>
      </c>
      <c r="S293" s="81" t="str">
        <f t="shared" si="4"/>
        <v/>
      </c>
      <c r="T293" s="40"/>
      <c r="U293" s="58"/>
    </row>
    <row r="294" spans="1:21" ht="30.75" customHeight="1" x14ac:dyDescent="0.2">
      <c r="A294" s="82" t="s">
        <v>678</v>
      </c>
      <c r="B294" s="46"/>
      <c r="C294" s="113"/>
      <c r="D294" s="215" t="str">
        <f>IF(TR_6RecyclingArranger[[#This Row],[ID_EC]]="","",INDEX(TR_5ExemptionClaim[End Market Name],MATCH(TR_6RecyclingArranger[[#This Row],[ID_EC]],TR_5ExemptionClaim[ID_EC],0)))</f>
        <v/>
      </c>
      <c r="E294" s="215" t="str">
        <f>IF(TR_6RecyclingArranger[[#This Row],[ID_EC]]="","",INDEX(TR_5ExemptionClaim[Collection or Transportation Service Provider Name],MATCH(TR_6RecyclingArranger[[#This Row],[ID_EC]],TR_5ExemptionClaim[ID_EC],0)))</f>
        <v/>
      </c>
      <c r="F294" s="215" t="str">
        <f>IF(TR_6RecyclingArranger[[#This Row],[ID_EC]]="","",IF(INDEX(TR_5ExemptionClaim[CRPF name],MATCH(TR_6RecyclingArranger[[#This Row],[ID_EC]],TR_5ExemptionClaim[ID_EC],0))=0,"None",INDEX(TR_5ExemptionClaim[CRPF name],MATCH(TR_6RecyclingArranger[[#This Row],[ID_EC]],TR_5ExemptionClaim[ID_EC],0))))</f>
        <v/>
      </c>
      <c r="G294" s="45"/>
      <c r="H294" s="108"/>
      <c r="I294" s="47"/>
      <c r="J294" s="48"/>
      <c r="K294" s="47"/>
      <c r="L294" s="79">
        <f>IF(COUNTIFS(TR_6RecyclingArranger[ID_EC],TR_6RecyclingArranger[[#This Row],[ID_EC]],TR_6RecyclingArranger[Name of Third-Party Recycling Arranger],TR_6RecyclingArranger[[#This Row],[Name of Third-Party Recycling Arranger]])&gt;1,1,0)</f>
        <v>0</v>
      </c>
      <c r="M294" s="79">
        <f>IF(TR_6RecyclingArranger[[#This Row],[ID_EC]]="",0,IFERROR(0*MATCH(TR_6RecyclingArranger[[#This Row],[ID_EC]],TR_5ExemptionClaim[Lookup: for arranger tab],0),1))</f>
        <v>0</v>
      </c>
      <c r="N294" s="79">
        <f>IF(TR_6RecyclingArranger[[#This Row],[ID_EC]]="",0,IF(COUNTA(TR_6RecyclingArranger[[#This Row],[Name of Third-Party Recycling Arranger]],TR_6RecyclingArranger[[#This Row],[Pounds of Producer''s Material Recycled by this Recycling Arranger]:[Recycling Arranger Contact Email]])=7,0,1))</f>
        <v>0</v>
      </c>
      <c r="O294" s="79">
        <f>IF(TR_6RecyclingArranger[[#This Row],[ID_EC]]&lt;&gt;"",0,IF(COUNTA(TR_6RecyclingArranger[[#This Row],[Name of Third-Party Recycling Arranger]],TR_6RecyclingArranger[[#This Row],[Pounds of Producer''s Material Recycled by this Recycling Arranger]:[Recycling Arranger Contact Email]])&gt;0,1,0))</f>
        <v>0</v>
      </c>
      <c r="P294" s="79">
        <f>IF(TR_6RecyclingArranger[[#This Row],[Lookup: pounds (this table)]]&gt;TR_6RecyclingArranger[[#This Row],[Lookup: pounds (5B tab)]],1,0)</f>
        <v>0</v>
      </c>
      <c r="Q294" s="78">
        <f>SUMIFS(TR_6RecyclingArranger[Pounds of Producer''s Material Recycled by this Recycling Arranger],TR_6RecyclingArranger[ID_EC],TR_6RecyclingArranger[[#This Row],[ID_EC]])</f>
        <v>0</v>
      </c>
      <c r="R294" s="78">
        <f>IFERROR(INDEX(TR_5ExemptionClaim[How many of the pounds recycled through this pathway were supplied by this producer?],MATCH(TR_6RecyclingArranger[[#This Row],[ID_EC]],TR_5ExemptionClaim[ID_EC],0)),0)</f>
        <v>0</v>
      </c>
      <c r="S294" s="81" t="str">
        <f t="shared" si="4"/>
        <v/>
      </c>
      <c r="T294" s="40"/>
      <c r="U294" s="58"/>
    </row>
    <row r="295" spans="1:21" ht="30.75" customHeight="1" x14ac:dyDescent="0.2">
      <c r="A295" s="82" t="s">
        <v>679</v>
      </c>
      <c r="B295" s="46"/>
      <c r="C295" s="113"/>
      <c r="D295" s="215" t="str">
        <f>IF(TR_6RecyclingArranger[[#This Row],[ID_EC]]="","",INDEX(TR_5ExemptionClaim[End Market Name],MATCH(TR_6RecyclingArranger[[#This Row],[ID_EC]],TR_5ExemptionClaim[ID_EC],0)))</f>
        <v/>
      </c>
      <c r="E295" s="215" t="str">
        <f>IF(TR_6RecyclingArranger[[#This Row],[ID_EC]]="","",INDEX(TR_5ExemptionClaim[Collection or Transportation Service Provider Name],MATCH(TR_6RecyclingArranger[[#This Row],[ID_EC]],TR_5ExemptionClaim[ID_EC],0)))</f>
        <v/>
      </c>
      <c r="F295" s="215" t="str">
        <f>IF(TR_6RecyclingArranger[[#This Row],[ID_EC]]="","",IF(INDEX(TR_5ExemptionClaim[CRPF name],MATCH(TR_6RecyclingArranger[[#This Row],[ID_EC]],TR_5ExemptionClaim[ID_EC],0))=0,"None",INDEX(TR_5ExemptionClaim[CRPF name],MATCH(TR_6RecyclingArranger[[#This Row],[ID_EC]],TR_5ExemptionClaim[ID_EC],0))))</f>
        <v/>
      </c>
      <c r="G295" s="45"/>
      <c r="H295" s="108"/>
      <c r="I295" s="47"/>
      <c r="J295" s="48"/>
      <c r="K295" s="47"/>
      <c r="L295" s="79">
        <f>IF(COUNTIFS(TR_6RecyclingArranger[ID_EC],TR_6RecyclingArranger[[#This Row],[ID_EC]],TR_6RecyclingArranger[Name of Third-Party Recycling Arranger],TR_6RecyclingArranger[[#This Row],[Name of Third-Party Recycling Arranger]])&gt;1,1,0)</f>
        <v>0</v>
      </c>
      <c r="M295" s="79">
        <f>IF(TR_6RecyclingArranger[[#This Row],[ID_EC]]="",0,IFERROR(0*MATCH(TR_6RecyclingArranger[[#This Row],[ID_EC]],TR_5ExemptionClaim[Lookup: for arranger tab],0),1))</f>
        <v>0</v>
      </c>
      <c r="N295" s="79">
        <f>IF(TR_6RecyclingArranger[[#This Row],[ID_EC]]="",0,IF(COUNTA(TR_6RecyclingArranger[[#This Row],[Name of Third-Party Recycling Arranger]],TR_6RecyclingArranger[[#This Row],[Pounds of Producer''s Material Recycled by this Recycling Arranger]:[Recycling Arranger Contact Email]])=7,0,1))</f>
        <v>0</v>
      </c>
      <c r="O295" s="79">
        <f>IF(TR_6RecyclingArranger[[#This Row],[ID_EC]]&lt;&gt;"",0,IF(COUNTA(TR_6RecyclingArranger[[#This Row],[Name of Third-Party Recycling Arranger]],TR_6RecyclingArranger[[#This Row],[Pounds of Producer''s Material Recycled by this Recycling Arranger]:[Recycling Arranger Contact Email]])&gt;0,1,0))</f>
        <v>0</v>
      </c>
      <c r="P295" s="79">
        <f>IF(TR_6RecyclingArranger[[#This Row],[Lookup: pounds (this table)]]&gt;TR_6RecyclingArranger[[#This Row],[Lookup: pounds (5B tab)]],1,0)</f>
        <v>0</v>
      </c>
      <c r="Q295" s="78">
        <f>SUMIFS(TR_6RecyclingArranger[Pounds of Producer''s Material Recycled by this Recycling Arranger],TR_6RecyclingArranger[ID_EC],TR_6RecyclingArranger[[#This Row],[ID_EC]])</f>
        <v>0</v>
      </c>
      <c r="R295" s="78">
        <f>IFERROR(INDEX(TR_5ExemptionClaim[How many of the pounds recycled through this pathway were supplied by this producer?],MATCH(TR_6RecyclingArranger[[#This Row],[ID_EC]],TR_5ExemptionClaim[ID_EC],0)),0)</f>
        <v>0</v>
      </c>
      <c r="S295" s="81" t="str">
        <f t="shared" si="4"/>
        <v/>
      </c>
      <c r="T295" s="40"/>
      <c r="U295" s="58"/>
    </row>
    <row r="296" spans="1:21" ht="30.75" customHeight="1" x14ac:dyDescent="0.2">
      <c r="A296" s="82" t="s">
        <v>680</v>
      </c>
      <c r="B296" s="46"/>
      <c r="C296" s="113"/>
      <c r="D296" s="215" t="str">
        <f>IF(TR_6RecyclingArranger[[#This Row],[ID_EC]]="","",INDEX(TR_5ExemptionClaim[End Market Name],MATCH(TR_6RecyclingArranger[[#This Row],[ID_EC]],TR_5ExemptionClaim[ID_EC],0)))</f>
        <v/>
      </c>
      <c r="E296" s="215" t="str">
        <f>IF(TR_6RecyclingArranger[[#This Row],[ID_EC]]="","",INDEX(TR_5ExemptionClaim[Collection or Transportation Service Provider Name],MATCH(TR_6RecyclingArranger[[#This Row],[ID_EC]],TR_5ExemptionClaim[ID_EC],0)))</f>
        <v/>
      </c>
      <c r="F296" s="215" t="str">
        <f>IF(TR_6RecyclingArranger[[#This Row],[ID_EC]]="","",IF(INDEX(TR_5ExemptionClaim[CRPF name],MATCH(TR_6RecyclingArranger[[#This Row],[ID_EC]],TR_5ExemptionClaim[ID_EC],0))=0,"None",INDEX(TR_5ExemptionClaim[CRPF name],MATCH(TR_6RecyclingArranger[[#This Row],[ID_EC]],TR_5ExemptionClaim[ID_EC],0))))</f>
        <v/>
      </c>
      <c r="G296" s="45"/>
      <c r="H296" s="108"/>
      <c r="I296" s="47"/>
      <c r="J296" s="48"/>
      <c r="K296" s="47"/>
      <c r="L296" s="79">
        <f>IF(COUNTIFS(TR_6RecyclingArranger[ID_EC],TR_6RecyclingArranger[[#This Row],[ID_EC]],TR_6RecyclingArranger[Name of Third-Party Recycling Arranger],TR_6RecyclingArranger[[#This Row],[Name of Third-Party Recycling Arranger]])&gt;1,1,0)</f>
        <v>0</v>
      </c>
      <c r="M296" s="79">
        <f>IF(TR_6RecyclingArranger[[#This Row],[ID_EC]]="",0,IFERROR(0*MATCH(TR_6RecyclingArranger[[#This Row],[ID_EC]],TR_5ExemptionClaim[Lookup: for arranger tab],0),1))</f>
        <v>0</v>
      </c>
      <c r="N296" s="79">
        <f>IF(TR_6RecyclingArranger[[#This Row],[ID_EC]]="",0,IF(COUNTA(TR_6RecyclingArranger[[#This Row],[Name of Third-Party Recycling Arranger]],TR_6RecyclingArranger[[#This Row],[Pounds of Producer''s Material Recycled by this Recycling Arranger]:[Recycling Arranger Contact Email]])=7,0,1))</f>
        <v>0</v>
      </c>
      <c r="O296" s="79">
        <f>IF(TR_6RecyclingArranger[[#This Row],[ID_EC]]&lt;&gt;"",0,IF(COUNTA(TR_6RecyclingArranger[[#This Row],[Name of Third-Party Recycling Arranger]],TR_6RecyclingArranger[[#This Row],[Pounds of Producer''s Material Recycled by this Recycling Arranger]:[Recycling Arranger Contact Email]])&gt;0,1,0))</f>
        <v>0</v>
      </c>
      <c r="P296" s="79">
        <f>IF(TR_6RecyclingArranger[[#This Row],[Lookup: pounds (this table)]]&gt;TR_6RecyclingArranger[[#This Row],[Lookup: pounds (5B tab)]],1,0)</f>
        <v>0</v>
      </c>
      <c r="Q296" s="78">
        <f>SUMIFS(TR_6RecyclingArranger[Pounds of Producer''s Material Recycled by this Recycling Arranger],TR_6RecyclingArranger[ID_EC],TR_6RecyclingArranger[[#This Row],[ID_EC]])</f>
        <v>0</v>
      </c>
      <c r="R296" s="78">
        <f>IFERROR(INDEX(TR_5ExemptionClaim[How many of the pounds recycled through this pathway were supplied by this producer?],MATCH(TR_6RecyclingArranger[[#This Row],[ID_EC]],TR_5ExemptionClaim[ID_EC],0)),0)</f>
        <v>0</v>
      </c>
      <c r="S296" s="81" t="str">
        <f t="shared" si="4"/>
        <v/>
      </c>
      <c r="T296" s="40"/>
      <c r="U296" s="58"/>
    </row>
    <row r="297" spans="1:21" ht="30.75" customHeight="1" x14ac:dyDescent="0.2">
      <c r="A297" s="82" t="s">
        <v>681</v>
      </c>
      <c r="B297" s="46"/>
      <c r="C297" s="113"/>
      <c r="D297" s="215" t="str">
        <f>IF(TR_6RecyclingArranger[[#This Row],[ID_EC]]="","",INDEX(TR_5ExemptionClaim[End Market Name],MATCH(TR_6RecyclingArranger[[#This Row],[ID_EC]],TR_5ExemptionClaim[ID_EC],0)))</f>
        <v/>
      </c>
      <c r="E297" s="215" t="str">
        <f>IF(TR_6RecyclingArranger[[#This Row],[ID_EC]]="","",INDEX(TR_5ExemptionClaim[Collection or Transportation Service Provider Name],MATCH(TR_6RecyclingArranger[[#This Row],[ID_EC]],TR_5ExemptionClaim[ID_EC],0)))</f>
        <v/>
      </c>
      <c r="F297" s="215" t="str">
        <f>IF(TR_6RecyclingArranger[[#This Row],[ID_EC]]="","",IF(INDEX(TR_5ExemptionClaim[CRPF name],MATCH(TR_6RecyclingArranger[[#This Row],[ID_EC]],TR_5ExemptionClaim[ID_EC],0))=0,"None",INDEX(TR_5ExemptionClaim[CRPF name],MATCH(TR_6RecyclingArranger[[#This Row],[ID_EC]],TR_5ExemptionClaim[ID_EC],0))))</f>
        <v/>
      </c>
      <c r="G297" s="45"/>
      <c r="H297" s="108"/>
      <c r="I297" s="47"/>
      <c r="J297" s="48"/>
      <c r="K297" s="47"/>
      <c r="L297" s="79">
        <f>IF(COUNTIFS(TR_6RecyclingArranger[ID_EC],TR_6RecyclingArranger[[#This Row],[ID_EC]],TR_6RecyclingArranger[Name of Third-Party Recycling Arranger],TR_6RecyclingArranger[[#This Row],[Name of Third-Party Recycling Arranger]])&gt;1,1,0)</f>
        <v>0</v>
      </c>
      <c r="M297" s="79">
        <f>IF(TR_6RecyclingArranger[[#This Row],[ID_EC]]="",0,IFERROR(0*MATCH(TR_6RecyclingArranger[[#This Row],[ID_EC]],TR_5ExemptionClaim[Lookup: for arranger tab],0),1))</f>
        <v>0</v>
      </c>
      <c r="N297" s="79">
        <f>IF(TR_6RecyclingArranger[[#This Row],[ID_EC]]="",0,IF(COUNTA(TR_6RecyclingArranger[[#This Row],[Name of Third-Party Recycling Arranger]],TR_6RecyclingArranger[[#This Row],[Pounds of Producer''s Material Recycled by this Recycling Arranger]:[Recycling Arranger Contact Email]])=7,0,1))</f>
        <v>0</v>
      </c>
      <c r="O297" s="79">
        <f>IF(TR_6RecyclingArranger[[#This Row],[ID_EC]]&lt;&gt;"",0,IF(COUNTA(TR_6RecyclingArranger[[#This Row],[Name of Third-Party Recycling Arranger]],TR_6RecyclingArranger[[#This Row],[Pounds of Producer''s Material Recycled by this Recycling Arranger]:[Recycling Arranger Contact Email]])&gt;0,1,0))</f>
        <v>0</v>
      </c>
      <c r="P297" s="79">
        <f>IF(TR_6RecyclingArranger[[#This Row],[Lookup: pounds (this table)]]&gt;TR_6RecyclingArranger[[#This Row],[Lookup: pounds (5B tab)]],1,0)</f>
        <v>0</v>
      </c>
      <c r="Q297" s="78">
        <f>SUMIFS(TR_6RecyclingArranger[Pounds of Producer''s Material Recycled by this Recycling Arranger],TR_6RecyclingArranger[ID_EC],TR_6RecyclingArranger[[#This Row],[ID_EC]])</f>
        <v>0</v>
      </c>
      <c r="R297" s="78">
        <f>IFERROR(INDEX(TR_5ExemptionClaim[How many of the pounds recycled through this pathway were supplied by this producer?],MATCH(TR_6RecyclingArranger[[#This Row],[ID_EC]],TR_5ExemptionClaim[ID_EC],0)),0)</f>
        <v>0</v>
      </c>
      <c r="S297" s="81" t="str">
        <f t="shared" si="4"/>
        <v/>
      </c>
      <c r="T297" s="40"/>
      <c r="U297" s="58"/>
    </row>
    <row r="298" spans="1:21" ht="30.75" customHeight="1" x14ac:dyDescent="0.2">
      <c r="A298" s="82" t="s">
        <v>682</v>
      </c>
      <c r="B298" s="46"/>
      <c r="C298" s="113"/>
      <c r="D298" s="215" t="str">
        <f>IF(TR_6RecyclingArranger[[#This Row],[ID_EC]]="","",INDEX(TR_5ExemptionClaim[End Market Name],MATCH(TR_6RecyclingArranger[[#This Row],[ID_EC]],TR_5ExemptionClaim[ID_EC],0)))</f>
        <v/>
      </c>
      <c r="E298" s="215" t="str">
        <f>IF(TR_6RecyclingArranger[[#This Row],[ID_EC]]="","",INDEX(TR_5ExemptionClaim[Collection or Transportation Service Provider Name],MATCH(TR_6RecyclingArranger[[#This Row],[ID_EC]],TR_5ExemptionClaim[ID_EC],0)))</f>
        <v/>
      </c>
      <c r="F298" s="215" t="str">
        <f>IF(TR_6RecyclingArranger[[#This Row],[ID_EC]]="","",IF(INDEX(TR_5ExemptionClaim[CRPF name],MATCH(TR_6RecyclingArranger[[#This Row],[ID_EC]],TR_5ExemptionClaim[ID_EC],0))=0,"None",INDEX(TR_5ExemptionClaim[CRPF name],MATCH(TR_6RecyclingArranger[[#This Row],[ID_EC]],TR_5ExemptionClaim[ID_EC],0))))</f>
        <v/>
      </c>
      <c r="G298" s="45"/>
      <c r="H298" s="108"/>
      <c r="I298" s="47"/>
      <c r="J298" s="48"/>
      <c r="K298" s="47"/>
      <c r="L298" s="79">
        <f>IF(COUNTIFS(TR_6RecyclingArranger[ID_EC],TR_6RecyclingArranger[[#This Row],[ID_EC]],TR_6RecyclingArranger[Name of Third-Party Recycling Arranger],TR_6RecyclingArranger[[#This Row],[Name of Third-Party Recycling Arranger]])&gt;1,1,0)</f>
        <v>0</v>
      </c>
      <c r="M298" s="79">
        <f>IF(TR_6RecyclingArranger[[#This Row],[ID_EC]]="",0,IFERROR(0*MATCH(TR_6RecyclingArranger[[#This Row],[ID_EC]],TR_5ExemptionClaim[Lookup: for arranger tab],0),1))</f>
        <v>0</v>
      </c>
      <c r="N298" s="79">
        <f>IF(TR_6RecyclingArranger[[#This Row],[ID_EC]]="",0,IF(COUNTA(TR_6RecyclingArranger[[#This Row],[Name of Third-Party Recycling Arranger]],TR_6RecyclingArranger[[#This Row],[Pounds of Producer''s Material Recycled by this Recycling Arranger]:[Recycling Arranger Contact Email]])=7,0,1))</f>
        <v>0</v>
      </c>
      <c r="O298" s="79">
        <f>IF(TR_6RecyclingArranger[[#This Row],[ID_EC]]&lt;&gt;"",0,IF(COUNTA(TR_6RecyclingArranger[[#This Row],[Name of Third-Party Recycling Arranger]],TR_6RecyclingArranger[[#This Row],[Pounds of Producer''s Material Recycled by this Recycling Arranger]:[Recycling Arranger Contact Email]])&gt;0,1,0))</f>
        <v>0</v>
      </c>
      <c r="P298" s="79">
        <f>IF(TR_6RecyclingArranger[[#This Row],[Lookup: pounds (this table)]]&gt;TR_6RecyclingArranger[[#This Row],[Lookup: pounds (5B tab)]],1,0)</f>
        <v>0</v>
      </c>
      <c r="Q298" s="78">
        <f>SUMIFS(TR_6RecyclingArranger[Pounds of Producer''s Material Recycled by this Recycling Arranger],TR_6RecyclingArranger[ID_EC],TR_6RecyclingArranger[[#This Row],[ID_EC]])</f>
        <v>0</v>
      </c>
      <c r="R298" s="78">
        <f>IFERROR(INDEX(TR_5ExemptionClaim[How many of the pounds recycled through this pathway were supplied by this producer?],MATCH(TR_6RecyclingArranger[[#This Row],[ID_EC]],TR_5ExemptionClaim[ID_EC],0)),0)</f>
        <v>0</v>
      </c>
      <c r="S298" s="81" t="str">
        <f t="shared" si="4"/>
        <v/>
      </c>
      <c r="T298" s="40"/>
      <c r="U298" s="58"/>
    </row>
    <row r="299" spans="1:21" ht="30.75" customHeight="1" x14ac:dyDescent="0.2">
      <c r="A299" s="82" t="s">
        <v>683</v>
      </c>
      <c r="B299" s="46"/>
      <c r="C299" s="113"/>
      <c r="D299" s="215" t="str">
        <f>IF(TR_6RecyclingArranger[[#This Row],[ID_EC]]="","",INDEX(TR_5ExemptionClaim[End Market Name],MATCH(TR_6RecyclingArranger[[#This Row],[ID_EC]],TR_5ExemptionClaim[ID_EC],0)))</f>
        <v/>
      </c>
      <c r="E299" s="215" t="str">
        <f>IF(TR_6RecyclingArranger[[#This Row],[ID_EC]]="","",INDEX(TR_5ExemptionClaim[Collection or Transportation Service Provider Name],MATCH(TR_6RecyclingArranger[[#This Row],[ID_EC]],TR_5ExemptionClaim[ID_EC],0)))</f>
        <v/>
      </c>
      <c r="F299" s="215" t="str">
        <f>IF(TR_6RecyclingArranger[[#This Row],[ID_EC]]="","",IF(INDEX(TR_5ExemptionClaim[CRPF name],MATCH(TR_6RecyclingArranger[[#This Row],[ID_EC]],TR_5ExemptionClaim[ID_EC],0))=0,"None",INDEX(TR_5ExemptionClaim[CRPF name],MATCH(TR_6RecyclingArranger[[#This Row],[ID_EC]],TR_5ExemptionClaim[ID_EC],0))))</f>
        <v/>
      </c>
      <c r="G299" s="45"/>
      <c r="H299" s="108"/>
      <c r="I299" s="47"/>
      <c r="J299" s="48"/>
      <c r="K299" s="47"/>
      <c r="L299" s="79">
        <f>IF(COUNTIFS(TR_6RecyclingArranger[ID_EC],TR_6RecyclingArranger[[#This Row],[ID_EC]],TR_6RecyclingArranger[Name of Third-Party Recycling Arranger],TR_6RecyclingArranger[[#This Row],[Name of Third-Party Recycling Arranger]])&gt;1,1,0)</f>
        <v>0</v>
      </c>
      <c r="M299" s="79">
        <f>IF(TR_6RecyclingArranger[[#This Row],[ID_EC]]="",0,IFERROR(0*MATCH(TR_6RecyclingArranger[[#This Row],[ID_EC]],TR_5ExemptionClaim[Lookup: for arranger tab],0),1))</f>
        <v>0</v>
      </c>
      <c r="N299" s="79">
        <f>IF(TR_6RecyclingArranger[[#This Row],[ID_EC]]="",0,IF(COUNTA(TR_6RecyclingArranger[[#This Row],[Name of Third-Party Recycling Arranger]],TR_6RecyclingArranger[[#This Row],[Pounds of Producer''s Material Recycled by this Recycling Arranger]:[Recycling Arranger Contact Email]])=7,0,1))</f>
        <v>0</v>
      </c>
      <c r="O299" s="79">
        <f>IF(TR_6RecyclingArranger[[#This Row],[ID_EC]]&lt;&gt;"",0,IF(COUNTA(TR_6RecyclingArranger[[#This Row],[Name of Third-Party Recycling Arranger]],TR_6RecyclingArranger[[#This Row],[Pounds of Producer''s Material Recycled by this Recycling Arranger]:[Recycling Arranger Contact Email]])&gt;0,1,0))</f>
        <v>0</v>
      </c>
      <c r="P299" s="79">
        <f>IF(TR_6RecyclingArranger[[#This Row],[Lookup: pounds (this table)]]&gt;TR_6RecyclingArranger[[#This Row],[Lookup: pounds (5B tab)]],1,0)</f>
        <v>0</v>
      </c>
      <c r="Q299" s="78">
        <f>SUMIFS(TR_6RecyclingArranger[Pounds of Producer''s Material Recycled by this Recycling Arranger],TR_6RecyclingArranger[ID_EC],TR_6RecyclingArranger[[#This Row],[ID_EC]])</f>
        <v>0</v>
      </c>
      <c r="R299" s="78">
        <f>IFERROR(INDEX(TR_5ExemptionClaim[How many of the pounds recycled through this pathway were supplied by this producer?],MATCH(TR_6RecyclingArranger[[#This Row],[ID_EC]],TR_5ExemptionClaim[ID_EC],0)),0)</f>
        <v>0</v>
      </c>
      <c r="S299" s="81" t="str">
        <f t="shared" si="4"/>
        <v/>
      </c>
      <c r="T299" s="40"/>
      <c r="U299" s="58"/>
    </row>
    <row r="300" spans="1:21" ht="30.75" customHeight="1" x14ac:dyDescent="0.2">
      <c r="A300" s="82" t="s">
        <v>684</v>
      </c>
      <c r="B300" s="46"/>
      <c r="C300" s="113"/>
      <c r="D300" s="215" t="str">
        <f>IF(TR_6RecyclingArranger[[#This Row],[ID_EC]]="","",INDEX(TR_5ExemptionClaim[End Market Name],MATCH(TR_6RecyclingArranger[[#This Row],[ID_EC]],TR_5ExemptionClaim[ID_EC],0)))</f>
        <v/>
      </c>
      <c r="E300" s="215" t="str">
        <f>IF(TR_6RecyclingArranger[[#This Row],[ID_EC]]="","",INDEX(TR_5ExemptionClaim[Collection or Transportation Service Provider Name],MATCH(TR_6RecyclingArranger[[#This Row],[ID_EC]],TR_5ExemptionClaim[ID_EC],0)))</f>
        <v/>
      </c>
      <c r="F300" s="215" t="str">
        <f>IF(TR_6RecyclingArranger[[#This Row],[ID_EC]]="","",IF(INDEX(TR_5ExemptionClaim[CRPF name],MATCH(TR_6RecyclingArranger[[#This Row],[ID_EC]],TR_5ExemptionClaim[ID_EC],0))=0,"None",INDEX(TR_5ExemptionClaim[CRPF name],MATCH(TR_6RecyclingArranger[[#This Row],[ID_EC]],TR_5ExemptionClaim[ID_EC],0))))</f>
        <v/>
      </c>
      <c r="G300" s="45"/>
      <c r="H300" s="108"/>
      <c r="I300" s="47"/>
      <c r="J300" s="48"/>
      <c r="K300" s="47"/>
      <c r="L300" s="79">
        <f>IF(COUNTIFS(TR_6RecyclingArranger[ID_EC],TR_6RecyclingArranger[[#This Row],[ID_EC]],TR_6RecyclingArranger[Name of Third-Party Recycling Arranger],TR_6RecyclingArranger[[#This Row],[Name of Third-Party Recycling Arranger]])&gt;1,1,0)</f>
        <v>0</v>
      </c>
      <c r="M300" s="79">
        <f>IF(TR_6RecyclingArranger[[#This Row],[ID_EC]]="",0,IFERROR(0*MATCH(TR_6RecyclingArranger[[#This Row],[ID_EC]],TR_5ExemptionClaim[Lookup: for arranger tab],0),1))</f>
        <v>0</v>
      </c>
      <c r="N300" s="79">
        <f>IF(TR_6RecyclingArranger[[#This Row],[ID_EC]]="",0,IF(COUNTA(TR_6RecyclingArranger[[#This Row],[Name of Third-Party Recycling Arranger]],TR_6RecyclingArranger[[#This Row],[Pounds of Producer''s Material Recycled by this Recycling Arranger]:[Recycling Arranger Contact Email]])=7,0,1))</f>
        <v>0</v>
      </c>
      <c r="O300" s="79">
        <f>IF(TR_6RecyclingArranger[[#This Row],[ID_EC]]&lt;&gt;"",0,IF(COUNTA(TR_6RecyclingArranger[[#This Row],[Name of Third-Party Recycling Arranger]],TR_6RecyclingArranger[[#This Row],[Pounds of Producer''s Material Recycled by this Recycling Arranger]:[Recycling Arranger Contact Email]])&gt;0,1,0))</f>
        <v>0</v>
      </c>
      <c r="P300" s="79">
        <f>IF(TR_6RecyclingArranger[[#This Row],[Lookup: pounds (this table)]]&gt;TR_6RecyclingArranger[[#This Row],[Lookup: pounds (5B tab)]],1,0)</f>
        <v>0</v>
      </c>
      <c r="Q300" s="78">
        <f>SUMIFS(TR_6RecyclingArranger[Pounds of Producer''s Material Recycled by this Recycling Arranger],TR_6RecyclingArranger[ID_EC],TR_6RecyclingArranger[[#This Row],[ID_EC]])</f>
        <v>0</v>
      </c>
      <c r="R300" s="78">
        <f>IFERROR(INDEX(TR_5ExemptionClaim[How many of the pounds recycled through this pathway were supplied by this producer?],MATCH(TR_6RecyclingArranger[[#This Row],[ID_EC]],TR_5ExemptionClaim[ID_EC],0)),0)</f>
        <v>0</v>
      </c>
      <c r="S300" s="81" t="str">
        <f t="shared" si="4"/>
        <v/>
      </c>
      <c r="T300" s="40"/>
      <c r="U300" s="58"/>
    </row>
    <row r="301" spans="1:21" ht="30.75" customHeight="1" x14ac:dyDescent="0.2">
      <c r="A301" s="82" t="s">
        <v>685</v>
      </c>
      <c r="B301" s="46"/>
      <c r="C301" s="113"/>
      <c r="D301" s="215" t="str">
        <f>IF(TR_6RecyclingArranger[[#This Row],[ID_EC]]="","",INDEX(TR_5ExemptionClaim[End Market Name],MATCH(TR_6RecyclingArranger[[#This Row],[ID_EC]],TR_5ExemptionClaim[ID_EC],0)))</f>
        <v/>
      </c>
      <c r="E301" s="215" t="str">
        <f>IF(TR_6RecyclingArranger[[#This Row],[ID_EC]]="","",INDEX(TR_5ExemptionClaim[Collection or Transportation Service Provider Name],MATCH(TR_6RecyclingArranger[[#This Row],[ID_EC]],TR_5ExemptionClaim[ID_EC],0)))</f>
        <v/>
      </c>
      <c r="F301" s="215" t="str">
        <f>IF(TR_6RecyclingArranger[[#This Row],[ID_EC]]="","",IF(INDEX(TR_5ExemptionClaim[CRPF name],MATCH(TR_6RecyclingArranger[[#This Row],[ID_EC]],TR_5ExemptionClaim[ID_EC],0))=0,"None",INDEX(TR_5ExemptionClaim[CRPF name],MATCH(TR_6RecyclingArranger[[#This Row],[ID_EC]],TR_5ExemptionClaim[ID_EC],0))))</f>
        <v/>
      </c>
      <c r="G301" s="45"/>
      <c r="H301" s="108"/>
      <c r="I301" s="47"/>
      <c r="J301" s="48"/>
      <c r="K301" s="47"/>
      <c r="L301" s="79">
        <f>IF(COUNTIFS(TR_6RecyclingArranger[ID_EC],TR_6RecyclingArranger[[#This Row],[ID_EC]],TR_6RecyclingArranger[Name of Third-Party Recycling Arranger],TR_6RecyclingArranger[[#This Row],[Name of Third-Party Recycling Arranger]])&gt;1,1,0)</f>
        <v>0</v>
      </c>
      <c r="M301" s="79">
        <f>IF(TR_6RecyclingArranger[[#This Row],[ID_EC]]="",0,IFERROR(0*MATCH(TR_6RecyclingArranger[[#This Row],[ID_EC]],TR_5ExemptionClaim[Lookup: for arranger tab],0),1))</f>
        <v>0</v>
      </c>
      <c r="N301" s="79">
        <f>IF(TR_6RecyclingArranger[[#This Row],[ID_EC]]="",0,IF(COUNTA(TR_6RecyclingArranger[[#This Row],[Name of Third-Party Recycling Arranger]],TR_6RecyclingArranger[[#This Row],[Pounds of Producer''s Material Recycled by this Recycling Arranger]:[Recycling Arranger Contact Email]])=7,0,1))</f>
        <v>0</v>
      </c>
      <c r="O301" s="79">
        <f>IF(TR_6RecyclingArranger[[#This Row],[ID_EC]]&lt;&gt;"",0,IF(COUNTA(TR_6RecyclingArranger[[#This Row],[Name of Third-Party Recycling Arranger]],TR_6RecyclingArranger[[#This Row],[Pounds of Producer''s Material Recycled by this Recycling Arranger]:[Recycling Arranger Contact Email]])&gt;0,1,0))</f>
        <v>0</v>
      </c>
      <c r="P301" s="79">
        <f>IF(TR_6RecyclingArranger[[#This Row],[Lookup: pounds (this table)]]&gt;TR_6RecyclingArranger[[#This Row],[Lookup: pounds (5B tab)]],1,0)</f>
        <v>0</v>
      </c>
      <c r="Q301" s="78">
        <f>SUMIFS(TR_6RecyclingArranger[Pounds of Producer''s Material Recycled by this Recycling Arranger],TR_6RecyclingArranger[ID_EC],TR_6RecyclingArranger[[#This Row],[ID_EC]])</f>
        <v>0</v>
      </c>
      <c r="R301" s="78">
        <f>IFERROR(INDEX(TR_5ExemptionClaim[How many of the pounds recycled through this pathway were supplied by this producer?],MATCH(TR_6RecyclingArranger[[#This Row],[ID_EC]],TR_5ExemptionClaim[ID_EC],0)),0)</f>
        <v>0</v>
      </c>
      <c r="S301" s="81" t="str">
        <f t="shared" si="4"/>
        <v/>
      </c>
      <c r="T301" s="40"/>
      <c r="U301" s="58"/>
    </row>
    <row r="302" spans="1:21" ht="30.75" customHeight="1" x14ac:dyDescent="0.2">
      <c r="A302" s="82" t="s">
        <v>686</v>
      </c>
      <c r="B302" s="46"/>
      <c r="C302" s="113"/>
      <c r="D302" s="215" t="str">
        <f>IF(TR_6RecyclingArranger[[#This Row],[ID_EC]]="","",INDEX(TR_5ExemptionClaim[End Market Name],MATCH(TR_6RecyclingArranger[[#This Row],[ID_EC]],TR_5ExemptionClaim[ID_EC],0)))</f>
        <v/>
      </c>
      <c r="E302" s="215" t="str">
        <f>IF(TR_6RecyclingArranger[[#This Row],[ID_EC]]="","",INDEX(TR_5ExemptionClaim[Collection or Transportation Service Provider Name],MATCH(TR_6RecyclingArranger[[#This Row],[ID_EC]],TR_5ExemptionClaim[ID_EC],0)))</f>
        <v/>
      </c>
      <c r="F302" s="215" t="str">
        <f>IF(TR_6RecyclingArranger[[#This Row],[ID_EC]]="","",IF(INDEX(TR_5ExemptionClaim[CRPF name],MATCH(TR_6RecyclingArranger[[#This Row],[ID_EC]],TR_5ExemptionClaim[ID_EC],0))=0,"None",INDEX(TR_5ExemptionClaim[CRPF name],MATCH(TR_6RecyclingArranger[[#This Row],[ID_EC]],TR_5ExemptionClaim[ID_EC],0))))</f>
        <v/>
      </c>
      <c r="G302" s="45"/>
      <c r="H302" s="108"/>
      <c r="I302" s="47"/>
      <c r="J302" s="48"/>
      <c r="K302" s="47"/>
      <c r="L302" s="79">
        <f>IF(COUNTIFS(TR_6RecyclingArranger[ID_EC],TR_6RecyclingArranger[[#This Row],[ID_EC]],TR_6RecyclingArranger[Name of Third-Party Recycling Arranger],TR_6RecyclingArranger[[#This Row],[Name of Third-Party Recycling Arranger]])&gt;1,1,0)</f>
        <v>0</v>
      </c>
      <c r="M302" s="79">
        <f>IF(TR_6RecyclingArranger[[#This Row],[ID_EC]]="",0,IFERROR(0*MATCH(TR_6RecyclingArranger[[#This Row],[ID_EC]],TR_5ExemptionClaim[Lookup: for arranger tab],0),1))</f>
        <v>0</v>
      </c>
      <c r="N302" s="79">
        <f>IF(TR_6RecyclingArranger[[#This Row],[ID_EC]]="",0,IF(COUNTA(TR_6RecyclingArranger[[#This Row],[Name of Third-Party Recycling Arranger]],TR_6RecyclingArranger[[#This Row],[Pounds of Producer''s Material Recycled by this Recycling Arranger]:[Recycling Arranger Contact Email]])=7,0,1))</f>
        <v>0</v>
      </c>
      <c r="O302" s="79">
        <f>IF(TR_6RecyclingArranger[[#This Row],[ID_EC]]&lt;&gt;"",0,IF(COUNTA(TR_6RecyclingArranger[[#This Row],[Name of Third-Party Recycling Arranger]],TR_6RecyclingArranger[[#This Row],[Pounds of Producer''s Material Recycled by this Recycling Arranger]:[Recycling Arranger Contact Email]])&gt;0,1,0))</f>
        <v>0</v>
      </c>
      <c r="P302" s="79">
        <f>IF(TR_6RecyclingArranger[[#This Row],[Lookup: pounds (this table)]]&gt;TR_6RecyclingArranger[[#This Row],[Lookup: pounds (5B tab)]],1,0)</f>
        <v>0</v>
      </c>
      <c r="Q302" s="78">
        <f>SUMIFS(TR_6RecyclingArranger[Pounds of Producer''s Material Recycled by this Recycling Arranger],TR_6RecyclingArranger[ID_EC],TR_6RecyclingArranger[[#This Row],[ID_EC]])</f>
        <v>0</v>
      </c>
      <c r="R302" s="78">
        <f>IFERROR(INDEX(TR_5ExemptionClaim[How many of the pounds recycled through this pathway were supplied by this producer?],MATCH(TR_6RecyclingArranger[[#This Row],[ID_EC]],TR_5ExemptionClaim[ID_EC],0)),0)</f>
        <v>0</v>
      </c>
      <c r="S302" s="81" t="str">
        <f t="shared" si="4"/>
        <v/>
      </c>
      <c r="T302" s="40"/>
      <c r="U302" s="58"/>
    </row>
    <row r="303" spans="1:21" ht="30.75" customHeight="1" x14ac:dyDescent="0.2">
      <c r="A303" s="82" t="s">
        <v>687</v>
      </c>
      <c r="B303" s="46"/>
      <c r="C303" s="113"/>
      <c r="D303" s="215" t="str">
        <f>IF(TR_6RecyclingArranger[[#This Row],[ID_EC]]="","",INDEX(TR_5ExemptionClaim[End Market Name],MATCH(TR_6RecyclingArranger[[#This Row],[ID_EC]],TR_5ExemptionClaim[ID_EC],0)))</f>
        <v/>
      </c>
      <c r="E303" s="215" t="str">
        <f>IF(TR_6RecyclingArranger[[#This Row],[ID_EC]]="","",INDEX(TR_5ExemptionClaim[Collection or Transportation Service Provider Name],MATCH(TR_6RecyclingArranger[[#This Row],[ID_EC]],TR_5ExemptionClaim[ID_EC],0)))</f>
        <v/>
      </c>
      <c r="F303" s="215" t="str">
        <f>IF(TR_6RecyclingArranger[[#This Row],[ID_EC]]="","",IF(INDEX(TR_5ExemptionClaim[CRPF name],MATCH(TR_6RecyclingArranger[[#This Row],[ID_EC]],TR_5ExemptionClaim[ID_EC],0))=0,"None",INDEX(TR_5ExemptionClaim[CRPF name],MATCH(TR_6RecyclingArranger[[#This Row],[ID_EC]],TR_5ExemptionClaim[ID_EC],0))))</f>
        <v/>
      </c>
      <c r="G303" s="45"/>
      <c r="H303" s="108"/>
      <c r="I303" s="47"/>
      <c r="J303" s="48"/>
      <c r="K303" s="47"/>
      <c r="L303" s="79">
        <f>IF(COUNTIFS(TR_6RecyclingArranger[ID_EC],TR_6RecyclingArranger[[#This Row],[ID_EC]],TR_6RecyclingArranger[Name of Third-Party Recycling Arranger],TR_6RecyclingArranger[[#This Row],[Name of Third-Party Recycling Arranger]])&gt;1,1,0)</f>
        <v>0</v>
      </c>
      <c r="M303" s="79">
        <f>IF(TR_6RecyclingArranger[[#This Row],[ID_EC]]="",0,IFERROR(0*MATCH(TR_6RecyclingArranger[[#This Row],[ID_EC]],TR_5ExemptionClaim[Lookup: for arranger tab],0),1))</f>
        <v>0</v>
      </c>
      <c r="N303" s="79">
        <f>IF(TR_6RecyclingArranger[[#This Row],[ID_EC]]="",0,IF(COUNTA(TR_6RecyclingArranger[[#This Row],[Name of Third-Party Recycling Arranger]],TR_6RecyclingArranger[[#This Row],[Pounds of Producer''s Material Recycled by this Recycling Arranger]:[Recycling Arranger Contact Email]])=7,0,1))</f>
        <v>0</v>
      </c>
      <c r="O303" s="79">
        <f>IF(TR_6RecyclingArranger[[#This Row],[ID_EC]]&lt;&gt;"",0,IF(COUNTA(TR_6RecyclingArranger[[#This Row],[Name of Third-Party Recycling Arranger]],TR_6RecyclingArranger[[#This Row],[Pounds of Producer''s Material Recycled by this Recycling Arranger]:[Recycling Arranger Contact Email]])&gt;0,1,0))</f>
        <v>0</v>
      </c>
      <c r="P303" s="79">
        <f>IF(TR_6RecyclingArranger[[#This Row],[Lookup: pounds (this table)]]&gt;TR_6RecyclingArranger[[#This Row],[Lookup: pounds (5B tab)]],1,0)</f>
        <v>0</v>
      </c>
      <c r="Q303" s="78">
        <f>SUMIFS(TR_6RecyclingArranger[Pounds of Producer''s Material Recycled by this Recycling Arranger],TR_6RecyclingArranger[ID_EC],TR_6RecyclingArranger[[#This Row],[ID_EC]])</f>
        <v>0</v>
      </c>
      <c r="R303" s="78">
        <f>IFERROR(INDEX(TR_5ExemptionClaim[How many of the pounds recycled through this pathway were supplied by this producer?],MATCH(TR_6RecyclingArranger[[#This Row],[ID_EC]],TR_5ExemptionClaim[ID_EC],0)),0)</f>
        <v>0</v>
      </c>
      <c r="S303" s="81" t="str">
        <f t="shared" si="4"/>
        <v/>
      </c>
      <c r="T303" s="40"/>
      <c r="U303" s="58"/>
    </row>
    <row r="304" spans="1:21" ht="30.75" customHeight="1" x14ac:dyDescent="0.2">
      <c r="A304" s="82" t="s">
        <v>688</v>
      </c>
      <c r="B304" s="46"/>
      <c r="C304" s="113"/>
      <c r="D304" s="215" t="str">
        <f>IF(TR_6RecyclingArranger[[#This Row],[ID_EC]]="","",INDEX(TR_5ExemptionClaim[End Market Name],MATCH(TR_6RecyclingArranger[[#This Row],[ID_EC]],TR_5ExemptionClaim[ID_EC],0)))</f>
        <v/>
      </c>
      <c r="E304" s="215" t="str">
        <f>IF(TR_6RecyclingArranger[[#This Row],[ID_EC]]="","",INDEX(TR_5ExemptionClaim[Collection or Transportation Service Provider Name],MATCH(TR_6RecyclingArranger[[#This Row],[ID_EC]],TR_5ExemptionClaim[ID_EC],0)))</f>
        <v/>
      </c>
      <c r="F304" s="215" t="str">
        <f>IF(TR_6RecyclingArranger[[#This Row],[ID_EC]]="","",IF(INDEX(TR_5ExemptionClaim[CRPF name],MATCH(TR_6RecyclingArranger[[#This Row],[ID_EC]],TR_5ExemptionClaim[ID_EC],0))=0,"None",INDEX(TR_5ExemptionClaim[CRPF name],MATCH(TR_6RecyclingArranger[[#This Row],[ID_EC]],TR_5ExemptionClaim[ID_EC],0))))</f>
        <v/>
      </c>
      <c r="G304" s="45"/>
      <c r="H304" s="108"/>
      <c r="I304" s="47"/>
      <c r="J304" s="48"/>
      <c r="K304" s="47"/>
      <c r="L304" s="79">
        <f>IF(COUNTIFS(TR_6RecyclingArranger[ID_EC],TR_6RecyclingArranger[[#This Row],[ID_EC]],TR_6RecyclingArranger[Name of Third-Party Recycling Arranger],TR_6RecyclingArranger[[#This Row],[Name of Third-Party Recycling Arranger]])&gt;1,1,0)</f>
        <v>0</v>
      </c>
      <c r="M304" s="79">
        <f>IF(TR_6RecyclingArranger[[#This Row],[ID_EC]]="",0,IFERROR(0*MATCH(TR_6RecyclingArranger[[#This Row],[ID_EC]],TR_5ExemptionClaim[Lookup: for arranger tab],0),1))</f>
        <v>0</v>
      </c>
      <c r="N304" s="79">
        <f>IF(TR_6RecyclingArranger[[#This Row],[ID_EC]]="",0,IF(COUNTA(TR_6RecyclingArranger[[#This Row],[Name of Third-Party Recycling Arranger]],TR_6RecyclingArranger[[#This Row],[Pounds of Producer''s Material Recycled by this Recycling Arranger]:[Recycling Arranger Contact Email]])=7,0,1))</f>
        <v>0</v>
      </c>
      <c r="O304" s="79">
        <f>IF(TR_6RecyclingArranger[[#This Row],[ID_EC]]&lt;&gt;"",0,IF(COUNTA(TR_6RecyclingArranger[[#This Row],[Name of Third-Party Recycling Arranger]],TR_6RecyclingArranger[[#This Row],[Pounds of Producer''s Material Recycled by this Recycling Arranger]:[Recycling Arranger Contact Email]])&gt;0,1,0))</f>
        <v>0</v>
      </c>
      <c r="P304" s="79">
        <f>IF(TR_6RecyclingArranger[[#This Row],[Lookup: pounds (this table)]]&gt;TR_6RecyclingArranger[[#This Row],[Lookup: pounds (5B tab)]],1,0)</f>
        <v>0</v>
      </c>
      <c r="Q304" s="78">
        <f>SUMIFS(TR_6RecyclingArranger[Pounds of Producer''s Material Recycled by this Recycling Arranger],TR_6RecyclingArranger[ID_EC],TR_6RecyclingArranger[[#This Row],[ID_EC]])</f>
        <v>0</v>
      </c>
      <c r="R304" s="78">
        <f>IFERROR(INDEX(TR_5ExemptionClaim[How many of the pounds recycled through this pathway were supplied by this producer?],MATCH(TR_6RecyclingArranger[[#This Row],[ID_EC]],TR_5ExemptionClaim[ID_EC],0)),0)</f>
        <v>0</v>
      </c>
      <c r="S304" s="81" t="str">
        <f t="shared" si="4"/>
        <v/>
      </c>
      <c r="T304" s="40"/>
      <c r="U304" s="58"/>
    </row>
    <row r="305" spans="1:21" ht="30.75" customHeight="1" x14ac:dyDescent="0.2">
      <c r="A305" s="82" t="s">
        <v>689</v>
      </c>
      <c r="B305" s="46"/>
      <c r="C305" s="113"/>
      <c r="D305" s="215" t="str">
        <f>IF(TR_6RecyclingArranger[[#This Row],[ID_EC]]="","",INDEX(TR_5ExemptionClaim[End Market Name],MATCH(TR_6RecyclingArranger[[#This Row],[ID_EC]],TR_5ExemptionClaim[ID_EC],0)))</f>
        <v/>
      </c>
      <c r="E305" s="215" t="str">
        <f>IF(TR_6RecyclingArranger[[#This Row],[ID_EC]]="","",INDEX(TR_5ExemptionClaim[Collection or Transportation Service Provider Name],MATCH(TR_6RecyclingArranger[[#This Row],[ID_EC]],TR_5ExemptionClaim[ID_EC],0)))</f>
        <v/>
      </c>
      <c r="F305" s="215" t="str">
        <f>IF(TR_6RecyclingArranger[[#This Row],[ID_EC]]="","",IF(INDEX(TR_5ExemptionClaim[CRPF name],MATCH(TR_6RecyclingArranger[[#This Row],[ID_EC]],TR_5ExemptionClaim[ID_EC],0))=0,"None",INDEX(TR_5ExemptionClaim[CRPF name],MATCH(TR_6RecyclingArranger[[#This Row],[ID_EC]],TR_5ExemptionClaim[ID_EC],0))))</f>
        <v/>
      </c>
      <c r="G305" s="45"/>
      <c r="H305" s="108"/>
      <c r="I305" s="47"/>
      <c r="J305" s="48"/>
      <c r="K305" s="47"/>
      <c r="L305" s="79">
        <f>IF(COUNTIFS(TR_6RecyclingArranger[ID_EC],TR_6RecyclingArranger[[#This Row],[ID_EC]],TR_6RecyclingArranger[Name of Third-Party Recycling Arranger],TR_6RecyclingArranger[[#This Row],[Name of Third-Party Recycling Arranger]])&gt;1,1,0)</f>
        <v>0</v>
      </c>
      <c r="M305" s="79">
        <f>IF(TR_6RecyclingArranger[[#This Row],[ID_EC]]="",0,IFERROR(0*MATCH(TR_6RecyclingArranger[[#This Row],[ID_EC]],TR_5ExemptionClaim[Lookup: for arranger tab],0),1))</f>
        <v>0</v>
      </c>
      <c r="N305" s="79">
        <f>IF(TR_6RecyclingArranger[[#This Row],[ID_EC]]="",0,IF(COUNTA(TR_6RecyclingArranger[[#This Row],[Name of Third-Party Recycling Arranger]],TR_6RecyclingArranger[[#This Row],[Pounds of Producer''s Material Recycled by this Recycling Arranger]:[Recycling Arranger Contact Email]])=7,0,1))</f>
        <v>0</v>
      </c>
      <c r="O305" s="79">
        <f>IF(TR_6RecyclingArranger[[#This Row],[ID_EC]]&lt;&gt;"",0,IF(COUNTA(TR_6RecyclingArranger[[#This Row],[Name of Third-Party Recycling Arranger]],TR_6RecyclingArranger[[#This Row],[Pounds of Producer''s Material Recycled by this Recycling Arranger]:[Recycling Arranger Contact Email]])&gt;0,1,0))</f>
        <v>0</v>
      </c>
      <c r="P305" s="79">
        <f>IF(TR_6RecyclingArranger[[#This Row],[Lookup: pounds (this table)]]&gt;TR_6RecyclingArranger[[#This Row],[Lookup: pounds (5B tab)]],1,0)</f>
        <v>0</v>
      </c>
      <c r="Q305" s="78">
        <f>SUMIFS(TR_6RecyclingArranger[Pounds of Producer''s Material Recycled by this Recycling Arranger],TR_6RecyclingArranger[ID_EC],TR_6RecyclingArranger[[#This Row],[ID_EC]])</f>
        <v>0</v>
      </c>
      <c r="R305" s="78">
        <f>IFERROR(INDEX(TR_5ExemptionClaim[How many of the pounds recycled through this pathway were supplied by this producer?],MATCH(TR_6RecyclingArranger[[#This Row],[ID_EC]],TR_5ExemptionClaim[ID_EC],0)),0)</f>
        <v>0</v>
      </c>
      <c r="S305" s="81" t="str">
        <f t="shared" si="4"/>
        <v/>
      </c>
      <c r="T305" s="40"/>
      <c r="U305" s="58"/>
    </row>
    <row r="306" spans="1:21" ht="30.75" customHeight="1" x14ac:dyDescent="0.2">
      <c r="A306" s="82" t="s">
        <v>690</v>
      </c>
      <c r="B306" s="46"/>
      <c r="C306" s="113"/>
      <c r="D306" s="215" t="str">
        <f>IF(TR_6RecyclingArranger[[#This Row],[ID_EC]]="","",INDEX(TR_5ExemptionClaim[End Market Name],MATCH(TR_6RecyclingArranger[[#This Row],[ID_EC]],TR_5ExemptionClaim[ID_EC],0)))</f>
        <v/>
      </c>
      <c r="E306" s="215" t="str">
        <f>IF(TR_6RecyclingArranger[[#This Row],[ID_EC]]="","",INDEX(TR_5ExemptionClaim[Collection or Transportation Service Provider Name],MATCH(TR_6RecyclingArranger[[#This Row],[ID_EC]],TR_5ExemptionClaim[ID_EC],0)))</f>
        <v/>
      </c>
      <c r="F306" s="215" t="str">
        <f>IF(TR_6RecyclingArranger[[#This Row],[ID_EC]]="","",IF(INDEX(TR_5ExemptionClaim[CRPF name],MATCH(TR_6RecyclingArranger[[#This Row],[ID_EC]],TR_5ExemptionClaim[ID_EC],0))=0,"None",INDEX(TR_5ExemptionClaim[CRPF name],MATCH(TR_6RecyclingArranger[[#This Row],[ID_EC]],TR_5ExemptionClaim[ID_EC],0))))</f>
        <v/>
      </c>
      <c r="G306" s="45"/>
      <c r="H306" s="108"/>
      <c r="I306" s="47"/>
      <c r="J306" s="48"/>
      <c r="K306" s="47"/>
      <c r="L306" s="79">
        <f>IF(COUNTIFS(TR_6RecyclingArranger[ID_EC],TR_6RecyclingArranger[[#This Row],[ID_EC]],TR_6RecyclingArranger[Name of Third-Party Recycling Arranger],TR_6RecyclingArranger[[#This Row],[Name of Third-Party Recycling Arranger]])&gt;1,1,0)</f>
        <v>0</v>
      </c>
      <c r="M306" s="79">
        <f>IF(TR_6RecyclingArranger[[#This Row],[ID_EC]]="",0,IFERROR(0*MATCH(TR_6RecyclingArranger[[#This Row],[ID_EC]],TR_5ExemptionClaim[Lookup: for arranger tab],0),1))</f>
        <v>0</v>
      </c>
      <c r="N306" s="79">
        <f>IF(TR_6RecyclingArranger[[#This Row],[ID_EC]]="",0,IF(COUNTA(TR_6RecyclingArranger[[#This Row],[Name of Third-Party Recycling Arranger]],TR_6RecyclingArranger[[#This Row],[Pounds of Producer''s Material Recycled by this Recycling Arranger]:[Recycling Arranger Contact Email]])=7,0,1))</f>
        <v>0</v>
      </c>
      <c r="O306" s="79">
        <f>IF(TR_6RecyclingArranger[[#This Row],[ID_EC]]&lt;&gt;"",0,IF(COUNTA(TR_6RecyclingArranger[[#This Row],[Name of Third-Party Recycling Arranger]],TR_6RecyclingArranger[[#This Row],[Pounds of Producer''s Material Recycled by this Recycling Arranger]:[Recycling Arranger Contact Email]])&gt;0,1,0))</f>
        <v>0</v>
      </c>
      <c r="P306" s="79">
        <f>IF(TR_6RecyclingArranger[[#This Row],[Lookup: pounds (this table)]]&gt;TR_6RecyclingArranger[[#This Row],[Lookup: pounds (5B tab)]],1,0)</f>
        <v>0</v>
      </c>
      <c r="Q306" s="78">
        <f>SUMIFS(TR_6RecyclingArranger[Pounds of Producer''s Material Recycled by this Recycling Arranger],TR_6RecyclingArranger[ID_EC],TR_6RecyclingArranger[[#This Row],[ID_EC]])</f>
        <v>0</v>
      </c>
      <c r="R306" s="78">
        <f>IFERROR(INDEX(TR_5ExemptionClaim[How many of the pounds recycled through this pathway were supplied by this producer?],MATCH(TR_6RecyclingArranger[[#This Row],[ID_EC]],TR_5ExemptionClaim[ID_EC],0)),0)</f>
        <v>0</v>
      </c>
      <c r="S306" s="81" t="str">
        <f t="shared" si="4"/>
        <v/>
      </c>
      <c r="T306" s="40"/>
      <c r="U306" s="58"/>
    </row>
    <row r="307" spans="1:21" ht="30.75" customHeight="1" x14ac:dyDescent="0.2">
      <c r="A307" s="82" t="s">
        <v>691</v>
      </c>
      <c r="B307" s="46"/>
      <c r="C307" s="113"/>
      <c r="D307" s="215" t="str">
        <f>IF(TR_6RecyclingArranger[[#This Row],[ID_EC]]="","",INDEX(TR_5ExemptionClaim[End Market Name],MATCH(TR_6RecyclingArranger[[#This Row],[ID_EC]],TR_5ExemptionClaim[ID_EC],0)))</f>
        <v/>
      </c>
      <c r="E307" s="215" t="str">
        <f>IF(TR_6RecyclingArranger[[#This Row],[ID_EC]]="","",INDEX(TR_5ExemptionClaim[Collection or Transportation Service Provider Name],MATCH(TR_6RecyclingArranger[[#This Row],[ID_EC]],TR_5ExemptionClaim[ID_EC],0)))</f>
        <v/>
      </c>
      <c r="F307" s="215" t="str">
        <f>IF(TR_6RecyclingArranger[[#This Row],[ID_EC]]="","",IF(INDEX(TR_5ExemptionClaim[CRPF name],MATCH(TR_6RecyclingArranger[[#This Row],[ID_EC]],TR_5ExemptionClaim[ID_EC],0))=0,"None",INDEX(TR_5ExemptionClaim[CRPF name],MATCH(TR_6RecyclingArranger[[#This Row],[ID_EC]],TR_5ExemptionClaim[ID_EC],0))))</f>
        <v/>
      </c>
      <c r="G307" s="45"/>
      <c r="H307" s="108"/>
      <c r="I307" s="47"/>
      <c r="J307" s="48"/>
      <c r="K307" s="47"/>
      <c r="L307" s="79">
        <f>IF(COUNTIFS(TR_6RecyclingArranger[ID_EC],TR_6RecyclingArranger[[#This Row],[ID_EC]],TR_6RecyclingArranger[Name of Third-Party Recycling Arranger],TR_6RecyclingArranger[[#This Row],[Name of Third-Party Recycling Arranger]])&gt;1,1,0)</f>
        <v>0</v>
      </c>
      <c r="M307" s="79">
        <f>IF(TR_6RecyclingArranger[[#This Row],[ID_EC]]="",0,IFERROR(0*MATCH(TR_6RecyclingArranger[[#This Row],[ID_EC]],TR_5ExemptionClaim[Lookup: for arranger tab],0),1))</f>
        <v>0</v>
      </c>
      <c r="N307" s="79">
        <f>IF(TR_6RecyclingArranger[[#This Row],[ID_EC]]="",0,IF(COUNTA(TR_6RecyclingArranger[[#This Row],[Name of Third-Party Recycling Arranger]],TR_6RecyclingArranger[[#This Row],[Pounds of Producer''s Material Recycled by this Recycling Arranger]:[Recycling Arranger Contact Email]])=7,0,1))</f>
        <v>0</v>
      </c>
      <c r="O307" s="79">
        <f>IF(TR_6RecyclingArranger[[#This Row],[ID_EC]]&lt;&gt;"",0,IF(COUNTA(TR_6RecyclingArranger[[#This Row],[Name of Third-Party Recycling Arranger]],TR_6RecyclingArranger[[#This Row],[Pounds of Producer''s Material Recycled by this Recycling Arranger]:[Recycling Arranger Contact Email]])&gt;0,1,0))</f>
        <v>0</v>
      </c>
      <c r="P307" s="79">
        <f>IF(TR_6RecyclingArranger[[#This Row],[Lookup: pounds (this table)]]&gt;TR_6RecyclingArranger[[#This Row],[Lookup: pounds (5B tab)]],1,0)</f>
        <v>0</v>
      </c>
      <c r="Q307" s="78">
        <f>SUMIFS(TR_6RecyclingArranger[Pounds of Producer''s Material Recycled by this Recycling Arranger],TR_6RecyclingArranger[ID_EC],TR_6RecyclingArranger[[#This Row],[ID_EC]])</f>
        <v>0</v>
      </c>
      <c r="R307" s="78">
        <f>IFERROR(INDEX(TR_5ExemptionClaim[How many of the pounds recycled through this pathway were supplied by this producer?],MATCH(TR_6RecyclingArranger[[#This Row],[ID_EC]],TR_5ExemptionClaim[ID_EC],0)),0)</f>
        <v>0</v>
      </c>
      <c r="S307" s="81" t="str">
        <f t="shared" si="4"/>
        <v/>
      </c>
      <c r="T307" s="40"/>
      <c r="U307" s="58"/>
    </row>
    <row r="308" spans="1:21" ht="30.75" customHeight="1" x14ac:dyDescent="0.2">
      <c r="A308" s="82" t="s">
        <v>692</v>
      </c>
      <c r="B308" s="46"/>
      <c r="C308" s="113"/>
      <c r="D308" s="215" t="str">
        <f>IF(TR_6RecyclingArranger[[#This Row],[ID_EC]]="","",INDEX(TR_5ExemptionClaim[End Market Name],MATCH(TR_6RecyclingArranger[[#This Row],[ID_EC]],TR_5ExemptionClaim[ID_EC],0)))</f>
        <v/>
      </c>
      <c r="E308" s="215" t="str">
        <f>IF(TR_6RecyclingArranger[[#This Row],[ID_EC]]="","",INDEX(TR_5ExemptionClaim[Collection or Transportation Service Provider Name],MATCH(TR_6RecyclingArranger[[#This Row],[ID_EC]],TR_5ExemptionClaim[ID_EC],0)))</f>
        <v/>
      </c>
      <c r="F308" s="215" t="str">
        <f>IF(TR_6RecyclingArranger[[#This Row],[ID_EC]]="","",IF(INDEX(TR_5ExemptionClaim[CRPF name],MATCH(TR_6RecyclingArranger[[#This Row],[ID_EC]],TR_5ExemptionClaim[ID_EC],0))=0,"None",INDEX(TR_5ExemptionClaim[CRPF name],MATCH(TR_6RecyclingArranger[[#This Row],[ID_EC]],TR_5ExemptionClaim[ID_EC],0))))</f>
        <v/>
      </c>
      <c r="G308" s="45"/>
      <c r="H308" s="108"/>
      <c r="I308" s="47"/>
      <c r="J308" s="48"/>
      <c r="K308" s="47"/>
      <c r="L308" s="79">
        <f>IF(COUNTIFS(TR_6RecyclingArranger[ID_EC],TR_6RecyclingArranger[[#This Row],[ID_EC]],TR_6RecyclingArranger[Name of Third-Party Recycling Arranger],TR_6RecyclingArranger[[#This Row],[Name of Third-Party Recycling Arranger]])&gt;1,1,0)</f>
        <v>0</v>
      </c>
      <c r="M308" s="79">
        <f>IF(TR_6RecyclingArranger[[#This Row],[ID_EC]]="",0,IFERROR(0*MATCH(TR_6RecyclingArranger[[#This Row],[ID_EC]],TR_5ExemptionClaim[Lookup: for arranger tab],0),1))</f>
        <v>0</v>
      </c>
      <c r="N308" s="79">
        <f>IF(TR_6RecyclingArranger[[#This Row],[ID_EC]]="",0,IF(COUNTA(TR_6RecyclingArranger[[#This Row],[Name of Third-Party Recycling Arranger]],TR_6RecyclingArranger[[#This Row],[Pounds of Producer''s Material Recycled by this Recycling Arranger]:[Recycling Arranger Contact Email]])=7,0,1))</f>
        <v>0</v>
      </c>
      <c r="O308" s="79">
        <f>IF(TR_6RecyclingArranger[[#This Row],[ID_EC]]&lt;&gt;"",0,IF(COUNTA(TR_6RecyclingArranger[[#This Row],[Name of Third-Party Recycling Arranger]],TR_6RecyclingArranger[[#This Row],[Pounds of Producer''s Material Recycled by this Recycling Arranger]:[Recycling Arranger Contact Email]])&gt;0,1,0))</f>
        <v>0</v>
      </c>
      <c r="P308" s="79">
        <f>IF(TR_6RecyclingArranger[[#This Row],[Lookup: pounds (this table)]]&gt;TR_6RecyclingArranger[[#This Row],[Lookup: pounds (5B tab)]],1,0)</f>
        <v>0</v>
      </c>
      <c r="Q308" s="78">
        <f>SUMIFS(TR_6RecyclingArranger[Pounds of Producer''s Material Recycled by this Recycling Arranger],TR_6RecyclingArranger[ID_EC],TR_6RecyclingArranger[[#This Row],[ID_EC]])</f>
        <v>0</v>
      </c>
      <c r="R308" s="78">
        <f>IFERROR(INDEX(TR_5ExemptionClaim[How many of the pounds recycled through this pathway were supplied by this producer?],MATCH(TR_6RecyclingArranger[[#This Row],[ID_EC]],TR_5ExemptionClaim[ID_EC],0)),0)</f>
        <v>0</v>
      </c>
      <c r="S308" s="81" t="str">
        <f t="shared" si="4"/>
        <v/>
      </c>
      <c r="T308" s="40"/>
      <c r="U308" s="58"/>
    </row>
    <row r="309" spans="1:21" ht="30.75" customHeight="1" x14ac:dyDescent="0.2">
      <c r="A309" s="82" t="s">
        <v>693</v>
      </c>
      <c r="B309" s="46"/>
      <c r="C309" s="113"/>
      <c r="D309" s="215" t="str">
        <f>IF(TR_6RecyclingArranger[[#This Row],[ID_EC]]="","",INDEX(TR_5ExemptionClaim[End Market Name],MATCH(TR_6RecyclingArranger[[#This Row],[ID_EC]],TR_5ExemptionClaim[ID_EC],0)))</f>
        <v/>
      </c>
      <c r="E309" s="215" t="str">
        <f>IF(TR_6RecyclingArranger[[#This Row],[ID_EC]]="","",INDEX(TR_5ExemptionClaim[Collection or Transportation Service Provider Name],MATCH(TR_6RecyclingArranger[[#This Row],[ID_EC]],TR_5ExemptionClaim[ID_EC],0)))</f>
        <v/>
      </c>
      <c r="F309" s="215" t="str">
        <f>IF(TR_6RecyclingArranger[[#This Row],[ID_EC]]="","",IF(INDEX(TR_5ExemptionClaim[CRPF name],MATCH(TR_6RecyclingArranger[[#This Row],[ID_EC]],TR_5ExemptionClaim[ID_EC],0))=0,"None",INDEX(TR_5ExemptionClaim[CRPF name],MATCH(TR_6RecyclingArranger[[#This Row],[ID_EC]],TR_5ExemptionClaim[ID_EC],0))))</f>
        <v/>
      </c>
      <c r="G309" s="45"/>
      <c r="H309" s="108"/>
      <c r="I309" s="47"/>
      <c r="J309" s="48"/>
      <c r="K309" s="47"/>
      <c r="L309" s="79">
        <f>IF(COUNTIFS(TR_6RecyclingArranger[ID_EC],TR_6RecyclingArranger[[#This Row],[ID_EC]],TR_6RecyclingArranger[Name of Third-Party Recycling Arranger],TR_6RecyclingArranger[[#This Row],[Name of Third-Party Recycling Arranger]])&gt;1,1,0)</f>
        <v>0</v>
      </c>
      <c r="M309" s="79">
        <f>IF(TR_6RecyclingArranger[[#This Row],[ID_EC]]="",0,IFERROR(0*MATCH(TR_6RecyclingArranger[[#This Row],[ID_EC]],TR_5ExemptionClaim[Lookup: for arranger tab],0),1))</f>
        <v>0</v>
      </c>
      <c r="N309" s="79">
        <f>IF(TR_6RecyclingArranger[[#This Row],[ID_EC]]="",0,IF(COUNTA(TR_6RecyclingArranger[[#This Row],[Name of Third-Party Recycling Arranger]],TR_6RecyclingArranger[[#This Row],[Pounds of Producer''s Material Recycled by this Recycling Arranger]:[Recycling Arranger Contact Email]])=7,0,1))</f>
        <v>0</v>
      </c>
      <c r="O309" s="79">
        <f>IF(TR_6RecyclingArranger[[#This Row],[ID_EC]]&lt;&gt;"",0,IF(COUNTA(TR_6RecyclingArranger[[#This Row],[Name of Third-Party Recycling Arranger]],TR_6RecyclingArranger[[#This Row],[Pounds of Producer''s Material Recycled by this Recycling Arranger]:[Recycling Arranger Contact Email]])&gt;0,1,0))</f>
        <v>0</v>
      </c>
      <c r="P309" s="79">
        <f>IF(TR_6RecyclingArranger[[#This Row],[Lookup: pounds (this table)]]&gt;TR_6RecyclingArranger[[#This Row],[Lookup: pounds (5B tab)]],1,0)</f>
        <v>0</v>
      </c>
      <c r="Q309" s="78">
        <f>SUMIFS(TR_6RecyclingArranger[Pounds of Producer''s Material Recycled by this Recycling Arranger],TR_6RecyclingArranger[ID_EC],TR_6RecyclingArranger[[#This Row],[ID_EC]])</f>
        <v>0</v>
      </c>
      <c r="R309" s="78">
        <f>IFERROR(INDEX(TR_5ExemptionClaim[How many of the pounds recycled through this pathway were supplied by this producer?],MATCH(TR_6RecyclingArranger[[#This Row],[ID_EC]],TR_5ExemptionClaim[ID_EC],0)),0)</f>
        <v>0</v>
      </c>
      <c r="S309" s="81" t="str">
        <f t="shared" si="4"/>
        <v/>
      </c>
      <c r="T309" s="40"/>
      <c r="U309" s="58"/>
    </row>
    <row r="310" spans="1:21" ht="30.75" customHeight="1" x14ac:dyDescent="0.2">
      <c r="A310" s="82" t="s">
        <v>694</v>
      </c>
      <c r="B310" s="46"/>
      <c r="C310" s="113"/>
      <c r="D310" s="215" t="str">
        <f>IF(TR_6RecyclingArranger[[#This Row],[ID_EC]]="","",INDEX(TR_5ExemptionClaim[End Market Name],MATCH(TR_6RecyclingArranger[[#This Row],[ID_EC]],TR_5ExemptionClaim[ID_EC],0)))</f>
        <v/>
      </c>
      <c r="E310" s="215" t="str">
        <f>IF(TR_6RecyclingArranger[[#This Row],[ID_EC]]="","",INDEX(TR_5ExemptionClaim[Collection or Transportation Service Provider Name],MATCH(TR_6RecyclingArranger[[#This Row],[ID_EC]],TR_5ExemptionClaim[ID_EC],0)))</f>
        <v/>
      </c>
      <c r="F310" s="215" t="str">
        <f>IF(TR_6RecyclingArranger[[#This Row],[ID_EC]]="","",IF(INDEX(TR_5ExemptionClaim[CRPF name],MATCH(TR_6RecyclingArranger[[#This Row],[ID_EC]],TR_5ExemptionClaim[ID_EC],0))=0,"None",INDEX(TR_5ExemptionClaim[CRPF name],MATCH(TR_6RecyclingArranger[[#This Row],[ID_EC]],TR_5ExemptionClaim[ID_EC],0))))</f>
        <v/>
      </c>
      <c r="G310" s="45"/>
      <c r="H310" s="108"/>
      <c r="I310" s="47"/>
      <c r="J310" s="48"/>
      <c r="K310" s="47"/>
      <c r="L310" s="79">
        <f>IF(COUNTIFS(TR_6RecyclingArranger[ID_EC],TR_6RecyclingArranger[[#This Row],[ID_EC]],TR_6RecyclingArranger[Name of Third-Party Recycling Arranger],TR_6RecyclingArranger[[#This Row],[Name of Third-Party Recycling Arranger]])&gt;1,1,0)</f>
        <v>0</v>
      </c>
      <c r="M310" s="79">
        <f>IF(TR_6RecyclingArranger[[#This Row],[ID_EC]]="",0,IFERROR(0*MATCH(TR_6RecyclingArranger[[#This Row],[ID_EC]],TR_5ExemptionClaim[Lookup: for arranger tab],0),1))</f>
        <v>0</v>
      </c>
      <c r="N310" s="79">
        <f>IF(TR_6RecyclingArranger[[#This Row],[ID_EC]]="",0,IF(COUNTA(TR_6RecyclingArranger[[#This Row],[Name of Third-Party Recycling Arranger]],TR_6RecyclingArranger[[#This Row],[Pounds of Producer''s Material Recycled by this Recycling Arranger]:[Recycling Arranger Contact Email]])=7,0,1))</f>
        <v>0</v>
      </c>
      <c r="O310" s="79">
        <f>IF(TR_6RecyclingArranger[[#This Row],[ID_EC]]&lt;&gt;"",0,IF(COUNTA(TR_6RecyclingArranger[[#This Row],[Name of Third-Party Recycling Arranger]],TR_6RecyclingArranger[[#This Row],[Pounds of Producer''s Material Recycled by this Recycling Arranger]:[Recycling Arranger Contact Email]])&gt;0,1,0))</f>
        <v>0</v>
      </c>
      <c r="P310" s="79">
        <f>IF(TR_6RecyclingArranger[[#This Row],[Lookup: pounds (this table)]]&gt;TR_6RecyclingArranger[[#This Row],[Lookup: pounds (5B tab)]],1,0)</f>
        <v>0</v>
      </c>
      <c r="Q310" s="78">
        <f>SUMIFS(TR_6RecyclingArranger[Pounds of Producer''s Material Recycled by this Recycling Arranger],TR_6RecyclingArranger[ID_EC],TR_6RecyclingArranger[[#This Row],[ID_EC]])</f>
        <v>0</v>
      </c>
      <c r="R310" s="78">
        <f>IFERROR(INDEX(TR_5ExemptionClaim[How many of the pounds recycled through this pathway were supplied by this producer?],MATCH(TR_6RecyclingArranger[[#This Row],[ID_EC]],TR_5ExemptionClaim[ID_EC],0)),0)</f>
        <v>0</v>
      </c>
      <c r="S310" s="81" t="str">
        <f t="shared" si="4"/>
        <v/>
      </c>
      <c r="T310" s="40"/>
      <c r="U310" s="58"/>
    </row>
    <row r="311" spans="1:21" ht="30.75" customHeight="1" x14ac:dyDescent="0.2">
      <c r="A311" s="82" t="s">
        <v>695</v>
      </c>
      <c r="B311" s="46"/>
      <c r="C311" s="113"/>
      <c r="D311" s="215" t="str">
        <f>IF(TR_6RecyclingArranger[[#This Row],[ID_EC]]="","",INDEX(TR_5ExemptionClaim[End Market Name],MATCH(TR_6RecyclingArranger[[#This Row],[ID_EC]],TR_5ExemptionClaim[ID_EC],0)))</f>
        <v/>
      </c>
      <c r="E311" s="215" t="str">
        <f>IF(TR_6RecyclingArranger[[#This Row],[ID_EC]]="","",INDEX(TR_5ExemptionClaim[Collection or Transportation Service Provider Name],MATCH(TR_6RecyclingArranger[[#This Row],[ID_EC]],TR_5ExemptionClaim[ID_EC],0)))</f>
        <v/>
      </c>
      <c r="F311" s="215" t="str">
        <f>IF(TR_6RecyclingArranger[[#This Row],[ID_EC]]="","",IF(INDEX(TR_5ExemptionClaim[CRPF name],MATCH(TR_6RecyclingArranger[[#This Row],[ID_EC]],TR_5ExemptionClaim[ID_EC],0))=0,"None",INDEX(TR_5ExemptionClaim[CRPF name],MATCH(TR_6RecyclingArranger[[#This Row],[ID_EC]],TR_5ExemptionClaim[ID_EC],0))))</f>
        <v/>
      </c>
      <c r="G311" s="45"/>
      <c r="H311" s="108"/>
      <c r="I311" s="47"/>
      <c r="J311" s="48"/>
      <c r="K311" s="47"/>
      <c r="L311" s="79">
        <f>IF(COUNTIFS(TR_6RecyclingArranger[ID_EC],TR_6RecyclingArranger[[#This Row],[ID_EC]],TR_6RecyclingArranger[Name of Third-Party Recycling Arranger],TR_6RecyclingArranger[[#This Row],[Name of Third-Party Recycling Arranger]])&gt;1,1,0)</f>
        <v>0</v>
      </c>
      <c r="M311" s="79">
        <f>IF(TR_6RecyclingArranger[[#This Row],[ID_EC]]="",0,IFERROR(0*MATCH(TR_6RecyclingArranger[[#This Row],[ID_EC]],TR_5ExemptionClaim[Lookup: for arranger tab],0),1))</f>
        <v>0</v>
      </c>
      <c r="N311" s="79">
        <f>IF(TR_6RecyclingArranger[[#This Row],[ID_EC]]="",0,IF(COUNTA(TR_6RecyclingArranger[[#This Row],[Name of Third-Party Recycling Arranger]],TR_6RecyclingArranger[[#This Row],[Pounds of Producer''s Material Recycled by this Recycling Arranger]:[Recycling Arranger Contact Email]])=7,0,1))</f>
        <v>0</v>
      </c>
      <c r="O311" s="79">
        <f>IF(TR_6RecyclingArranger[[#This Row],[ID_EC]]&lt;&gt;"",0,IF(COUNTA(TR_6RecyclingArranger[[#This Row],[Name of Third-Party Recycling Arranger]],TR_6RecyclingArranger[[#This Row],[Pounds of Producer''s Material Recycled by this Recycling Arranger]:[Recycling Arranger Contact Email]])&gt;0,1,0))</f>
        <v>0</v>
      </c>
      <c r="P311" s="79">
        <f>IF(TR_6RecyclingArranger[[#This Row],[Lookup: pounds (this table)]]&gt;TR_6RecyclingArranger[[#This Row],[Lookup: pounds (5B tab)]],1,0)</f>
        <v>0</v>
      </c>
      <c r="Q311" s="78">
        <f>SUMIFS(TR_6RecyclingArranger[Pounds of Producer''s Material Recycled by this Recycling Arranger],TR_6RecyclingArranger[ID_EC],TR_6RecyclingArranger[[#This Row],[ID_EC]])</f>
        <v>0</v>
      </c>
      <c r="R311" s="78">
        <f>IFERROR(INDEX(TR_5ExemptionClaim[How many of the pounds recycled through this pathway were supplied by this producer?],MATCH(TR_6RecyclingArranger[[#This Row],[ID_EC]],TR_5ExemptionClaim[ID_EC],0)),0)</f>
        <v>0</v>
      </c>
      <c r="S311" s="81" t="str">
        <f t="shared" si="4"/>
        <v/>
      </c>
      <c r="T311" s="40"/>
      <c r="U311" s="58"/>
    </row>
    <row r="312" spans="1:21" ht="30.75" customHeight="1" x14ac:dyDescent="0.2">
      <c r="A312" s="82" t="s">
        <v>696</v>
      </c>
      <c r="B312" s="46"/>
      <c r="C312" s="113"/>
      <c r="D312" s="215" t="str">
        <f>IF(TR_6RecyclingArranger[[#This Row],[ID_EC]]="","",INDEX(TR_5ExemptionClaim[End Market Name],MATCH(TR_6RecyclingArranger[[#This Row],[ID_EC]],TR_5ExemptionClaim[ID_EC],0)))</f>
        <v/>
      </c>
      <c r="E312" s="215" t="str">
        <f>IF(TR_6RecyclingArranger[[#This Row],[ID_EC]]="","",INDEX(TR_5ExemptionClaim[Collection or Transportation Service Provider Name],MATCH(TR_6RecyclingArranger[[#This Row],[ID_EC]],TR_5ExemptionClaim[ID_EC],0)))</f>
        <v/>
      </c>
      <c r="F312" s="215" t="str">
        <f>IF(TR_6RecyclingArranger[[#This Row],[ID_EC]]="","",IF(INDEX(TR_5ExemptionClaim[CRPF name],MATCH(TR_6RecyclingArranger[[#This Row],[ID_EC]],TR_5ExemptionClaim[ID_EC],0))=0,"None",INDEX(TR_5ExemptionClaim[CRPF name],MATCH(TR_6RecyclingArranger[[#This Row],[ID_EC]],TR_5ExemptionClaim[ID_EC],0))))</f>
        <v/>
      </c>
      <c r="G312" s="45"/>
      <c r="H312" s="108"/>
      <c r="I312" s="47"/>
      <c r="J312" s="48"/>
      <c r="K312" s="47"/>
      <c r="L312" s="79">
        <f>IF(COUNTIFS(TR_6RecyclingArranger[ID_EC],TR_6RecyclingArranger[[#This Row],[ID_EC]],TR_6RecyclingArranger[Name of Third-Party Recycling Arranger],TR_6RecyclingArranger[[#This Row],[Name of Third-Party Recycling Arranger]])&gt;1,1,0)</f>
        <v>0</v>
      </c>
      <c r="M312" s="79">
        <f>IF(TR_6RecyclingArranger[[#This Row],[ID_EC]]="",0,IFERROR(0*MATCH(TR_6RecyclingArranger[[#This Row],[ID_EC]],TR_5ExemptionClaim[Lookup: for arranger tab],0),1))</f>
        <v>0</v>
      </c>
      <c r="N312" s="79">
        <f>IF(TR_6RecyclingArranger[[#This Row],[ID_EC]]="",0,IF(COUNTA(TR_6RecyclingArranger[[#This Row],[Name of Third-Party Recycling Arranger]],TR_6RecyclingArranger[[#This Row],[Pounds of Producer''s Material Recycled by this Recycling Arranger]:[Recycling Arranger Contact Email]])=7,0,1))</f>
        <v>0</v>
      </c>
      <c r="O312" s="79">
        <f>IF(TR_6RecyclingArranger[[#This Row],[ID_EC]]&lt;&gt;"",0,IF(COUNTA(TR_6RecyclingArranger[[#This Row],[Name of Third-Party Recycling Arranger]],TR_6RecyclingArranger[[#This Row],[Pounds of Producer''s Material Recycled by this Recycling Arranger]:[Recycling Arranger Contact Email]])&gt;0,1,0))</f>
        <v>0</v>
      </c>
      <c r="P312" s="79">
        <f>IF(TR_6RecyclingArranger[[#This Row],[Lookup: pounds (this table)]]&gt;TR_6RecyclingArranger[[#This Row],[Lookup: pounds (5B tab)]],1,0)</f>
        <v>0</v>
      </c>
      <c r="Q312" s="78">
        <f>SUMIFS(TR_6RecyclingArranger[Pounds of Producer''s Material Recycled by this Recycling Arranger],TR_6RecyclingArranger[ID_EC],TR_6RecyclingArranger[[#This Row],[ID_EC]])</f>
        <v>0</v>
      </c>
      <c r="R312" s="78">
        <f>IFERROR(INDEX(TR_5ExemptionClaim[How many of the pounds recycled through this pathway were supplied by this producer?],MATCH(TR_6RecyclingArranger[[#This Row],[ID_EC]],TR_5ExemptionClaim[ID_EC],0)),0)</f>
        <v>0</v>
      </c>
      <c r="S312" s="81" t="str">
        <f t="shared" si="4"/>
        <v/>
      </c>
      <c r="T312" s="40"/>
      <c r="U312" s="58"/>
    </row>
    <row r="313" spans="1:21" ht="30.75" customHeight="1" x14ac:dyDescent="0.2">
      <c r="A313" s="82" t="s">
        <v>697</v>
      </c>
      <c r="B313" s="46"/>
      <c r="C313" s="113"/>
      <c r="D313" s="215" t="str">
        <f>IF(TR_6RecyclingArranger[[#This Row],[ID_EC]]="","",INDEX(TR_5ExemptionClaim[End Market Name],MATCH(TR_6RecyclingArranger[[#This Row],[ID_EC]],TR_5ExemptionClaim[ID_EC],0)))</f>
        <v/>
      </c>
      <c r="E313" s="215" t="str">
        <f>IF(TR_6RecyclingArranger[[#This Row],[ID_EC]]="","",INDEX(TR_5ExemptionClaim[Collection or Transportation Service Provider Name],MATCH(TR_6RecyclingArranger[[#This Row],[ID_EC]],TR_5ExemptionClaim[ID_EC],0)))</f>
        <v/>
      </c>
      <c r="F313" s="215" t="str">
        <f>IF(TR_6RecyclingArranger[[#This Row],[ID_EC]]="","",IF(INDEX(TR_5ExemptionClaim[CRPF name],MATCH(TR_6RecyclingArranger[[#This Row],[ID_EC]],TR_5ExemptionClaim[ID_EC],0))=0,"None",INDEX(TR_5ExemptionClaim[CRPF name],MATCH(TR_6RecyclingArranger[[#This Row],[ID_EC]],TR_5ExemptionClaim[ID_EC],0))))</f>
        <v/>
      </c>
      <c r="G313" s="45"/>
      <c r="H313" s="108"/>
      <c r="I313" s="47"/>
      <c r="J313" s="48"/>
      <c r="K313" s="47"/>
      <c r="L313" s="79">
        <f>IF(COUNTIFS(TR_6RecyclingArranger[ID_EC],TR_6RecyclingArranger[[#This Row],[ID_EC]],TR_6RecyclingArranger[Name of Third-Party Recycling Arranger],TR_6RecyclingArranger[[#This Row],[Name of Third-Party Recycling Arranger]])&gt;1,1,0)</f>
        <v>0</v>
      </c>
      <c r="M313" s="79">
        <f>IF(TR_6RecyclingArranger[[#This Row],[ID_EC]]="",0,IFERROR(0*MATCH(TR_6RecyclingArranger[[#This Row],[ID_EC]],TR_5ExemptionClaim[Lookup: for arranger tab],0),1))</f>
        <v>0</v>
      </c>
      <c r="N313" s="79">
        <f>IF(TR_6RecyclingArranger[[#This Row],[ID_EC]]="",0,IF(COUNTA(TR_6RecyclingArranger[[#This Row],[Name of Third-Party Recycling Arranger]],TR_6RecyclingArranger[[#This Row],[Pounds of Producer''s Material Recycled by this Recycling Arranger]:[Recycling Arranger Contact Email]])=7,0,1))</f>
        <v>0</v>
      </c>
      <c r="O313" s="79">
        <f>IF(TR_6RecyclingArranger[[#This Row],[ID_EC]]&lt;&gt;"",0,IF(COUNTA(TR_6RecyclingArranger[[#This Row],[Name of Third-Party Recycling Arranger]],TR_6RecyclingArranger[[#This Row],[Pounds of Producer''s Material Recycled by this Recycling Arranger]:[Recycling Arranger Contact Email]])&gt;0,1,0))</f>
        <v>0</v>
      </c>
      <c r="P313" s="79">
        <f>IF(TR_6RecyclingArranger[[#This Row],[Lookup: pounds (this table)]]&gt;TR_6RecyclingArranger[[#This Row],[Lookup: pounds (5B tab)]],1,0)</f>
        <v>0</v>
      </c>
      <c r="Q313" s="78">
        <f>SUMIFS(TR_6RecyclingArranger[Pounds of Producer''s Material Recycled by this Recycling Arranger],TR_6RecyclingArranger[ID_EC],TR_6RecyclingArranger[[#This Row],[ID_EC]])</f>
        <v>0</v>
      </c>
      <c r="R313" s="78">
        <f>IFERROR(INDEX(TR_5ExemptionClaim[How many of the pounds recycled through this pathway were supplied by this producer?],MATCH(TR_6RecyclingArranger[[#This Row],[ID_EC]],TR_5ExemptionClaim[ID_EC],0)),0)</f>
        <v>0</v>
      </c>
      <c r="S313" s="81" t="str">
        <f t="shared" si="4"/>
        <v/>
      </c>
      <c r="T313" s="40"/>
      <c r="U313" s="58"/>
    </row>
    <row r="314" spans="1:21" ht="30.75" customHeight="1" x14ac:dyDescent="0.2">
      <c r="A314" s="82" t="s">
        <v>698</v>
      </c>
      <c r="B314" s="46"/>
      <c r="C314" s="113"/>
      <c r="D314" s="215" t="str">
        <f>IF(TR_6RecyclingArranger[[#This Row],[ID_EC]]="","",INDEX(TR_5ExemptionClaim[End Market Name],MATCH(TR_6RecyclingArranger[[#This Row],[ID_EC]],TR_5ExemptionClaim[ID_EC],0)))</f>
        <v/>
      </c>
      <c r="E314" s="215" t="str">
        <f>IF(TR_6RecyclingArranger[[#This Row],[ID_EC]]="","",INDEX(TR_5ExemptionClaim[Collection or Transportation Service Provider Name],MATCH(TR_6RecyclingArranger[[#This Row],[ID_EC]],TR_5ExemptionClaim[ID_EC],0)))</f>
        <v/>
      </c>
      <c r="F314" s="215" t="str">
        <f>IF(TR_6RecyclingArranger[[#This Row],[ID_EC]]="","",IF(INDEX(TR_5ExemptionClaim[CRPF name],MATCH(TR_6RecyclingArranger[[#This Row],[ID_EC]],TR_5ExemptionClaim[ID_EC],0))=0,"None",INDEX(TR_5ExemptionClaim[CRPF name],MATCH(TR_6RecyclingArranger[[#This Row],[ID_EC]],TR_5ExemptionClaim[ID_EC],0))))</f>
        <v/>
      </c>
      <c r="G314" s="45"/>
      <c r="H314" s="108"/>
      <c r="I314" s="47"/>
      <c r="J314" s="48"/>
      <c r="K314" s="47"/>
      <c r="L314" s="79">
        <f>IF(COUNTIFS(TR_6RecyclingArranger[ID_EC],TR_6RecyclingArranger[[#This Row],[ID_EC]],TR_6RecyclingArranger[Name of Third-Party Recycling Arranger],TR_6RecyclingArranger[[#This Row],[Name of Third-Party Recycling Arranger]])&gt;1,1,0)</f>
        <v>0</v>
      </c>
      <c r="M314" s="79">
        <f>IF(TR_6RecyclingArranger[[#This Row],[ID_EC]]="",0,IFERROR(0*MATCH(TR_6RecyclingArranger[[#This Row],[ID_EC]],TR_5ExemptionClaim[Lookup: for arranger tab],0),1))</f>
        <v>0</v>
      </c>
      <c r="N314" s="79">
        <f>IF(TR_6RecyclingArranger[[#This Row],[ID_EC]]="",0,IF(COUNTA(TR_6RecyclingArranger[[#This Row],[Name of Third-Party Recycling Arranger]],TR_6RecyclingArranger[[#This Row],[Pounds of Producer''s Material Recycled by this Recycling Arranger]:[Recycling Arranger Contact Email]])=7,0,1))</f>
        <v>0</v>
      </c>
      <c r="O314" s="79">
        <f>IF(TR_6RecyclingArranger[[#This Row],[ID_EC]]&lt;&gt;"",0,IF(COUNTA(TR_6RecyclingArranger[[#This Row],[Name of Third-Party Recycling Arranger]],TR_6RecyclingArranger[[#This Row],[Pounds of Producer''s Material Recycled by this Recycling Arranger]:[Recycling Arranger Contact Email]])&gt;0,1,0))</f>
        <v>0</v>
      </c>
      <c r="P314" s="79">
        <f>IF(TR_6RecyclingArranger[[#This Row],[Lookup: pounds (this table)]]&gt;TR_6RecyclingArranger[[#This Row],[Lookup: pounds (5B tab)]],1,0)</f>
        <v>0</v>
      </c>
      <c r="Q314" s="78">
        <f>SUMIFS(TR_6RecyclingArranger[Pounds of Producer''s Material Recycled by this Recycling Arranger],TR_6RecyclingArranger[ID_EC],TR_6RecyclingArranger[[#This Row],[ID_EC]])</f>
        <v>0</v>
      </c>
      <c r="R314" s="78">
        <f>IFERROR(INDEX(TR_5ExemptionClaim[How many of the pounds recycled through this pathway were supplied by this producer?],MATCH(TR_6RecyclingArranger[[#This Row],[ID_EC]],TR_5ExemptionClaim[ID_EC],0)),0)</f>
        <v>0</v>
      </c>
      <c r="S314" s="81" t="str">
        <f t="shared" si="4"/>
        <v/>
      </c>
      <c r="T314" s="40"/>
      <c r="U314" s="58"/>
    </row>
    <row r="315" spans="1:21" ht="30.75" customHeight="1" x14ac:dyDescent="0.2">
      <c r="A315" s="82" t="s">
        <v>699</v>
      </c>
      <c r="B315" s="46"/>
      <c r="C315" s="113"/>
      <c r="D315" s="215" t="str">
        <f>IF(TR_6RecyclingArranger[[#This Row],[ID_EC]]="","",INDEX(TR_5ExemptionClaim[End Market Name],MATCH(TR_6RecyclingArranger[[#This Row],[ID_EC]],TR_5ExemptionClaim[ID_EC],0)))</f>
        <v/>
      </c>
      <c r="E315" s="215" t="str">
        <f>IF(TR_6RecyclingArranger[[#This Row],[ID_EC]]="","",INDEX(TR_5ExemptionClaim[Collection or Transportation Service Provider Name],MATCH(TR_6RecyclingArranger[[#This Row],[ID_EC]],TR_5ExemptionClaim[ID_EC],0)))</f>
        <v/>
      </c>
      <c r="F315" s="215" t="str">
        <f>IF(TR_6RecyclingArranger[[#This Row],[ID_EC]]="","",IF(INDEX(TR_5ExemptionClaim[CRPF name],MATCH(TR_6RecyclingArranger[[#This Row],[ID_EC]],TR_5ExemptionClaim[ID_EC],0))=0,"None",INDEX(TR_5ExemptionClaim[CRPF name],MATCH(TR_6RecyclingArranger[[#This Row],[ID_EC]],TR_5ExemptionClaim[ID_EC],0))))</f>
        <v/>
      </c>
      <c r="G315" s="45"/>
      <c r="H315" s="108"/>
      <c r="I315" s="47"/>
      <c r="J315" s="48"/>
      <c r="K315" s="47"/>
      <c r="L315" s="79">
        <f>IF(COUNTIFS(TR_6RecyclingArranger[ID_EC],TR_6RecyclingArranger[[#This Row],[ID_EC]],TR_6RecyclingArranger[Name of Third-Party Recycling Arranger],TR_6RecyclingArranger[[#This Row],[Name of Third-Party Recycling Arranger]])&gt;1,1,0)</f>
        <v>0</v>
      </c>
      <c r="M315" s="79">
        <f>IF(TR_6RecyclingArranger[[#This Row],[ID_EC]]="",0,IFERROR(0*MATCH(TR_6RecyclingArranger[[#This Row],[ID_EC]],TR_5ExemptionClaim[Lookup: for arranger tab],0),1))</f>
        <v>0</v>
      </c>
      <c r="N315" s="79">
        <f>IF(TR_6RecyclingArranger[[#This Row],[ID_EC]]="",0,IF(COUNTA(TR_6RecyclingArranger[[#This Row],[Name of Third-Party Recycling Arranger]],TR_6RecyclingArranger[[#This Row],[Pounds of Producer''s Material Recycled by this Recycling Arranger]:[Recycling Arranger Contact Email]])=7,0,1))</f>
        <v>0</v>
      </c>
      <c r="O315" s="79">
        <f>IF(TR_6RecyclingArranger[[#This Row],[ID_EC]]&lt;&gt;"",0,IF(COUNTA(TR_6RecyclingArranger[[#This Row],[Name of Third-Party Recycling Arranger]],TR_6RecyclingArranger[[#This Row],[Pounds of Producer''s Material Recycled by this Recycling Arranger]:[Recycling Arranger Contact Email]])&gt;0,1,0))</f>
        <v>0</v>
      </c>
      <c r="P315" s="79">
        <f>IF(TR_6RecyclingArranger[[#This Row],[Lookup: pounds (this table)]]&gt;TR_6RecyclingArranger[[#This Row],[Lookup: pounds (5B tab)]],1,0)</f>
        <v>0</v>
      </c>
      <c r="Q315" s="78">
        <f>SUMIFS(TR_6RecyclingArranger[Pounds of Producer''s Material Recycled by this Recycling Arranger],TR_6RecyclingArranger[ID_EC],TR_6RecyclingArranger[[#This Row],[ID_EC]])</f>
        <v>0</v>
      </c>
      <c r="R315" s="78">
        <f>IFERROR(INDEX(TR_5ExemptionClaim[How many of the pounds recycled through this pathway were supplied by this producer?],MATCH(TR_6RecyclingArranger[[#This Row],[ID_EC]],TR_5ExemptionClaim[ID_EC],0)),0)</f>
        <v>0</v>
      </c>
      <c r="S315" s="81" t="str">
        <f t="shared" si="4"/>
        <v/>
      </c>
      <c r="T315" s="40"/>
      <c r="U315" s="58"/>
    </row>
    <row r="316" spans="1:21" ht="30.75" customHeight="1" x14ac:dyDescent="0.2">
      <c r="A316" s="82" t="s">
        <v>700</v>
      </c>
      <c r="B316" s="46"/>
      <c r="C316" s="113"/>
      <c r="D316" s="215" t="str">
        <f>IF(TR_6RecyclingArranger[[#This Row],[ID_EC]]="","",INDEX(TR_5ExemptionClaim[End Market Name],MATCH(TR_6RecyclingArranger[[#This Row],[ID_EC]],TR_5ExemptionClaim[ID_EC],0)))</f>
        <v/>
      </c>
      <c r="E316" s="215" t="str">
        <f>IF(TR_6RecyclingArranger[[#This Row],[ID_EC]]="","",INDEX(TR_5ExemptionClaim[Collection or Transportation Service Provider Name],MATCH(TR_6RecyclingArranger[[#This Row],[ID_EC]],TR_5ExemptionClaim[ID_EC],0)))</f>
        <v/>
      </c>
      <c r="F316" s="215" t="str">
        <f>IF(TR_6RecyclingArranger[[#This Row],[ID_EC]]="","",IF(INDEX(TR_5ExemptionClaim[CRPF name],MATCH(TR_6RecyclingArranger[[#This Row],[ID_EC]],TR_5ExemptionClaim[ID_EC],0))=0,"None",INDEX(TR_5ExemptionClaim[CRPF name],MATCH(TR_6RecyclingArranger[[#This Row],[ID_EC]],TR_5ExemptionClaim[ID_EC],0))))</f>
        <v/>
      </c>
      <c r="G316" s="45"/>
      <c r="H316" s="108"/>
      <c r="I316" s="47"/>
      <c r="J316" s="48"/>
      <c r="K316" s="47"/>
      <c r="L316" s="79">
        <f>IF(COUNTIFS(TR_6RecyclingArranger[ID_EC],TR_6RecyclingArranger[[#This Row],[ID_EC]],TR_6RecyclingArranger[Name of Third-Party Recycling Arranger],TR_6RecyclingArranger[[#This Row],[Name of Third-Party Recycling Arranger]])&gt;1,1,0)</f>
        <v>0</v>
      </c>
      <c r="M316" s="79">
        <f>IF(TR_6RecyclingArranger[[#This Row],[ID_EC]]="",0,IFERROR(0*MATCH(TR_6RecyclingArranger[[#This Row],[ID_EC]],TR_5ExemptionClaim[Lookup: for arranger tab],0),1))</f>
        <v>0</v>
      </c>
      <c r="N316" s="79">
        <f>IF(TR_6RecyclingArranger[[#This Row],[ID_EC]]="",0,IF(COUNTA(TR_6RecyclingArranger[[#This Row],[Name of Third-Party Recycling Arranger]],TR_6RecyclingArranger[[#This Row],[Pounds of Producer''s Material Recycled by this Recycling Arranger]:[Recycling Arranger Contact Email]])=7,0,1))</f>
        <v>0</v>
      </c>
      <c r="O316" s="79">
        <f>IF(TR_6RecyclingArranger[[#This Row],[ID_EC]]&lt;&gt;"",0,IF(COUNTA(TR_6RecyclingArranger[[#This Row],[Name of Third-Party Recycling Arranger]],TR_6RecyclingArranger[[#This Row],[Pounds of Producer''s Material Recycled by this Recycling Arranger]:[Recycling Arranger Contact Email]])&gt;0,1,0))</f>
        <v>0</v>
      </c>
      <c r="P316" s="79">
        <f>IF(TR_6RecyclingArranger[[#This Row],[Lookup: pounds (this table)]]&gt;TR_6RecyclingArranger[[#This Row],[Lookup: pounds (5B tab)]],1,0)</f>
        <v>0</v>
      </c>
      <c r="Q316" s="78">
        <f>SUMIFS(TR_6RecyclingArranger[Pounds of Producer''s Material Recycled by this Recycling Arranger],TR_6RecyclingArranger[ID_EC],TR_6RecyclingArranger[[#This Row],[ID_EC]])</f>
        <v>0</v>
      </c>
      <c r="R316" s="78">
        <f>IFERROR(INDEX(TR_5ExemptionClaim[How many of the pounds recycled through this pathway were supplied by this producer?],MATCH(TR_6RecyclingArranger[[#This Row],[ID_EC]],TR_5ExemptionClaim[ID_EC],0)),0)</f>
        <v>0</v>
      </c>
      <c r="S316" s="81" t="str">
        <f t="shared" si="4"/>
        <v/>
      </c>
      <c r="T316" s="40"/>
      <c r="U316" s="58"/>
    </row>
    <row r="317" spans="1:21" ht="30.75" customHeight="1" x14ac:dyDescent="0.2">
      <c r="A317" s="82" t="s">
        <v>701</v>
      </c>
      <c r="B317" s="46"/>
      <c r="C317" s="113"/>
      <c r="D317" s="215" t="str">
        <f>IF(TR_6RecyclingArranger[[#This Row],[ID_EC]]="","",INDEX(TR_5ExemptionClaim[End Market Name],MATCH(TR_6RecyclingArranger[[#This Row],[ID_EC]],TR_5ExemptionClaim[ID_EC],0)))</f>
        <v/>
      </c>
      <c r="E317" s="215" t="str">
        <f>IF(TR_6RecyclingArranger[[#This Row],[ID_EC]]="","",INDEX(TR_5ExemptionClaim[Collection or Transportation Service Provider Name],MATCH(TR_6RecyclingArranger[[#This Row],[ID_EC]],TR_5ExemptionClaim[ID_EC],0)))</f>
        <v/>
      </c>
      <c r="F317" s="215" t="str">
        <f>IF(TR_6RecyclingArranger[[#This Row],[ID_EC]]="","",IF(INDEX(TR_5ExemptionClaim[CRPF name],MATCH(TR_6RecyclingArranger[[#This Row],[ID_EC]],TR_5ExemptionClaim[ID_EC],0))=0,"None",INDEX(TR_5ExemptionClaim[CRPF name],MATCH(TR_6RecyclingArranger[[#This Row],[ID_EC]],TR_5ExemptionClaim[ID_EC],0))))</f>
        <v/>
      </c>
      <c r="G317" s="45"/>
      <c r="H317" s="108"/>
      <c r="I317" s="47"/>
      <c r="J317" s="48"/>
      <c r="K317" s="47"/>
      <c r="L317" s="79">
        <f>IF(COUNTIFS(TR_6RecyclingArranger[ID_EC],TR_6RecyclingArranger[[#This Row],[ID_EC]],TR_6RecyclingArranger[Name of Third-Party Recycling Arranger],TR_6RecyclingArranger[[#This Row],[Name of Third-Party Recycling Arranger]])&gt;1,1,0)</f>
        <v>0</v>
      </c>
      <c r="M317" s="79">
        <f>IF(TR_6RecyclingArranger[[#This Row],[ID_EC]]="",0,IFERROR(0*MATCH(TR_6RecyclingArranger[[#This Row],[ID_EC]],TR_5ExemptionClaim[Lookup: for arranger tab],0),1))</f>
        <v>0</v>
      </c>
      <c r="N317" s="79">
        <f>IF(TR_6RecyclingArranger[[#This Row],[ID_EC]]="",0,IF(COUNTA(TR_6RecyclingArranger[[#This Row],[Name of Third-Party Recycling Arranger]],TR_6RecyclingArranger[[#This Row],[Pounds of Producer''s Material Recycled by this Recycling Arranger]:[Recycling Arranger Contact Email]])=7,0,1))</f>
        <v>0</v>
      </c>
      <c r="O317" s="79">
        <f>IF(TR_6RecyclingArranger[[#This Row],[ID_EC]]&lt;&gt;"",0,IF(COUNTA(TR_6RecyclingArranger[[#This Row],[Name of Third-Party Recycling Arranger]],TR_6RecyclingArranger[[#This Row],[Pounds of Producer''s Material Recycled by this Recycling Arranger]:[Recycling Arranger Contact Email]])&gt;0,1,0))</f>
        <v>0</v>
      </c>
      <c r="P317" s="79">
        <f>IF(TR_6RecyclingArranger[[#This Row],[Lookup: pounds (this table)]]&gt;TR_6RecyclingArranger[[#This Row],[Lookup: pounds (5B tab)]],1,0)</f>
        <v>0</v>
      </c>
      <c r="Q317" s="78">
        <f>SUMIFS(TR_6RecyclingArranger[Pounds of Producer''s Material Recycled by this Recycling Arranger],TR_6RecyclingArranger[ID_EC],TR_6RecyclingArranger[[#This Row],[ID_EC]])</f>
        <v>0</v>
      </c>
      <c r="R317" s="78">
        <f>IFERROR(INDEX(TR_5ExemptionClaim[How many of the pounds recycled through this pathway were supplied by this producer?],MATCH(TR_6RecyclingArranger[[#This Row],[ID_EC]],TR_5ExemptionClaim[ID_EC],0)),0)</f>
        <v>0</v>
      </c>
      <c r="S317" s="81" t="str">
        <f t="shared" si="4"/>
        <v/>
      </c>
      <c r="T317" s="40"/>
      <c r="U317" s="58"/>
    </row>
    <row r="318" spans="1:21" ht="30.75" customHeight="1" x14ac:dyDescent="0.2">
      <c r="A318" s="82" t="s">
        <v>702</v>
      </c>
      <c r="B318" s="46"/>
      <c r="C318" s="113"/>
      <c r="D318" s="215" t="str">
        <f>IF(TR_6RecyclingArranger[[#This Row],[ID_EC]]="","",INDEX(TR_5ExemptionClaim[End Market Name],MATCH(TR_6RecyclingArranger[[#This Row],[ID_EC]],TR_5ExemptionClaim[ID_EC],0)))</f>
        <v/>
      </c>
      <c r="E318" s="215" t="str">
        <f>IF(TR_6RecyclingArranger[[#This Row],[ID_EC]]="","",INDEX(TR_5ExemptionClaim[Collection or Transportation Service Provider Name],MATCH(TR_6RecyclingArranger[[#This Row],[ID_EC]],TR_5ExemptionClaim[ID_EC],0)))</f>
        <v/>
      </c>
      <c r="F318" s="215" t="str">
        <f>IF(TR_6RecyclingArranger[[#This Row],[ID_EC]]="","",IF(INDEX(TR_5ExemptionClaim[CRPF name],MATCH(TR_6RecyclingArranger[[#This Row],[ID_EC]],TR_5ExemptionClaim[ID_EC],0))=0,"None",INDEX(TR_5ExemptionClaim[CRPF name],MATCH(TR_6RecyclingArranger[[#This Row],[ID_EC]],TR_5ExemptionClaim[ID_EC],0))))</f>
        <v/>
      </c>
      <c r="G318" s="45"/>
      <c r="H318" s="108"/>
      <c r="I318" s="47"/>
      <c r="J318" s="48"/>
      <c r="K318" s="47"/>
      <c r="L318" s="79">
        <f>IF(COUNTIFS(TR_6RecyclingArranger[ID_EC],TR_6RecyclingArranger[[#This Row],[ID_EC]],TR_6RecyclingArranger[Name of Third-Party Recycling Arranger],TR_6RecyclingArranger[[#This Row],[Name of Third-Party Recycling Arranger]])&gt;1,1,0)</f>
        <v>0</v>
      </c>
      <c r="M318" s="79">
        <f>IF(TR_6RecyclingArranger[[#This Row],[ID_EC]]="",0,IFERROR(0*MATCH(TR_6RecyclingArranger[[#This Row],[ID_EC]],TR_5ExemptionClaim[Lookup: for arranger tab],0),1))</f>
        <v>0</v>
      </c>
      <c r="N318" s="79">
        <f>IF(TR_6RecyclingArranger[[#This Row],[ID_EC]]="",0,IF(COUNTA(TR_6RecyclingArranger[[#This Row],[Name of Third-Party Recycling Arranger]],TR_6RecyclingArranger[[#This Row],[Pounds of Producer''s Material Recycled by this Recycling Arranger]:[Recycling Arranger Contact Email]])=7,0,1))</f>
        <v>0</v>
      </c>
      <c r="O318" s="79">
        <f>IF(TR_6RecyclingArranger[[#This Row],[ID_EC]]&lt;&gt;"",0,IF(COUNTA(TR_6RecyclingArranger[[#This Row],[Name of Third-Party Recycling Arranger]],TR_6RecyclingArranger[[#This Row],[Pounds of Producer''s Material Recycled by this Recycling Arranger]:[Recycling Arranger Contact Email]])&gt;0,1,0))</f>
        <v>0</v>
      </c>
      <c r="P318" s="79">
        <f>IF(TR_6RecyclingArranger[[#This Row],[Lookup: pounds (this table)]]&gt;TR_6RecyclingArranger[[#This Row],[Lookup: pounds (5B tab)]],1,0)</f>
        <v>0</v>
      </c>
      <c r="Q318" s="78">
        <f>SUMIFS(TR_6RecyclingArranger[Pounds of Producer''s Material Recycled by this Recycling Arranger],TR_6RecyclingArranger[ID_EC],TR_6RecyclingArranger[[#This Row],[ID_EC]])</f>
        <v>0</v>
      </c>
      <c r="R318" s="78">
        <f>IFERROR(INDEX(TR_5ExemptionClaim[How many of the pounds recycled through this pathway were supplied by this producer?],MATCH(TR_6RecyclingArranger[[#This Row],[ID_EC]],TR_5ExemptionClaim[ID_EC],0)),0)</f>
        <v>0</v>
      </c>
      <c r="S318" s="81" t="str">
        <f t="shared" si="4"/>
        <v/>
      </c>
      <c r="T318" s="40"/>
      <c r="U318" s="58"/>
    </row>
    <row r="319" spans="1:21" ht="30.75" customHeight="1" x14ac:dyDescent="0.2">
      <c r="A319" s="82" t="s">
        <v>703</v>
      </c>
      <c r="B319" s="46"/>
      <c r="C319" s="113"/>
      <c r="D319" s="215" t="str">
        <f>IF(TR_6RecyclingArranger[[#This Row],[ID_EC]]="","",INDEX(TR_5ExemptionClaim[End Market Name],MATCH(TR_6RecyclingArranger[[#This Row],[ID_EC]],TR_5ExemptionClaim[ID_EC],0)))</f>
        <v/>
      </c>
      <c r="E319" s="215" t="str">
        <f>IF(TR_6RecyclingArranger[[#This Row],[ID_EC]]="","",INDEX(TR_5ExemptionClaim[Collection or Transportation Service Provider Name],MATCH(TR_6RecyclingArranger[[#This Row],[ID_EC]],TR_5ExemptionClaim[ID_EC],0)))</f>
        <v/>
      </c>
      <c r="F319" s="215" t="str">
        <f>IF(TR_6RecyclingArranger[[#This Row],[ID_EC]]="","",IF(INDEX(TR_5ExemptionClaim[CRPF name],MATCH(TR_6RecyclingArranger[[#This Row],[ID_EC]],TR_5ExemptionClaim[ID_EC],0))=0,"None",INDEX(TR_5ExemptionClaim[CRPF name],MATCH(TR_6RecyclingArranger[[#This Row],[ID_EC]],TR_5ExemptionClaim[ID_EC],0))))</f>
        <v/>
      </c>
      <c r="G319" s="45"/>
      <c r="H319" s="108"/>
      <c r="I319" s="47"/>
      <c r="J319" s="48"/>
      <c r="K319" s="47"/>
      <c r="L319" s="79">
        <f>IF(COUNTIFS(TR_6RecyclingArranger[ID_EC],TR_6RecyclingArranger[[#This Row],[ID_EC]],TR_6RecyclingArranger[Name of Third-Party Recycling Arranger],TR_6RecyclingArranger[[#This Row],[Name of Third-Party Recycling Arranger]])&gt;1,1,0)</f>
        <v>0</v>
      </c>
      <c r="M319" s="79">
        <f>IF(TR_6RecyclingArranger[[#This Row],[ID_EC]]="",0,IFERROR(0*MATCH(TR_6RecyclingArranger[[#This Row],[ID_EC]],TR_5ExemptionClaim[Lookup: for arranger tab],0),1))</f>
        <v>0</v>
      </c>
      <c r="N319" s="79">
        <f>IF(TR_6RecyclingArranger[[#This Row],[ID_EC]]="",0,IF(COUNTA(TR_6RecyclingArranger[[#This Row],[Name of Third-Party Recycling Arranger]],TR_6RecyclingArranger[[#This Row],[Pounds of Producer''s Material Recycled by this Recycling Arranger]:[Recycling Arranger Contact Email]])=7,0,1))</f>
        <v>0</v>
      </c>
      <c r="O319" s="79">
        <f>IF(TR_6RecyclingArranger[[#This Row],[ID_EC]]&lt;&gt;"",0,IF(COUNTA(TR_6RecyclingArranger[[#This Row],[Name of Third-Party Recycling Arranger]],TR_6RecyclingArranger[[#This Row],[Pounds of Producer''s Material Recycled by this Recycling Arranger]:[Recycling Arranger Contact Email]])&gt;0,1,0))</f>
        <v>0</v>
      </c>
      <c r="P319" s="79">
        <f>IF(TR_6RecyclingArranger[[#This Row],[Lookup: pounds (this table)]]&gt;TR_6RecyclingArranger[[#This Row],[Lookup: pounds (5B tab)]],1,0)</f>
        <v>0</v>
      </c>
      <c r="Q319" s="78">
        <f>SUMIFS(TR_6RecyclingArranger[Pounds of Producer''s Material Recycled by this Recycling Arranger],TR_6RecyclingArranger[ID_EC],TR_6RecyclingArranger[[#This Row],[ID_EC]])</f>
        <v>0</v>
      </c>
      <c r="R319" s="78">
        <f>IFERROR(INDEX(TR_5ExemptionClaim[How many of the pounds recycled through this pathway were supplied by this producer?],MATCH(TR_6RecyclingArranger[[#This Row],[ID_EC]],TR_5ExemptionClaim[ID_EC],0)),0)</f>
        <v>0</v>
      </c>
      <c r="S319" s="81" t="str">
        <f t="shared" si="4"/>
        <v/>
      </c>
      <c r="T319" s="40"/>
      <c r="U319" s="58"/>
    </row>
    <row r="320" spans="1:21" ht="30.75" customHeight="1" x14ac:dyDescent="0.2">
      <c r="A320" s="82" t="s">
        <v>704</v>
      </c>
      <c r="B320" s="46"/>
      <c r="C320" s="113"/>
      <c r="D320" s="215" t="str">
        <f>IF(TR_6RecyclingArranger[[#This Row],[ID_EC]]="","",INDEX(TR_5ExemptionClaim[End Market Name],MATCH(TR_6RecyclingArranger[[#This Row],[ID_EC]],TR_5ExemptionClaim[ID_EC],0)))</f>
        <v/>
      </c>
      <c r="E320" s="215" t="str">
        <f>IF(TR_6RecyclingArranger[[#This Row],[ID_EC]]="","",INDEX(TR_5ExemptionClaim[Collection or Transportation Service Provider Name],MATCH(TR_6RecyclingArranger[[#This Row],[ID_EC]],TR_5ExemptionClaim[ID_EC],0)))</f>
        <v/>
      </c>
      <c r="F320" s="215" t="str">
        <f>IF(TR_6RecyclingArranger[[#This Row],[ID_EC]]="","",IF(INDEX(TR_5ExemptionClaim[CRPF name],MATCH(TR_6RecyclingArranger[[#This Row],[ID_EC]],TR_5ExemptionClaim[ID_EC],0))=0,"None",INDEX(TR_5ExemptionClaim[CRPF name],MATCH(TR_6RecyclingArranger[[#This Row],[ID_EC]],TR_5ExemptionClaim[ID_EC],0))))</f>
        <v/>
      </c>
      <c r="G320" s="45"/>
      <c r="H320" s="108"/>
      <c r="I320" s="47"/>
      <c r="J320" s="48"/>
      <c r="K320" s="47"/>
      <c r="L320" s="79">
        <f>IF(COUNTIFS(TR_6RecyclingArranger[ID_EC],TR_6RecyclingArranger[[#This Row],[ID_EC]],TR_6RecyclingArranger[Name of Third-Party Recycling Arranger],TR_6RecyclingArranger[[#This Row],[Name of Third-Party Recycling Arranger]])&gt;1,1,0)</f>
        <v>0</v>
      </c>
      <c r="M320" s="79">
        <f>IF(TR_6RecyclingArranger[[#This Row],[ID_EC]]="",0,IFERROR(0*MATCH(TR_6RecyclingArranger[[#This Row],[ID_EC]],TR_5ExemptionClaim[Lookup: for arranger tab],0),1))</f>
        <v>0</v>
      </c>
      <c r="N320" s="79">
        <f>IF(TR_6RecyclingArranger[[#This Row],[ID_EC]]="",0,IF(COUNTA(TR_6RecyclingArranger[[#This Row],[Name of Third-Party Recycling Arranger]],TR_6RecyclingArranger[[#This Row],[Pounds of Producer''s Material Recycled by this Recycling Arranger]:[Recycling Arranger Contact Email]])=7,0,1))</f>
        <v>0</v>
      </c>
      <c r="O320" s="79">
        <f>IF(TR_6RecyclingArranger[[#This Row],[ID_EC]]&lt;&gt;"",0,IF(COUNTA(TR_6RecyclingArranger[[#This Row],[Name of Third-Party Recycling Arranger]],TR_6RecyclingArranger[[#This Row],[Pounds of Producer''s Material Recycled by this Recycling Arranger]:[Recycling Arranger Contact Email]])&gt;0,1,0))</f>
        <v>0</v>
      </c>
      <c r="P320" s="79">
        <f>IF(TR_6RecyclingArranger[[#This Row],[Lookup: pounds (this table)]]&gt;TR_6RecyclingArranger[[#This Row],[Lookup: pounds (5B tab)]],1,0)</f>
        <v>0</v>
      </c>
      <c r="Q320" s="78">
        <f>SUMIFS(TR_6RecyclingArranger[Pounds of Producer''s Material Recycled by this Recycling Arranger],TR_6RecyclingArranger[ID_EC],TR_6RecyclingArranger[[#This Row],[ID_EC]])</f>
        <v>0</v>
      </c>
      <c r="R320" s="78">
        <f>IFERROR(INDEX(TR_5ExemptionClaim[How many of the pounds recycled through this pathway were supplied by this producer?],MATCH(TR_6RecyclingArranger[[#This Row],[ID_EC]],TR_5ExemptionClaim[ID_EC],0)),0)</f>
        <v>0</v>
      </c>
      <c r="S320" s="81" t="str">
        <f t="shared" si="4"/>
        <v/>
      </c>
      <c r="T320" s="40"/>
      <c r="U320" s="58"/>
    </row>
    <row r="321" spans="1:21" ht="30.75" customHeight="1" x14ac:dyDescent="0.2">
      <c r="A321" s="82" t="s">
        <v>705</v>
      </c>
      <c r="B321" s="46"/>
      <c r="C321" s="113"/>
      <c r="D321" s="215" t="str">
        <f>IF(TR_6RecyclingArranger[[#This Row],[ID_EC]]="","",INDEX(TR_5ExemptionClaim[End Market Name],MATCH(TR_6RecyclingArranger[[#This Row],[ID_EC]],TR_5ExemptionClaim[ID_EC],0)))</f>
        <v/>
      </c>
      <c r="E321" s="215" t="str">
        <f>IF(TR_6RecyclingArranger[[#This Row],[ID_EC]]="","",INDEX(TR_5ExemptionClaim[Collection or Transportation Service Provider Name],MATCH(TR_6RecyclingArranger[[#This Row],[ID_EC]],TR_5ExemptionClaim[ID_EC],0)))</f>
        <v/>
      </c>
      <c r="F321" s="215" t="str">
        <f>IF(TR_6RecyclingArranger[[#This Row],[ID_EC]]="","",IF(INDEX(TR_5ExemptionClaim[CRPF name],MATCH(TR_6RecyclingArranger[[#This Row],[ID_EC]],TR_5ExemptionClaim[ID_EC],0))=0,"None",INDEX(TR_5ExemptionClaim[CRPF name],MATCH(TR_6RecyclingArranger[[#This Row],[ID_EC]],TR_5ExemptionClaim[ID_EC],0))))</f>
        <v/>
      </c>
      <c r="G321" s="45"/>
      <c r="H321" s="108"/>
      <c r="I321" s="47"/>
      <c r="J321" s="48"/>
      <c r="K321" s="47"/>
      <c r="L321" s="79">
        <f>IF(COUNTIFS(TR_6RecyclingArranger[ID_EC],TR_6RecyclingArranger[[#This Row],[ID_EC]],TR_6RecyclingArranger[Name of Third-Party Recycling Arranger],TR_6RecyclingArranger[[#This Row],[Name of Third-Party Recycling Arranger]])&gt;1,1,0)</f>
        <v>0</v>
      </c>
      <c r="M321" s="79">
        <f>IF(TR_6RecyclingArranger[[#This Row],[ID_EC]]="",0,IFERROR(0*MATCH(TR_6RecyclingArranger[[#This Row],[ID_EC]],TR_5ExemptionClaim[Lookup: for arranger tab],0),1))</f>
        <v>0</v>
      </c>
      <c r="N321" s="79">
        <f>IF(TR_6RecyclingArranger[[#This Row],[ID_EC]]="",0,IF(COUNTA(TR_6RecyclingArranger[[#This Row],[Name of Third-Party Recycling Arranger]],TR_6RecyclingArranger[[#This Row],[Pounds of Producer''s Material Recycled by this Recycling Arranger]:[Recycling Arranger Contact Email]])=7,0,1))</f>
        <v>0</v>
      </c>
      <c r="O321" s="79">
        <f>IF(TR_6RecyclingArranger[[#This Row],[ID_EC]]&lt;&gt;"",0,IF(COUNTA(TR_6RecyclingArranger[[#This Row],[Name of Third-Party Recycling Arranger]],TR_6RecyclingArranger[[#This Row],[Pounds of Producer''s Material Recycled by this Recycling Arranger]:[Recycling Arranger Contact Email]])&gt;0,1,0))</f>
        <v>0</v>
      </c>
      <c r="P321" s="79">
        <f>IF(TR_6RecyclingArranger[[#This Row],[Lookup: pounds (this table)]]&gt;TR_6RecyclingArranger[[#This Row],[Lookup: pounds (5B tab)]],1,0)</f>
        <v>0</v>
      </c>
      <c r="Q321" s="78">
        <f>SUMIFS(TR_6RecyclingArranger[Pounds of Producer''s Material Recycled by this Recycling Arranger],TR_6RecyclingArranger[ID_EC],TR_6RecyclingArranger[[#This Row],[ID_EC]])</f>
        <v>0</v>
      </c>
      <c r="R321" s="78">
        <f>IFERROR(INDEX(TR_5ExemptionClaim[How many of the pounds recycled through this pathway were supplied by this producer?],MATCH(TR_6RecyclingArranger[[#This Row],[ID_EC]],TR_5ExemptionClaim[ID_EC],0)),0)</f>
        <v>0</v>
      </c>
      <c r="S321" s="81" t="str">
        <f t="shared" si="4"/>
        <v/>
      </c>
      <c r="T321" s="40"/>
      <c r="U321" s="58"/>
    </row>
    <row r="322" spans="1:21" ht="30.75" customHeight="1" x14ac:dyDescent="0.2">
      <c r="A322" s="82" t="s">
        <v>706</v>
      </c>
      <c r="B322" s="46"/>
      <c r="C322" s="113"/>
      <c r="D322" s="215" t="str">
        <f>IF(TR_6RecyclingArranger[[#This Row],[ID_EC]]="","",INDEX(TR_5ExemptionClaim[End Market Name],MATCH(TR_6RecyclingArranger[[#This Row],[ID_EC]],TR_5ExemptionClaim[ID_EC],0)))</f>
        <v/>
      </c>
      <c r="E322" s="215" t="str">
        <f>IF(TR_6RecyclingArranger[[#This Row],[ID_EC]]="","",INDEX(TR_5ExemptionClaim[Collection or Transportation Service Provider Name],MATCH(TR_6RecyclingArranger[[#This Row],[ID_EC]],TR_5ExemptionClaim[ID_EC],0)))</f>
        <v/>
      </c>
      <c r="F322" s="215" t="str">
        <f>IF(TR_6RecyclingArranger[[#This Row],[ID_EC]]="","",IF(INDEX(TR_5ExemptionClaim[CRPF name],MATCH(TR_6RecyclingArranger[[#This Row],[ID_EC]],TR_5ExemptionClaim[ID_EC],0))=0,"None",INDEX(TR_5ExemptionClaim[CRPF name],MATCH(TR_6RecyclingArranger[[#This Row],[ID_EC]],TR_5ExemptionClaim[ID_EC],0))))</f>
        <v/>
      </c>
      <c r="G322" s="45"/>
      <c r="H322" s="108"/>
      <c r="I322" s="47"/>
      <c r="J322" s="48"/>
      <c r="K322" s="47"/>
      <c r="L322" s="79">
        <f>IF(COUNTIFS(TR_6RecyclingArranger[ID_EC],TR_6RecyclingArranger[[#This Row],[ID_EC]],TR_6RecyclingArranger[Name of Third-Party Recycling Arranger],TR_6RecyclingArranger[[#This Row],[Name of Third-Party Recycling Arranger]])&gt;1,1,0)</f>
        <v>0</v>
      </c>
      <c r="M322" s="79">
        <f>IF(TR_6RecyclingArranger[[#This Row],[ID_EC]]="",0,IFERROR(0*MATCH(TR_6RecyclingArranger[[#This Row],[ID_EC]],TR_5ExemptionClaim[Lookup: for arranger tab],0),1))</f>
        <v>0</v>
      </c>
      <c r="N322" s="79">
        <f>IF(TR_6RecyclingArranger[[#This Row],[ID_EC]]="",0,IF(COUNTA(TR_6RecyclingArranger[[#This Row],[Name of Third-Party Recycling Arranger]],TR_6RecyclingArranger[[#This Row],[Pounds of Producer''s Material Recycled by this Recycling Arranger]:[Recycling Arranger Contact Email]])=7,0,1))</f>
        <v>0</v>
      </c>
      <c r="O322" s="79">
        <f>IF(TR_6RecyclingArranger[[#This Row],[ID_EC]]&lt;&gt;"",0,IF(COUNTA(TR_6RecyclingArranger[[#This Row],[Name of Third-Party Recycling Arranger]],TR_6RecyclingArranger[[#This Row],[Pounds of Producer''s Material Recycled by this Recycling Arranger]:[Recycling Arranger Contact Email]])&gt;0,1,0))</f>
        <v>0</v>
      </c>
      <c r="P322" s="79">
        <f>IF(TR_6RecyclingArranger[[#This Row],[Lookup: pounds (this table)]]&gt;TR_6RecyclingArranger[[#This Row],[Lookup: pounds (5B tab)]],1,0)</f>
        <v>0</v>
      </c>
      <c r="Q322" s="78">
        <f>SUMIFS(TR_6RecyclingArranger[Pounds of Producer''s Material Recycled by this Recycling Arranger],TR_6RecyclingArranger[ID_EC],TR_6RecyclingArranger[[#This Row],[ID_EC]])</f>
        <v>0</v>
      </c>
      <c r="R322" s="78">
        <f>IFERROR(INDEX(TR_5ExemptionClaim[How many of the pounds recycled through this pathway were supplied by this producer?],MATCH(TR_6RecyclingArranger[[#This Row],[ID_EC]],TR_5ExemptionClaim[ID_EC],0)),0)</f>
        <v>0</v>
      </c>
      <c r="S322" s="81" t="str">
        <f t="shared" si="4"/>
        <v/>
      </c>
      <c r="T322" s="40"/>
      <c r="U322" s="58"/>
    </row>
    <row r="323" spans="1:21" ht="30.75" customHeight="1" x14ac:dyDescent="0.2">
      <c r="A323" s="82" t="s">
        <v>707</v>
      </c>
      <c r="B323" s="46"/>
      <c r="C323" s="113"/>
      <c r="D323" s="215" t="str">
        <f>IF(TR_6RecyclingArranger[[#This Row],[ID_EC]]="","",INDEX(TR_5ExemptionClaim[End Market Name],MATCH(TR_6RecyclingArranger[[#This Row],[ID_EC]],TR_5ExemptionClaim[ID_EC],0)))</f>
        <v/>
      </c>
      <c r="E323" s="215" t="str">
        <f>IF(TR_6RecyclingArranger[[#This Row],[ID_EC]]="","",INDEX(TR_5ExemptionClaim[Collection or Transportation Service Provider Name],MATCH(TR_6RecyclingArranger[[#This Row],[ID_EC]],TR_5ExemptionClaim[ID_EC],0)))</f>
        <v/>
      </c>
      <c r="F323" s="215" t="str">
        <f>IF(TR_6RecyclingArranger[[#This Row],[ID_EC]]="","",IF(INDEX(TR_5ExemptionClaim[CRPF name],MATCH(TR_6RecyclingArranger[[#This Row],[ID_EC]],TR_5ExemptionClaim[ID_EC],0))=0,"None",INDEX(TR_5ExemptionClaim[CRPF name],MATCH(TR_6RecyclingArranger[[#This Row],[ID_EC]],TR_5ExemptionClaim[ID_EC],0))))</f>
        <v/>
      </c>
      <c r="G323" s="45"/>
      <c r="H323" s="108"/>
      <c r="I323" s="47"/>
      <c r="J323" s="48"/>
      <c r="K323" s="47"/>
      <c r="L323" s="79">
        <f>IF(COUNTIFS(TR_6RecyclingArranger[ID_EC],TR_6RecyclingArranger[[#This Row],[ID_EC]],TR_6RecyclingArranger[Name of Third-Party Recycling Arranger],TR_6RecyclingArranger[[#This Row],[Name of Third-Party Recycling Arranger]])&gt;1,1,0)</f>
        <v>0</v>
      </c>
      <c r="M323" s="79">
        <f>IF(TR_6RecyclingArranger[[#This Row],[ID_EC]]="",0,IFERROR(0*MATCH(TR_6RecyclingArranger[[#This Row],[ID_EC]],TR_5ExemptionClaim[Lookup: for arranger tab],0),1))</f>
        <v>0</v>
      </c>
      <c r="N323" s="79">
        <f>IF(TR_6RecyclingArranger[[#This Row],[ID_EC]]="",0,IF(COUNTA(TR_6RecyclingArranger[[#This Row],[Name of Third-Party Recycling Arranger]],TR_6RecyclingArranger[[#This Row],[Pounds of Producer''s Material Recycled by this Recycling Arranger]:[Recycling Arranger Contact Email]])=7,0,1))</f>
        <v>0</v>
      </c>
      <c r="O323" s="79">
        <f>IF(TR_6RecyclingArranger[[#This Row],[ID_EC]]&lt;&gt;"",0,IF(COUNTA(TR_6RecyclingArranger[[#This Row],[Name of Third-Party Recycling Arranger]],TR_6RecyclingArranger[[#This Row],[Pounds of Producer''s Material Recycled by this Recycling Arranger]:[Recycling Arranger Contact Email]])&gt;0,1,0))</f>
        <v>0</v>
      </c>
      <c r="P323" s="79">
        <f>IF(TR_6RecyclingArranger[[#This Row],[Lookup: pounds (this table)]]&gt;TR_6RecyclingArranger[[#This Row],[Lookup: pounds (5B tab)]],1,0)</f>
        <v>0</v>
      </c>
      <c r="Q323" s="78">
        <f>SUMIFS(TR_6RecyclingArranger[Pounds of Producer''s Material Recycled by this Recycling Arranger],TR_6RecyclingArranger[ID_EC],TR_6RecyclingArranger[[#This Row],[ID_EC]])</f>
        <v>0</v>
      </c>
      <c r="R323" s="78">
        <f>IFERROR(INDEX(TR_5ExemptionClaim[How many of the pounds recycled through this pathway were supplied by this producer?],MATCH(TR_6RecyclingArranger[[#This Row],[ID_EC]],TR_5ExemptionClaim[ID_EC],0)),0)</f>
        <v>0</v>
      </c>
      <c r="S323" s="81" t="str">
        <f t="shared" si="4"/>
        <v/>
      </c>
      <c r="T323" s="40"/>
      <c r="U323" s="58"/>
    </row>
    <row r="324" spans="1:21" ht="30.75" customHeight="1" x14ac:dyDescent="0.2">
      <c r="A324" s="82" t="s">
        <v>708</v>
      </c>
      <c r="B324" s="46"/>
      <c r="C324" s="113"/>
      <c r="D324" s="215" t="str">
        <f>IF(TR_6RecyclingArranger[[#This Row],[ID_EC]]="","",INDEX(TR_5ExemptionClaim[End Market Name],MATCH(TR_6RecyclingArranger[[#This Row],[ID_EC]],TR_5ExemptionClaim[ID_EC],0)))</f>
        <v/>
      </c>
      <c r="E324" s="215" t="str">
        <f>IF(TR_6RecyclingArranger[[#This Row],[ID_EC]]="","",INDEX(TR_5ExemptionClaim[Collection or Transportation Service Provider Name],MATCH(TR_6RecyclingArranger[[#This Row],[ID_EC]],TR_5ExemptionClaim[ID_EC],0)))</f>
        <v/>
      </c>
      <c r="F324" s="215" t="str">
        <f>IF(TR_6RecyclingArranger[[#This Row],[ID_EC]]="","",IF(INDEX(TR_5ExemptionClaim[CRPF name],MATCH(TR_6RecyclingArranger[[#This Row],[ID_EC]],TR_5ExemptionClaim[ID_EC],0))=0,"None",INDEX(TR_5ExemptionClaim[CRPF name],MATCH(TR_6RecyclingArranger[[#This Row],[ID_EC]],TR_5ExemptionClaim[ID_EC],0))))</f>
        <v/>
      </c>
      <c r="G324" s="45"/>
      <c r="H324" s="108"/>
      <c r="I324" s="47"/>
      <c r="J324" s="48"/>
      <c r="K324" s="47"/>
      <c r="L324" s="79">
        <f>IF(COUNTIFS(TR_6RecyclingArranger[ID_EC],TR_6RecyclingArranger[[#This Row],[ID_EC]],TR_6RecyclingArranger[Name of Third-Party Recycling Arranger],TR_6RecyclingArranger[[#This Row],[Name of Third-Party Recycling Arranger]])&gt;1,1,0)</f>
        <v>0</v>
      </c>
      <c r="M324" s="79">
        <f>IF(TR_6RecyclingArranger[[#This Row],[ID_EC]]="",0,IFERROR(0*MATCH(TR_6RecyclingArranger[[#This Row],[ID_EC]],TR_5ExemptionClaim[Lookup: for arranger tab],0),1))</f>
        <v>0</v>
      </c>
      <c r="N324" s="79">
        <f>IF(TR_6RecyclingArranger[[#This Row],[ID_EC]]="",0,IF(COUNTA(TR_6RecyclingArranger[[#This Row],[Name of Third-Party Recycling Arranger]],TR_6RecyclingArranger[[#This Row],[Pounds of Producer''s Material Recycled by this Recycling Arranger]:[Recycling Arranger Contact Email]])=7,0,1))</f>
        <v>0</v>
      </c>
      <c r="O324" s="79">
        <f>IF(TR_6RecyclingArranger[[#This Row],[ID_EC]]&lt;&gt;"",0,IF(COUNTA(TR_6RecyclingArranger[[#This Row],[Name of Third-Party Recycling Arranger]],TR_6RecyclingArranger[[#This Row],[Pounds of Producer''s Material Recycled by this Recycling Arranger]:[Recycling Arranger Contact Email]])&gt;0,1,0))</f>
        <v>0</v>
      </c>
      <c r="P324" s="79">
        <f>IF(TR_6RecyclingArranger[[#This Row],[Lookup: pounds (this table)]]&gt;TR_6RecyclingArranger[[#This Row],[Lookup: pounds (5B tab)]],1,0)</f>
        <v>0</v>
      </c>
      <c r="Q324" s="78">
        <f>SUMIFS(TR_6RecyclingArranger[Pounds of Producer''s Material Recycled by this Recycling Arranger],TR_6RecyclingArranger[ID_EC],TR_6RecyclingArranger[[#This Row],[ID_EC]])</f>
        <v>0</v>
      </c>
      <c r="R324" s="78">
        <f>IFERROR(INDEX(TR_5ExemptionClaim[How many of the pounds recycled through this pathway were supplied by this producer?],MATCH(TR_6RecyclingArranger[[#This Row],[ID_EC]],TR_5ExemptionClaim[ID_EC],0)),0)</f>
        <v>0</v>
      </c>
      <c r="S324" s="81" t="str">
        <f t="shared" si="4"/>
        <v/>
      </c>
      <c r="T324" s="40"/>
      <c r="U324" s="58"/>
    </row>
    <row r="325" spans="1:21" ht="30.75" customHeight="1" x14ac:dyDescent="0.2">
      <c r="A325" s="82" t="s">
        <v>709</v>
      </c>
      <c r="B325" s="46"/>
      <c r="C325" s="113"/>
      <c r="D325" s="215" t="str">
        <f>IF(TR_6RecyclingArranger[[#This Row],[ID_EC]]="","",INDEX(TR_5ExemptionClaim[End Market Name],MATCH(TR_6RecyclingArranger[[#This Row],[ID_EC]],TR_5ExemptionClaim[ID_EC],0)))</f>
        <v/>
      </c>
      <c r="E325" s="215" t="str">
        <f>IF(TR_6RecyclingArranger[[#This Row],[ID_EC]]="","",INDEX(TR_5ExemptionClaim[Collection or Transportation Service Provider Name],MATCH(TR_6RecyclingArranger[[#This Row],[ID_EC]],TR_5ExemptionClaim[ID_EC],0)))</f>
        <v/>
      </c>
      <c r="F325" s="215" t="str">
        <f>IF(TR_6RecyclingArranger[[#This Row],[ID_EC]]="","",IF(INDEX(TR_5ExemptionClaim[CRPF name],MATCH(TR_6RecyclingArranger[[#This Row],[ID_EC]],TR_5ExemptionClaim[ID_EC],0))=0,"None",INDEX(TR_5ExemptionClaim[CRPF name],MATCH(TR_6RecyclingArranger[[#This Row],[ID_EC]],TR_5ExemptionClaim[ID_EC],0))))</f>
        <v/>
      </c>
      <c r="G325" s="45"/>
      <c r="H325" s="108"/>
      <c r="I325" s="47"/>
      <c r="J325" s="48"/>
      <c r="K325" s="47"/>
      <c r="L325" s="79">
        <f>IF(COUNTIFS(TR_6RecyclingArranger[ID_EC],TR_6RecyclingArranger[[#This Row],[ID_EC]],TR_6RecyclingArranger[Name of Third-Party Recycling Arranger],TR_6RecyclingArranger[[#This Row],[Name of Third-Party Recycling Arranger]])&gt;1,1,0)</f>
        <v>0</v>
      </c>
      <c r="M325" s="79">
        <f>IF(TR_6RecyclingArranger[[#This Row],[ID_EC]]="",0,IFERROR(0*MATCH(TR_6RecyclingArranger[[#This Row],[ID_EC]],TR_5ExemptionClaim[Lookup: for arranger tab],0),1))</f>
        <v>0</v>
      </c>
      <c r="N325" s="79">
        <f>IF(TR_6RecyclingArranger[[#This Row],[ID_EC]]="",0,IF(COUNTA(TR_6RecyclingArranger[[#This Row],[Name of Third-Party Recycling Arranger]],TR_6RecyclingArranger[[#This Row],[Pounds of Producer''s Material Recycled by this Recycling Arranger]:[Recycling Arranger Contact Email]])=7,0,1))</f>
        <v>0</v>
      </c>
      <c r="O325" s="79">
        <f>IF(TR_6RecyclingArranger[[#This Row],[ID_EC]]&lt;&gt;"",0,IF(COUNTA(TR_6RecyclingArranger[[#This Row],[Name of Third-Party Recycling Arranger]],TR_6RecyclingArranger[[#This Row],[Pounds of Producer''s Material Recycled by this Recycling Arranger]:[Recycling Arranger Contact Email]])&gt;0,1,0))</f>
        <v>0</v>
      </c>
      <c r="P325" s="79">
        <f>IF(TR_6RecyclingArranger[[#This Row],[Lookup: pounds (this table)]]&gt;TR_6RecyclingArranger[[#This Row],[Lookup: pounds (5B tab)]],1,0)</f>
        <v>0</v>
      </c>
      <c r="Q325" s="78">
        <f>SUMIFS(TR_6RecyclingArranger[Pounds of Producer''s Material Recycled by this Recycling Arranger],TR_6RecyclingArranger[ID_EC],TR_6RecyclingArranger[[#This Row],[ID_EC]])</f>
        <v>0</v>
      </c>
      <c r="R325" s="78">
        <f>IFERROR(INDEX(TR_5ExemptionClaim[How many of the pounds recycled through this pathway were supplied by this producer?],MATCH(TR_6RecyclingArranger[[#This Row],[ID_EC]],TR_5ExemptionClaim[ID_EC],0)),0)</f>
        <v>0</v>
      </c>
      <c r="S325" s="81" t="str">
        <f t="shared" si="4"/>
        <v/>
      </c>
      <c r="T325" s="40"/>
      <c r="U325" s="58"/>
    </row>
    <row r="326" spans="1:21" ht="30.75" customHeight="1" x14ac:dyDescent="0.2">
      <c r="A326" s="82" t="s">
        <v>710</v>
      </c>
      <c r="B326" s="46"/>
      <c r="C326" s="113"/>
      <c r="D326" s="215" t="str">
        <f>IF(TR_6RecyclingArranger[[#This Row],[ID_EC]]="","",INDEX(TR_5ExemptionClaim[End Market Name],MATCH(TR_6RecyclingArranger[[#This Row],[ID_EC]],TR_5ExemptionClaim[ID_EC],0)))</f>
        <v/>
      </c>
      <c r="E326" s="215" t="str">
        <f>IF(TR_6RecyclingArranger[[#This Row],[ID_EC]]="","",INDEX(TR_5ExemptionClaim[Collection or Transportation Service Provider Name],MATCH(TR_6RecyclingArranger[[#This Row],[ID_EC]],TR_5ExemptionClaim[ID_EC],0)))</f>
        <v/>
      </c>
      <c r="F326" s="215" t="str">
        <f>IF(TR_6RecyclingArranger[[#This Row],[ID_EC]]="","",IF(INDEX(TR_5ExemptionClaim[CRPF name],MATCH(TR_6RecyclingArranger[[#This Row],[ID_EC]],TR_5ExemptionClaim[ID_EC],0))=0,"None",INDEX(TR_5ExemptionClaim[CRPF name],MATCH(TR_6RecyclingArranger[[#This Row],[ID_EC]],TR_5ExemptionClaim[ID_EC],0))))</f>
        <v/>
      </c>
      <c r="G326" s="45"/>
      <c r="H326" s="108"/>
      <c r="I326" s="47"/>
      <c r="J326" s="48"/>
      <c r="K326" s="47"/>
      <c r="L326" s="79">
        <f>IF(COUNTIFS(TR_6RecyclingArranger[ID_EC],TR_6RecyclingArranger[[#This Row],[ID_EC]],TR_6RecyclingArranger[Name of Third-Party Recycling Arranger],TR_6RecyclingArranger[[#This Row],[Name of Third-Party Recycling Arranger]])&gt;1,1,0)</f>
        <v>0</v>
      </c>
      <c r="M326" s="79">
        <f>IF(TR_6RecyclingArranger[[#This Row],[ID_EC]]="",0,IFERROR(0*MATCH(TR_6RecyclingArranger[[#This Row],[ID_EC]],TR_5ExemptionClaim[Lookup: for arranger tab],0),1))</f>
        <v>0</v>
      </c>
      <c r="N326" s="79">
        <f>IF(TR_6RecyclingArranger[[#This Row],[ID_EC]]="",0,IF(COUNTA(TR_6RecyclingArranger[[#This Row],[Name of Third-Party Recycling Arranger]],TR_6RecyclingArranger[[#This Row],[Pounds of Producer''s Material Recycled by this Recycling Arranger]:[Recycling Arranger Contact Email]])=7,0,1))</f>
        <v>0</v>
      </c>
      <c r="O326" s="79">
        <f>IF(TR_6RecyclingArranger[[#This Row],[ID_EC]]&lt;&gt;"",0,IF(COUNTA(TR_6RecyclingArranger[[#This Row],[Name of Third-Party Recycling Arranger]],TR_6RecyclingArranger[[#This Row],[Pounds of Producer''s Material Recycled by this Recycling Arranger]:[Recycling Arranger Contact Email]])&gt;0,1,0))</f>
        <v>0</v>
      </c>
      <c r="P326" s="79">
        <f>IF(TR_6RecyclingArranger[[#This Row],[Lookup: pounds (this table)]]&gt;TR_6RecyclingArranger[[#This Row],[Lookup: pounds (5B tab)]],1,0)</f>
        <v>0</v>
      </c>
      <c r="Q326" s="78">
        <f>SUMIFS(TR_6RecyclingArranger[Pounds of Producer''s Material Recycled by this Recycling Arranger],TR_6RecyclingArranger[ID_EC],TR_6RecyclingArranger[[#This Row],[ID_EC]])</f>
        <v>0</v>
      </c>
      <c r="R326" s="78">
        <f>IFERROR(INDEX(TR_5ExemptionClaim[How many of the pounds recycled through this pathway were supplied by this producer?],MATCH(TR_6RecyclingArranger[[#This Row],[ID_EC]],TR_5ExemptionClaim[ID_EC],0)),0)</f>
        <v>0</v>
      </c>
      <c r="S326" s="81" t="str">
        <f t="shared" ref="S326:S355" si="5">IF(DR_ProducerID=0,"",DR_ProducerID)</f>
        <v/>
      </c>
      <c r="T326" s="40"/>
      <c r="U326" s="58"/>
    </row>
    <row r="327" spans="1:21" ht="30.75" customHeight="1" x14ac:dyDescent="0.2">
      <c r="A327" s="82" t="s">
        <v>711</v>
      </c>
      <c r="B327" s="46"/>
      <c r="C327" s="113"/>
      <c r="D327" s="215" t="str">
        <f>IF(TR_6RecyclingArranger[[#This Row],[ID_EC]]="","",INDEX(TR_5ExemptionClaim[End Market Name],MATCH(TR_6RecyclingArranger[[#This Row],[ID_EC]],TR_5ExemptionClaim[ID_EC],0)))</f>
        <v/>
      </c>
      <c r="E327" s="215" t="str">
        <f>IF(TR_6RecyclingArranger[[#This Row],[ID_EC]]="","",INDEX(TR_5ExemptionClaim[Collection or Transportation Service Provider Name],MATCH(TR_6RecyclingArranger[[#This Row],[ID_EC]],TR_5ExemptionClaim[ID_EC],0)))</f>
        <v/>
      </c>
      <c r="F327" s="215" t="str">
        <f>IF(TR_6RecyclingArranger[[#This Row],[ID_EC]]="","",IF(INDEX(TR_5ExemptionClaim[CRPF name],MATCH(TR_6RecyclingArranger[[#This Row],[ID_EC]],TR_5ExemptionClaim[ID_EC],0))=0,"None",INDEX(TR_5ExemptionClaim[CRPF name],MATCH(TR_6RecyclingArranger[[#This Row],[ID_EC]],TR_5ExemptionClaim[ID_EC],0))))</f>
        <v/>
      </c>
      <c r="G327" s="45"/>
      <c r="H327" s="108"/>
      <c r="I327" s="47"/>
      <c r="J327" s="48"/>
      <c r="K327" s="47"/>
      <c r="L327" s="79">
        <f>IF(COUNTIFS(TR_6RecyclingArranger[ID_EC],TR_6RecyclingArranger[[#This Row],[ID_EC]],TR_6RecyclingArranger[Name of Third-Party Recycling Arranger],TR_6RecyclingArranger[[#This Row],[Name of Third-Party Recycling Arranger]])&gt;1,1,0)</f>
        <v>0</v>
      </c>
      <c r="M327" s="79">
        <f>IF(TR_6RecyclingArranger[[#This Row],[ID_EC]]="",0,IFERROR(0*MATCH(TR_6RecyclingArranger[[#This Row],[ID_EC]],TR_5ExemptionClaim[Lookup: for arranger tab],0),1))</f>
        <v>0</v>
      </c>
      <c r="N327" s="79">
        <f>IF(TR_6RecyclingArranger[[#This Row],[ID_EC]]="",0,IF(COUNTA(TR_6RecyclingArranger[[#This Row],[Name of Third-Party Recycling Arranger]],TR_6RecyclingArranger[[#This Row],[Pounds of Producer''s Material Recycled by this Recycling Arranger]:[Recycling Arranger Contact Email]])=7,0,1))</f>
        <v>0</v>
      </c>
      <c r="O327" s="79">
        <f>IF(TR_6RecyclingArranger[[#This Row],[ID_EC]]&lt;&gt;"",0,IF(COUNTA(TR_6RecyclingArranger[[#This Row],[Name of Third-Party Recycling Arranger]],TR_6RecyclingArranger[[#This Row],[Pounds of Producer''s Material Recycled by this Recycling Arranger]:[Recycling Arranger Contact Email]])&gt;0,1,0))</f>
        <v>0</v>
      </c>
      <c r="P327" s="79">
        <f>IF(TR_6RecyclingArranger[[#This Row],[Lookup: pounds (this table)]]&gt;TR_6RecyclingArranger[[#This Row],[Lookup: pounds (5B tab)]],1,0)</f>
        <v>0</v>
      </c>
      <c r="Q327" s="78">
        <f>SUMIFS(TR_6RecyclingArranger[Pounds of Producer''s Material Recycled by this Recycling Arranger],TR_6RecyclingArranger[ID_EC],TR_6RecyclingArranger[[#This Row],[ID_EC]])</f>
        <v>0</v>
      </c>
      <c r="R327" s="78">
        <f>IFERROR(INDEX(TR_5ExemptionClaim[How many of the pounds recycled through this pathway were supplied by this producer?],MATCH(TR_6RecyclingArranger[[#This Row],[ID_EC]],TR_5ExemptionClaim[ID_EC],0)),0)</f>
        <v>0</v>
      </c>
      <c r="S327" s="81" t="str">
        <f t="shared" si="5"/>
        <v/>
      </c>
      <c r="T327" s="40"/>
      <c r="U327" s="58"/>
    </row>
    <row r="328" spans="1:21" ht="30.75" customHeight="1" x14ac:dyDescent="0.2">
      <c r="A328" s="82" t="s">
        <v>712</v>
      </c>
      <c r="B328" s="46"/>
      <c r="C328" s="113"/>
      <c r="D328" s="215" t="str">
        <f>IF(TR_6RecyclingArranger[[#This Row],[ID_EC]]="","",INDEX(TR_5ExemptionClaim[End Market Name],MATCH(TR_6RecyclingArranger[[#This Row],[ID_EC]],TR_5ExemptionClaim[ID_EC],0)))</f>
        <v/>
      </c>
      <c r="E328" s="215" t="str">
        <f>IF(TR_6RecyclingArranger[[#This Row],[ID_EC]]="","",INDEX(TR_5ExemptionClaim[Collection or Transportation Service Provider Name],MATCH(TR_6RecyclingArranger[[#This Row],[ID_EC]],TR_5ExemptionClaim[ID_EC],0)))</f>
        <v/>
      </c>
      <c r="F328" s="215" t="str">
        <f>IF(TR_6RecyclingArranger[[#This Row],[ID_EC]]="","",IF(INDEX(TR_5ExemptionClaim[CRPF name],MATCH(TR_6RecyclingArranger[[#This Row],[ID_EC]],TR_5ExemptionClaim[ID_EC],0))=0,"None",INDEX(TR_5ExemptionClaim[CRPF name],MATCH(TR_6RecyclingArranger[[#This Row],[ID_EC]],TR_5ExemptionClaim[ID_EC],0))))</f>
        <v/>
      </c>
      <c r="G328" s="45"/>
      <c r="H328" s="108"/>
      <c r="I328" s="47"/>
      <c r="J328" s="48"/>
      <c r="K328" s="47"/>
      <c r="L328" s="79">
        <f>IF(COUNTIFS(TR_6RecyclingArranger[ID_EC],TR_6RecyclingArranger[[#This Row],[ID_EC]],TR_6RecyclingArranger[Name of Third-Party Recycling Arranger],TR_6RecyclingArranger[[#This Row],[Name of Third-Party Recycling Arranger]])&gt;1,1,0)</f>
        <v>0</v>
      </c>
      <c r="M328" s="79">
        <f>IF(TR_6RecyclingArranger[[#This Row],[ID_EC]]="",0,IFERROR(0*MATCH(TR_6RecyclingArranger[[#This Row],[ID_EC]],TR_5ExemptionClaim[Lookup: for arranger tab],0),1))</f>
        <v>0</v>
      </c>
      <c r="N328" s="79">
        <f>IF(TR_6RecyclingArranger[[#This Row],[ID_EC]]="",0,IF(COUNTA(TR_6RecyclingArranger[[#This Row],[Name of Third-Party Recycling Arranger]],TR_6RecyclingArranger[[#This Row],[Pounds of Producer''s Material Recycled by this Recycling Arranger]:[Recycling Arranger Contact Email]])=7,0,1))</f>
        <v>0</v>
      </c>
      <c r="O328" s="79">
        <f>IF(TR_6RecyclingArranger[[#This Row],[ID_EC]]&lt;&gt;"",0,IF(COUNTA(TR_6RecyclingArranger[[#This Row],[Name of Third-Party Recycling Arranger]],TR_6RecyclingArranger[[#This Row],[Pounds of Producer''s Material Recycled by this Recycling Arranger]:[Recycling Arranger Contact Email]])&gt;0,1,0))</f>
        <v>0</v>
      </c>
      <c r="P328" s="79">
        <f>IF(TR_6RecyclingArranger[[#This Row],[Lookup: pounds (this table)]]&gt;TR_6RecyclingArranger[[#This Row],[Lookup: pounds (5B tab)]],1,0)</f>
        <v>0</v>
      </c>
      <c r="Q328" s="78">
        <f>SUMIFS(TR_6RecyclingArranger[Pounds of Producer''s Material Recycled by this Recycling Arranger],TR_6RecyclingArranger[ID_EC],TR_6RecyclingArranger[[#This Row],[ID_EC]])</f>
        <v>0</v>
      </c>
      <c r="R328" s="78">
        <f>IFERROR(INDEX(TR_5ExemptionClaim[How many of the pounds recycled through this pathway were supplied by this producer?],MATCH(TR_6RecyclingArranger[[#This Row],[ID_EC]],TR_5ExemptionClaim[ID_EC],0)),0)</f>
        <v>0</v>
      </c>
      <c r="S328" s="81" t="str">
        <f t="shared" si="5"/>
        <v/>
      </c>
      <c r="T328" s="40"/>
      <c r="U328" s="58"/>
    </row>
    <row r="329" spans="1:21" ht="30.75" customHeight="1" x14ac:dyDescent="0.2">
      <c r="A329" s="82" t="s">
        <v>713</v>
      </c>
      <c r="B329" s="46"/>
      <c r="C329" s="113"/>
      <c r="D329" s="215" t="str">
        <f>IF(TR_6RecyclingArranger[[#This Row],[ID_EC]]="","",INDEX(TR_5ExemptionClaim[End Market Name],MATCH(TR_6RecyclingArranger[[#This Row],[ID_EC]],TR_5ExemptionClaim[ID_EC],0)))</f>
        <v/>
      </c>
      <c r="E329" s="215" t="str">
        <f>IF(TR_6RecyclingArranger[[#This Row],[ID_EC]]="","",INDEX(TR_5ExemptionClaim[Collection or Transportation Service Provider Name],MATCH(TR_6RecyclingArranger[[#This Row],[ID_EC]],TR_5ExemptionClaim[ID_EC],0)))</f>
        <v/>
      </c>
      <c r="F329" s="215" t="str">
        <f>IF(TR_6RecyclingArranger[[#This Row],[ID_EC]]="","",IF(INDEX(TR_5ExemptionClaim[CRPF name],MATCH(TR_6RecyclingArranger[[#This Row],[ID_EC]],TR_5ExemptionClaim[ID_EC],0))=0,"None",INDEX(TR_5ExemptionClaim[CRPF name],MATCH(TR_6RecyclingArranger[[#This Row],[ID_EC]],TR_5ExemptionClaim[ID_EC],0))))</f>
        <v/>
      </c>
      <c r="G329" s="45"/>
      <c r="H329" s="108"/>
      <c r="I329" s="47"/>
      <c r="J329" s="48"/>
      <c r="K329" s="47"/>
      <c r="L329" s="79">
        <f>IF(COUNTIFS(TR_6RecyclingArranger[ID_EC],TR_6RecyclingArranger[[#This Row],[ID_EC]],TR_6RecyclingArranger[Name of Third-Party Recycling Arranger],TR_6RecyclingArranger[[#This Row],[Name of Third-Party Recycling Arranger]])&gt;1,1,0)</f>
        <v>0</v>
      </c>
      <c r="M329" s="79">
        <f>IF(TR_6RecyclingArranger[[#This Row],[ID_EC]]="",0,IFERROR(0*MATCH(TR_6RecyclingArranger[[#This Row],[ID_EC]],TR_5ExemptionClaim[Lookup: for arranger tab],0),1))</f>
        <v>0</v>
      </c>
      <c r="N329" s="79">
        <f>IF(TR_6RecyclingArranger[[#This Row],[ID_EC]]="",0,IF(COUNTA(TR_6RecyclingArranger[[#This Row],[Name of Third-Party Recycling Arranger]],TR_6RecyclingArranger[[#This Row],[Pounds of Producer''s Material Recycled by this Recycling Arranger]:[Recycling Arranger Contact Email]])=7,0,1))</f>
        <v>0</v>
      </c>
      <c r="O329" s="79">
        <f>IF(TR_6RecyclingArranger[[#This Row],[ID_EC]]&lt;&gt;"",0,IF(COUNTA(TR_6RecyclingArranger[[#This Row],[Name of Third-Party Recycling Arranger]],TR_6RecyclingArranger[[#This Row],[Pounds of Producer''s Material Recycled by this Recycling Arranger]:[Recycling Arranger Contact Email]])&gt;0,1,0))</f>
        <v>0</v>
      </c>
      <c r="P329" s="79">
        <f>IF(TR_6RecyclingArranger[[#This Row],[Lookup: pounds (this table)]]&gt;TR_6RecyclingArranger[[#This Row],[Lookup: pounds (5B tab)]],1,0)</f>
        <v>0</v>
      </c>
      <c r="Q329" s="78">
        <f>SUMIFS(TR_6RecyclingArranger[Pounds of Producer''s Material Recycled by this Recycling Arranger],TR_6RecyclingArranger[ID_EC],TR_6RecyclingArranger[[#This Row],[ID_EC]])</f>
        <v>0</v>
      </c>
      <c r="R329" s="78">
        <f>IFERROR(INDEX(TR_5ExemptionClaim[How many of the pounds recycled through this pathway were supplied by this producer?],MATCH(TR_6RecyclingArranger[[#This Row],[ID_EC]],TR_5ExemptionClaim[ID_EC],0)),0)</f>
        <v>0</v>
      </c>
      <c r="S329" s="81" t="str">
        <f t="shared" si="5"/>
        <v/>
      </c>
      <c r="T329" s="40"/>
      <c r="U329" s="58"/>
    </row>
    <row r="330" spans="1:21" ht="30.75" customHeight="1" x14ac:dyDescent="0.2">
      <c r="A330" s="82" t="s">
        <v>714</v>
      </c>
      <c r="B330" s="46"/>
      <c r="C330" s="113"/>
      <c r="D330" s="215" t="str">
        <f>IF(TR_6RecyclingArranger[[#This Row],[ID_EC]]="","",INDEX(TR_5ExemptionClaim[End Market Name],MATCH(TR_6RecyclingArranger[[#This Row],[ID_EC]],TR_5ExemptionClaim[ID_EC],0)))</f>
        <v/>
      </c>
      <c r="E330" s="215" t="str">
        <f>IF(TR_6RecyclingArranger[[#This Row],[ID_EC]]="","",INDEX(TR_5ExemptionClaim[Collection or Transportation Service Provider Name],MATCH(TR_6RecyclingArranger[[#This Row],[ID_EC]],TR_5ExemptionClaim[ID_EC],0)))</f>
        <v/>
      </c>
      <c r="F330" s="215" t="str">
        <f>IF(TR_6RecyclingArranger[[#This Row],[ID_EC]]="","",IF(INDEX(TR_5ExemptionClaim[CRPF name],MATCH(TR_6RecyclingArranger[[#This Row],[ID_EC]],TR_5ExemptionClaim[ID_EC],0))=0,"None",INDEX(TR_5ExemptionClaim[CRPF name],MATCH(TR_6RecyclingArranger[[#This Row],[ID_EC]],TR_5ExemptionClaim[ID_EC],0))))</f>
        <v/>
      </c>
      <c r="G330" s="45"/>
      <c r="H330" s="108"/>
      <c r="I330" s="47"/>
      <c r="J330" s="48"/>
      <c r="K330" s="47"/>
      <c r="L330" s="79">
        <f>IF(COUNTIFS(TR_6RecyclingArranger[ID_EC],TR_6RecyclingArranger[[#This Row],[ID_EC]],TR_6RecyclingArranger[Name of Third-Party Recycling Arranger],TR_6RecyclingArranger[[#This Row],[Name of Third-Party Recycling Arranger]])&gt;1,1,0)</f>
        <v>0</v>
      </c>
      <c r="M330" s="79">
        <f>IF(TR_6RecyclingArranger[[#This Row],[ID_EC]]="",0,IFERROR(0*MATCH(TR_6RecyclingArranger[[#This Row],[ID_EC]],TR_5ExemptionClaim[Lookup: for arranger tab],0),1))</f>
        <v>0</v>
      </c>
      <c r="N330" s="79">
        <f>IF(TR_6RecyclingArranger[[#This Row],[ID_EC]]="",0,IF(COUNTA(TR_6RecyclingArranger[[#This Row],[Name of Third-Party Recycling Arranger]],TR_6RecyclingArranger[[#This Row],[Pounds of Producer''s Material Recycled by this Recycling Arranger]:[Recycling Arranger Contact Email]])=7,0,1))</f>
        <v>0</v>
      </c>
      <c r="O330" s="79">
        <f>IF(TR_6RecyclingArranger[[#This Row],[ID_EC]]&lt;&gt;"",0,IF(COUNTA(TR_6RecyclingArranger[[#This Row],[Name of Third-Party Recycling Arranger]],TR_6RecyclingArranger[[#This Row],[Pounds of Producer''s Material Recycled by this Recycling Arranger]:[Recycling Arranger Contact Email]])&gt;0,1,0))</f>
        <v>0</v>
      </c>
      <c r="P330" s="79">
        <f>IF(TR_6RecyclingArranger[[#This Row],[Lookup: pounds (this table)]]&gt;TR_6RecyclingArranger[[#This Row],[Lookup: pounds (5B tab)]],1,0)</f>
        <v>0</v>
      </c>
      <c r="Q330" s="78">
        <f>SUMIFS(TR_6RecyclingArranger[Pounds of Producer''s Material Recycled by this Recycling Arranger],TR_6RecyclingArranger[ID_EC],TR_6RecyclingArranger[[#This Row],[ID_EC]])</f>
        <v>0</v>
      </c>
      <c r="R330" s="78">
        <f>IFERROR(INDEX(TR_5ExemptionClaim[How many of the pounds recycled through this pathway were supplied by this producer?],MATCH(TR_6RecyclingArranger[[#This Row],[ID_EC]],TR_5ExemptionClaim[ID_EC],0)),0)</f>
        <v>0</v>
      </c>
      <c r="S330" s="81" t="str">
        <f t="shared" si="5"/>
        <v/>
      </c>
      <c r="T330" s="40"/>
      <c r="U330" s="58"/>
    </row>
    <row r="331" spans="1:21" ht="30.75" customHeight="1" x14ac:dyDescent="0.2">
      <c r="A331" s="82" t="s">
        <v>715</v>
      </c>
      <c r="B331" s="46"/>
      <c r="C331" s="113"/>
      <c r="D331" s="215" t="str">
        <f>IF(TR_6RecyclingArranger[[#This Row],[ID_EC]]="","",INDEX(TR_5ExemptionClaim[End Market Name],MATCH(TR_6RecyclingArranger[[#This Row],[ID_EC]],TR_5ExemptionClaim[ID_EC],0)))</f>
        <v/>
      </c>
      <c r="E331" s="215" t="str">
        <f>IF(TR_6RecyclingArranger[[#This Row],[ID_EC]]="","",INDEX(TR_5ExemptionClaim[Collection or Transportation Service Provider Name],MATCH(TR_6RecyclingArranger[[#This Row],[ID_EC]],TR_5ExemptionClaim[ID_EC],0)))</f>
        <v/>
      </c>
      <c r="F331" s="215" t="str">
        <f>IF(TR_6RecyclingArranger[[#This Row],[ID_EC]]="","",IF(INDEX(TR_5ExemptionClaim[CRPF name],MATCH(TR_6RecyclingArranger[[#This Row],[ID_EC]],TR_5ExemptionClaim[ID_EC],0))=0,"None",INDEX(TR_5ExemptionClaim[CRPF name],MATCH(TR_6RecyclingArranger[[#This Row],[ID_EC]],TR_5ExemptionClaim[ID_EC],0))))</f>
        <v/>
      </c>
      <c r="G331" s="45"/>
      <c r="H331" s="108"/>
      <c r="I331" s="47"/>
      <c r="J331" s="48"/>
      <c r="K331" s="47"/>
      <c r="L331" s="79">
        <f>IF(COUNTIFS(TR_6RecyclingArranger[ID_EC],TR_6RecyclingArranger[[#This Row],[ID_EC]],TR_6RecyclingArranger[Name of Third-Party Recycling Arranger],TR_6RecyclingArranger[[#This Row],[Name of Third-Party Recycling Arranger]])&gt;1,1,0)</f>
        <v>0</v>
      </c>
      <c r="M331" s="79">
        <f>IF(TR_6RecyclingArranger[[#This Row],[ID_EC]]="",0,IFERROR(0*MATCH(TR_6RecyclingArranger[[#This Row],[ID_EC]],TR_5ExemptionClaim[Lookup: for arranger tab],0),1))</f>
        <v>0</v>
      </c>
      <c r="N331" s="79">
        <f>IF(TR_6RecyclingArranger[[#This Row],[ID_EC]]="",0,IF(COUNTA(TR_6RecyclingArranger[[#This Row],[Name of Third-Party Recycling Arranger]],TR_6RecyclingArranger[[#This Row],[Pounds of Producer''s Material Recycled by this Recycling Arranger]:[Recycling Arranger Contact Email]])=7,0,1))</f>
        <v>0</v>
      </c>
      <c r="O331" s="79">
        <f>IF(TR_6RecyclingArranger[[#This Row],[ID_EC]]&lt;&gt;"",0,IF(COUNTA(TR_6RecyclingArranger[[#This Row],[Name of Third-Party Recycling Arranger]],TR_6RecyclingArranger[[#This Row],[Pounds of Producer''s Material Recycled by this Recycling Arranger]:[Recycling Arranger Contact Email]])&gt;0,1,0))</f>
        <v>0</v>
      </c>
      <c r="P331" s="79">
        <f>IF(TR_6RecyclingArranger[[#This Row],[Lookup: pounds (this table)]]&gt;TR_6RecyclingArranger[[#This Row],[Lookup: pounds (5B tab)]],1,0)</f>
        <v>0</v>
      </c>
      <c r="Q331" s="78">
        <f>SUMIFS(TR_6RecyclingArranger[Pounds of Producer''s Material Recycled by this Recycling Arranger],TR_6RecyclingArranger[ID_EC],TR_6RecyclingArranger[[#This Row],[ID_EC]])</f>
        <v>0</v>
      </c>
      <c r="R331" s="78">
        <f>IFERROR(INDEX(TR_5ExemptionClaim[How many of the pounds recycled through this pathway were supplied by this producer?],MATCH(TR_6RecyclingArranger[[#This Row],[ID_EC]],TR_5ExemptionClaim[ID_EC],0)),0)</f>
        <v>0</v>
      </c>
      <c r="S331" s="81" t="str">
        <f t="shared" si="5"/>
        <v/>
      </c>
      <c r="T331" s="40"/>
      <c r="U331" s="58"/>
    </row>
    <row r="332" spans="1:21" ht="30.75" customHeight="1" x14ac:dyDescent="0.2">
      <c r="A332" s="82" t="s">
        <v>716</v>
      </c>
      <c r="B332" s="46"/>
      <c r="C332" s="113"/>
      <c r="D332" s="215" t="str">
        <f>IF(TR_6RecyclingArranger[[#This Row],[ID_EC]]="","",INDEX(TR_5ExemptionClaim[End Market Name],MATCH(TR_6RecyclingArranger[[#This Row],[ID_EC]],TR_5ExemptionClaim[ID_EC],0)))</f>
        <v/>
      </c>
      <c r="E332" s="215" t="str">
        <f>IF(TR_6RecyclingArranger[[#This Row],[ID_EC]]="","",INDEX(TR_5ExemptionClaim[Collection or Transportation Service Provider Name],MATCH(TR_6RecyclingArranger[[#This Row],[ID_EC]],TR_5ExemptionClaim[ID_EC],0)))</f>
        <v/>
      </c>
      <c r="F332" s="215" t="str">
        <f>IF(TR_6RecyclingArranger[[#This Row],[ID_EC]]="","",IF(INDEX(TR_5ExemptionClaim[CRPF name],MATCH(TR_6RecyclingArranger[[#This Row],[ID_EC]],TR_5ExemptionClaim[ID_EC],0))=0,"None",INDEX(TR_5ExemptionClaim[CRPF name],MATCH(TR_6RecyclingArranger[[#This Row],[ID_EC]],TR_5ExemptionClaim[ID_EC],0))))</f>
        <v/>
      </c>
      <c r="G332" s="45"/>
      <c r="H332" s="108"/>
      <c r="I332" s="47"/>
      <c r="J332" s="48"/>
      <c r="K332" s="47"/>
      <c r="L332" s="79">
        <f>IF(COUNTIFS(TR_6RecyclingArranger[ID_EC],TR_6RecyclingArranger[[#This Row],[ID_EC]],TR_6RecyclingArranger[Name of Third-Party Recycling Arranger],TR_6RecyclingArranger[[#This Row],[Name of Third-Party Recycling Arranger]])&gt;1,1,0)</f>
        <v>0</v>
      </c>
      <c r="M332" s="79">
        <f>IF(TR_6RecyclingArranger[[#This Row],[ID_EC]]="",0,IFERROR(0*MATCH(TR_6RecyclingArranger[[#This Row],[ID_EC]],TR_5ExemptionClaim[Lookup: for arranger tab],0),1))</f>
        <v>0</v>
      </c>
      <c r="N332" s="79">
        <f>IF(TR_6RecyclingArranger[[#This Row],[ID_EC]]="",0,IF(COUNTA(TR_6RecyclingArranger[[#This Row],[Name of Third-Party Recycling Arranger]],TR_6RecyclingArranger[[#This Row],[Pounds of Producer''s Material Recycled by this Recycling Arranger]:[Recycling Arranger Contact Email]])=7,0,1))</f>
        <v>0</v>
      </c>
      <c r="O332" s="79">
        <f>IF(TR_6RecyclingArranger[[#This Row],[ID_EC]]&lt;&gt;"",0,IF(COUNTA(TR_6RecyclingArranger[[#This Row],[Name of Third-Party Recycling Arranger]],TR_6RecyclingArranger[[#This Row],[Pounds of Producer''s Material Recycled by this Recycling Arranger]:[Recycling Arranger Contact Email]])&gt;0,1,0))</f>
        <v>0</v>
      </c>
      <c r="P332" s="79">
        <f>IF(TR_6RecyclingArranger[[#This Row],[Lookup: pounds (this table)]]&gt;TR_6RecyclingArranger[[#This Row],[Lookup: pounds (5B tab)]],1,0)</f>
        <v>0</v>
      </c>
      <c r="Q332" s="78">
        <f>SUMIFS(TR_6RecyclingArranger[Pounds of Producer''s Material Recycled by this Recycling Arranger],TR_6RecyclingArranger[ID_EC],TR_6RecyclingArranger[[#This Row],[ID_EC]])</f>
        <v>0</v>
      </c>
      <c r="R332" s="78">
        <f>IFERROR(INDEX(TR_5ExemptionClaim[How many of the pounds recycled through this pathway were supplied by this producer?],MATCH(TR_6RecyclingArranger[[#This Row],[ID_EC]],TR_5ExemptionClaim[ID_EC],0)),0)</f>
        <v>0</v>
      </c>
      <c r="S332" s="81" t="str">
        <f t="shared" si="5"/>
        <v/>
      </c>
      <c r="T332" s="40"/>
      <c r="U332" s="58"/>
    </row>
    <row r="333" spans="1:21" ht="30.75" customHeight="1" x14ac:dyDescent="0.2">
      <c r="A333" s="82" t="s">
        <v>717</v>
      </c>
      <c r="B333" s="46"/>
      <c r="C333" s="113"/>
      <c r="D333" s="215" t="str">
        <f>IF(TR_6RecyclingArranger[[#This Row],[ID_EC]]="","",INDEX(TR_5ExemptionClaim[End Market Name],MATCH(TR_6RecyclingArranger[[#This Row],[ID_EC]],TR_5ExemptionClaim[ID_EC],0)))</f>
        <v/>
      </c>
      <c r="E333" s="215" t="str">
        <f>IF(TR_6RecyclingArranger[[#This Row],[ID_EC]]="","",INDEX(TR_5ExemptionClaim[Collection or Transportation Service Provider Name],MATCH(TR_6RecyclingArranger[[#This Row],[ID_EC]],TR_5ExemptionClaim[ID_EC],0)))</f>
        <v/>
      </c>
      <c r="F333" s="215" t="str">
        <f>IF(TR_6RecyclingArranger[[#This Row],[ID_EC]]="","",IF(INDEX(TR_5ExemptionClaim[CRPF name],MATCH(TR_6RecyclingArranger[[#This Row],[ID_EC]],TR_5ExemptionClaim[ID_EC],0))=0,"None",INDEX(TR_5ExemptionClaim[CRPF name],MATCH(TR_6RecyclingArranger[[#This Row],[ID_EC]],TR_5ExemptionClaim[ID_EC],0))))</f>
        <v/>
      </c>
      <c r="G333" s="45"/>
      <c r="H333" s="108"/>
      <c r="I333" s="47"/>
      <c r="J333" s="48"/>
      <c r="K333" s="47"/>
      <c r="L333" s="79">
        <f>IF(COUNTIFS(TR_6RecyclingArranger[ID_EC],TR_6RecyclingArranger[[#This Row],[ID_EC]],TR_6RecyclingArranger[Name of Third-Party Recycling Arranger],TR_6RecyclingArranger[[#This Row],[Name of Third-Party Recycling Arranger]])&gt;1,1,0)</f>
        <v>0</v>
      </c>
      <c r="M333" s="79">
        <f>IF(TR_6RecyclingArranger[[#This Row],[ID_EC]]="",0,IFERROR(0*MATCH(TR_6RecyclingArranger[[#This Row],[ID_EC]],TR_5ExemptionClaim[Lookup: for arranger tab],0),1))</f>
        <v>0</v>
      </c>
      <c r="N333" s="79">
        <f>IF(TR_6RecyclingArranger[[#This Row],[ID_EC]]="",0,IF(COUNTA(TR_6RecyclingArranger[[#This Row],[Name of Third-Party Recycling Arranger]],TR_6RecyclingArranger[[#This Row],[Pounds of Producer''s Material Recycled by this Recycling Arranger]:[Recycling Arranger Contact Email]])=7,0,1))</f>
        <v>0</v>
      </c>
      <c r="O333" s="79">
        <f>IF(TR_6RecyclingArranger[[#This Row],[ID_EC]]&lt;&gt;"",0,IF(COUNTA(TR_6RecyclingArranger[[#This Row],[Name of Third-Party Recycling Arranger]],TR_6RecyclingArranger[[#This Row],[Pounds of Producer''s Material Recycled by this Recycling Arranger]:[Recycling Arranger Contact Email]])&gt;0,1,0))</f>
        <v>0</v>
      </c>
      <c r="P333" s="79">
        <f>IF(TR_6RecyclingArranger[[#This Row],[Lookup: pounds (this table)]]&gt;TR_6RecyclingArranger[[#This Row],[Lookup: pounds (5B tab)]],1,0)</f>
        <v>0</v>
      </c>
      <c r="Q333" s="78">
        <f>SUMIFS(TR_6RecyclingArranger[Pounds of Producer''s Material Recycled by this Recycling Arranger],TR_6RecyclingArranger[ID_EC],TR_6RecyclingArranger[[#This Row],[ID_EC]])</f>
        <v>0</v>
      </c>
      <c r="R333" s="78">
        <f>IFERROR(INDEX(TR_5ExemptionClaim[How many of the pounds recycled through this pathway were supplied by this producer?],MATCH(TR_6RecyclingArranger[[#This Row],[ID_EC]],TR_5ExemptionClaim[ID_EC],0)),0)</f>
        <v>0</v>
      </c>
      <c r="S333" s="81" t="str">
        <f t="shared" si="5"/>
        <v/>
      </c>
      <c r="T333" s="40"/>
      <c r="U333" s="58"/>
    </row>
    <row r="334" spans="1:21" ht="30.75" customHeight="1" x14ac:dyDescent="0.2">
      <c r="A334" s="82" t="s">
        <v>718</v>
      </c>
      <c r="B334" s="46"/>
      <c r="C334" s="113"/>
      <c r="D334" s="215" t="str">
        <f>IF(TR_6RecyclingArranger[[#This Row],[ID_EC]]="","",INDEX(TR_5ExemptionClaim[End Market Name],MATCH(TR_6RecyclingArranger[[#This Row],[ID_EC]],TR_5ExemptionClaim[ID_EC],0)))</f>
        <v/>
      </c>
      <c r="E334" s="215" t="str">
        <f>IF(TR_6RecyclingArranger[[#This Row],[ID_EC]]="","",INDEX(TR_5ExemptionClaim[Collection or Transportation Service Provider Name],MATCH(TR_6RecyclingArranger[[#This Row],[ID_EC]],TR_5ExemptionClaim[ID_EC],0)))</f>
        <v/>
      </c>
      <c r="F334" s="215" t="str">
        <f>IF(TR_6RecyclingArranger[[#This Row],[ID_EC]]="","",IF(INDEX(TR_5ExemptionClaim[CRPF name],MATCH(TR_6RecyclingArranger[[#This Row],[ID_EC]],TR_5ExemptionClaim[ID_EC],0))=0,"None",INDEX(TR_5ExemptionClaim[CRPF name],MATCH(TR_6RecyclingArranger[[#This Row],[ID_EC]],TR_5ExemptionClaim[ID_EC],0))))</f>
        <v/>
      </c>
      <c r="G334" s="45"/>
      <c r="H334" s="108"/>
      <c r="I334" s="47"/>
      <c r="J334" s="48"/>
      <c r="K334" s="47"/>
      <c r="L334" s="79">
        <f>IF(COUNTIFS(TR_6RecyclingArranger[ID_EC],TR_6RecyclingArranger[[#This Row],[ID_EC]],TR_6RecyclingArranger[Name of Third-Party Recycling Arranger],TR_6RecyclingArranger[[#This Row],[Name of Third-Party Recycling Arranger]])&gt;1,1,0)</f>
        <v>0</v>
      </c>
      <c r="M334" s="79">
        <f>IF(TR_6RecyclingArranger[[#This Row],[ID_EC]]="",0,IFERROR(0*MATCH(TR_6RecyclingArranger[[#This Row],[ID_EC]],TR_5ExemptionClaim[Lookup: for arranger tab],0),1))</f>
        <v>0</v>
      </c>
      <c r="N334" s="79">
        <f>IF(TR_6RecyclingArranger[[#This Row],[ID_EC]]="",0,IF(COUNTA(TR_6RecyclingArranger[[#This Row],[Name of Third-Party Recycling Arranger]],TR_6RecyclingArranger[[#This Row],[Pounds of Producer''s Material Recycled by this Recycling Arranger]:[Recycling Arranger Contact Email]])=7,0,1))</f>
        <v>0</v>
      </c>
      <c r="O334" s="79">
        <f>IF(TR_6RecyclingArranger[[#This Row],[ID_EC]]&lt;&gt;"",0,IF(COUNTA(TR_6RecyclingArranger[[#This Row],[Name of Third-Party Recycling Arranger]],TR_6RecyclingArranger[[#This Row],[Pounds of Producer''s Material Recycled by this Recycling Arranger]:[Recycling Arranger Contact Email]])&gt;0,1,0))</f>
        <v>0</v>
      </c>
      <c r="P334" s="79">
        <f>IF(TR_6RecyclingArranger[[#This Row],[Lookup: pounds (this table)]]&gt;TR_6RecyclingArranger[[#This Row],[Lookup: pounds (5B tab)]],1,0)</f>
        <v>0</v>
      </c>
      <c r="Q334" s="78">
        <f>SUMIFS(TR_6RecyclingArranger[Pounds of Producer''s Material Recycled by this Recycling Arranger],TR_6RecyclingArranger[ID_EC],TR_6RecyclingArranger[[#This Row],[ID_EC]])</f>
        <v>0</v>
      </c>
      <c r="R334" s="78">
        <f>IFERROR(INDEX(TR_5ExemptionClaim[How many of the pounds recycled through this pathway were supplied by this producer?],MATCH(TR_6RecyclingArranger[[#This Row],[ID_EC]],TR_5ExemptionClaim[ID_EC],0)),0)</f>
        <v>0</v>
      </c>
      <c r="S334" s="81" t="str">
        <f t="shared" si="5"/>
        <v/>
      </c>
      <c r="T334" s="40"/>
      <c r="U334" s="58"/>
    </row>
    <row r="335" spans="1:21" ht="30.75" customHeight="1" x14ac:dyDescent="0.2">
      <c r="A335" s="82" t="s">
        <v>719</v>
      </c>
      <c r="B335" s="46"/>
      <c r="C335" s="113"/>
      <c r="D335" s="215" t="str">
        <f>IF(TR_6RecyclingArranger[[#This Row],[ID_EC]]="","",INDEX(TR_5ExemptionClaim[End Market Name],MATCH(TR_6RecyclingArranger[[#This Row],[ID_EC]],TR_5ExemptionClaim[ID_EC],0)))</f>
        <v/>
      </c>
      <c r="E335" s="215" t="str">
        <f>IF(TR_6RecyclingArranger[[#This Row],[ID_EC]]="","",INDEX(TR_5ExemptionClaim[Collection or Transportation Service Provider Name],MATCH(TR_6RecyclingArranger[[#This Row],[ID_EC]],TR_5ExemptionClaim[ID_EC],0)))</f>
        <v/>
      </c>
      <c r="F335" s="215" t="str">
        <f>IF(TR_6RecyclingArranger[[#This Row],[ID_EC]]="","",IF(INDEX(TR_5ExemptionClaim[CRPF name],MATCH(TR_6RecyclingArranger[[#This Row],[ID_EC]],TR_5ExemptionClaim[ID_EC],0))=0,"None",INDEX(TR_5ExemptionClaim[CRPF name],MATCH(TR_6RecyclingArranger[[#This Row],[ID_EC]],TR_5ExemptionClaim[ID_EC],0))))</f>
        <v/>
      </c>
      <c r="G335" s="45"/>
      <c r="H335" s="108"/>
      <c r="I335" s="47"/>
      <c r="J335" s="48"/>
      <c r="K335" s="47"/>
      <c r="L335" s="79">
        <f>IF(COUNTIFS(TR_6RecyclingArranger[ID_EC],TR_6RecyclingArranger[[#This Row],[ID_EC]],TR_6RecyclingArranger[Name of Third-Party Recycling Arranger],TR_6RecyclingArranger[[#This Row],[Name of Third-Party Recycling Arranger]])&gt;1,1,0)</f>
        <v>0</v>
      </c>
      <c r="M335" s="79">
        <f>IF(TR_6RecyclingArranger[[#This Row],[ID_EC]]="",0,IFERROR(0*MATCH(TR_6RecyclingArranger[[#This Row],[ID_EC]],TR_5ExemptionClaim[Lookup: for arranger tab],0),1))</f>
        <v>0</v>
      </c>
      <c r="N335" s="79">
        <f>IF(TR_6RecyclingArranger[[#This Row],[ID_EC]]="",0,IF(COUNTA(TR_6RecyclingArranger[[#This Row],[Name of Third-Party Recycling Arranger]],TR_6RecyclingArranger[[#This Row],[Pounds of Producer''s Material Recycled by this Recycling Arranger]:[Recycling Arranger Contact Email]])=7,0,1))</f>
        <v>0</v>
      </c>
      <c r="O335" s="79">
        <f>IF(TR_6RecyclingArranger[[#This Row],[ID_EC]]&lt;&gt;"",0,IF(COUNTA(TR_6RecyclingArranger[[#This Row],[Name of Third-Party Recycling Arranger]],TR_6RecyclingArranger[[#This Row],[Pounds of Producer''s Material Recycled by this Recycling Arranger]:[Recycling Arranger Contact Email]])&gt;0,1,0))</f>
        <v>0</v>
      </c>
      <c r="P335" s="79">
        <f>IF(TR_6RecyclingArranger[[#This Row],[Lookup: pounds (this table)]]&gt;TR_6RecyclingArranger[[#This Row],[Lookup: pounds (5B tab)]],1,0)</f>
        <v>0</v>
      </c>
      <c r="Q335" s="78">
        <f>SUMIFS(TR_6RecyclingArranger[Pounds of Producer''s Material Recycled by this Recycling Arranger],TR_6RecyclingArranger[ID_EC],TR_6RecyclingArranger[[#This Row],[ID_EC]])</f>
        <v>0</v>
      </c>
      <c r="R335" s="78">
        <f>IFERROR(INDEX(TR_5ExemptionClaim[How many of the pounds recycled through this pathway were supplied by this producer?],MATCH(TR_6RecyclingArranger[[#This Row],[ID_EC]],TR_5ExemptionClaim[ID_EC],0)),0)</f>
        <v>0</v>
      </c>
      <c r="S335" s="81" t="str">
        <f t="shared" si="5"/>
        <v/>
      </c>
      <c r="T335" s="40"/>
      <c r="U335" s="58"/>
    </row>
    <row r="336" spans="1:21" ht="30.75" customHeight="1" x14ac:dyDescent="0.2">
      <c r="A336" s="82" t="s">
        <v>720</v>
      </c>
      <c r="B336" s="46"/>
      <c r="C336" s="113"/>
      <c r="D336" s="215" t="str">
        <f>IF(TR_6RecyclingArranger[[#This Row],[ID_EC]]="","",INDEX(TR_5ExemptionClaim[End Market Name],MATCH(TR_6RecyclingArranger[[#This Row],[ID_EC]],TR_5ExemptionClaim[ID_EC],0)))</f>
        <v/>
      </c>
      <c r="E336" s="215" t="str">
        <f>IF(TR_6RecyclingArranger[[#This Row],[ID_EC]]="","",INDEX(TR_5ExemptionClaim[Collection or Transportation Service Provider Name],MATCH(TR_6RecyclingArranger[[#This Row],[ID_EC]],TR_5ExemptionClaim[ID_EC],0)))</f>
        <v/>
      </c>
      <c r="F336" s="215" t="str">
        <f>IF(TR_6RecyclingArranger[[#This Row],[ID_EC]]="","",IF(INDEX(TR_5ExemptionClaim[CRPF name],MATCH(TR_6RecyclingArranger[[#This Row],[ID_EC]],TR_5ExemptionClaim[ID_EC],0))=0,"None",INDEX(TR_5ExemptionClaim[CRPF name],MATCH(TR_6RecyclingArranger[[#This Row],[ID_EC]],TR_5ExemptionClaim[ID_EC],0))))</f>
        <v/>
      </c>
      <c r="G336" s="45"/>
      <c r="H336" s="108"/>
      <c r="I336" s="47"/>
      <c r="J336" s="48"/>
      <c r="K336" s="47"/>
      <c r="L336" s="79">
        <f>IF(COUNTIFS(TR_6RecyclingArranger[ID_EC],TR_6RecyclingArranger[[#This Row],[ID_EC]],TR_6RecyclingArranger[Name of Third-Party Recycling Arranger],TR_6RecyclingArranger[[#This Row],[Name of Third-Party Recycling Arranger]])&gt;1,1,0)</f>
        <v>0</v>
      </c>
      <c r="M336" s="79">
        <f>IF(TR_6RecyclingArranger[[#This Row],[ID_EC]]="",0,IFERROR(0*MATCH(TR_6RecyclingArranger[[#This Row],[ID_EC]],TR_5ExemptionClaim[Lookup: for arranger tab],0),1))</f>
        <v>0</v>
      </c>
      <c r="N336" s="79">
        <f>IF(TR_6RecyclingArranger[[#This Row],[ID_EC]]="",0,IF(COUNTA(TR_6RecyclingArranger[[#This Row],[Name of Third-Party Recycling Arranger]],TR_6RecyclingArranger[[#This Row],[Pounds of Producer''s Material Recycled by this Recycling Arranger]:[Recycling Arranger Contact Email]])=7,0,1))</f>
        <v>0</v>
      </c>
      <c r="O336" s="79">
        <f>IF(TR_6RecyclingArranger[[#This Row],[ID_EC]]&lt;&gt;"",0,IF(COUNTA(TR_6RecyclingArranger[[#This Row],[Name of Third-Party Recycling Arranger]],TR_6RecyclingArranger[[#This Row],[Pounds of Producer''s Material Recycled by this Recycling Arranger]:[Recycling Arranger Contact Email]])&gt;0,1,0))</f>
        <v>0</v>
      </c>
      <c r="P336" s="79">
        <f>IF(TR_6RecyclingArranger[[#This Row],[Lookup: pounds (this table)]]&gt;TR_6RecyclingArranger[[#This Row],[Lookup: pounds (5B tab)]],1,0)</f>
        <v>0</v>
      </c>
      <c r="Q336" s="78">
        <f>SUMIFS(TR_6RecyclingArranger[Pounds of Producer''s Material Recycled by this Recycling Arranger],TR_6RecyclingArranger[ID_EC],TR_6RecyclingArranger[[#This Row],[ID_EC]])</f>
        <v>0</v>
      </c>
      <c r="R336" s="78">
        <f>IFERROR(INDEX(TR_5ExemptionClaim[How many of the pounds recycled through this pathway were supplied by this producer?],MATCH(TR_6RecyclingArranger[[#This Row],[ID_EC]],TR_5ExemptionClaim[ID_EC],0)),0)</f>
        <v>0</v>
      </c>
      <c r="S336" s="81" t="str">
        <f t="shared" si="5"/>
        <v/>
      </c>
      <c r="T336" s="40"/>
      <c r="U336" s="58"/>
    </row>
    <row r="337" spans="1:21" ht="30.75" customHeight="1" x14ac:dyDescent="0.2">
      <c r="A337" s="82" t="s">
        <v>721</v>
      </c>
      <c r="B337" s="46"/>
      <c r="C337" s="113"/>
      <c r="D337" s="215" t="str">
        <f>IF(TR_6RecyclingArranger[[#This Row],[ID_EC]]="","",INDEX(TR_5ExemptionClaim[End Market Name],MATCH(TR_6RecyclingArranger[[#This Row],[ID_EC]],TR_5ExemptionClaim[ID_EC],0)))</f>
        <v/>
      </c>
      <c r="E337" s="215" t="str">
        <f>IF(TR_6RecyclingArranger[[#This Row],[ID_EC]]="","",INDEX(TR_5ExemptionClaim[Collection or Transportation Service Provider Name],MATCH(TR_6RecyclingArranger[[#This Row],[ID_EC]],TR_5ExemptionClaim[ID_EC],0)))</f>
        <v/>
      </c>
      <c r="F337" s="215" t="str">
        <f>IF(TR_6RecyclingArranger[[#This Row],[ID_EC]]="","",IF(INDEX(TR_5ExemptionClaim[CRPF name],MATCH(TR_6RecyclingArranger[[#This Row],[ID_EC]],TR_5ExemptionClaim[ID_EC],0))=0,"None",INDEX(TR_5ExemptionClaim[CRPF name],MATCH(TR_6RecyclingArranger[[#This Row],[ID_EC]],TR_5ExemptionClaim[ID_EC],0))))</f>
        <v/>
      </c>
      <c r="G337" s="45"/>
      <c r="H337" s="108"/>
      <c r="I337" s="47"/>
      <c r="J337" s="48"/>
      <c r="K337" s="47"/>
      <c r="L337" s="79">
        <f>IF(COUNTIFS(TR_6RecyclingArranger[ID_EC],TR_6RecyclingArranger[[#This Row],[ID_EC]],TR_6RecyclingArranger[Name of Third-Party Recycling Arranger],TR_6RecyclingArranger[[#This Row],[Name of Third-Party Recycling Arranger]])&gt;1,1,0)</f>
        <v>0</v>
      </c>
      <c r="M337" s="79">
        <f>IF(TR_6RecyclingArranger[[#This Row],[ID_EC]]="",0,IFERROR(0*MATCH(TR_6RecyclingArranger[[#This Row],[ID_EC]],TR_5ExemptionClaim[Lookup: for arranger tab],0),1))</f>
        <v>0</v>
      </c>
      <c r="N337" s="79">
        <f>IF(TR_6RecyclingArranger[[#This Row],[ID_EC]]="",0,IF(COUNTA(TR_6RecyclingArranger[[#This Row],[Name of Third-Party Recycling Arranger]],TR_6RecyclingArranger[[#This Row],[Pounds of Producer''s Material Recycled by this Recycling Arranger]:[Recycling Arranger Contact Email]])=7,0,1))</f>
        <v>0</v>
      </c>
      <c r="O337" s="79">
        <f>IF(TR_6RecyclingArranger[[#This Row],[ID_EC]]&lt;&gt;"",0,IF(COUNTA(TR_6RecyclingArranger[[#This Row],[Name of Third-Party Recycling Arranger]],TR_6RecyclingArranger[[#This Row],[Pounds of Producer''s Material Recycled by this Recycling Arranger]:[Recycling Arranger Contact Email]])&gt;0,1,0))</f>
        <v>0</v>
      </c>
      <c r="P337" s="79">
        <f>IF(TR_6RecyclingArranger[[#This Row],[Lookup: pounds (this table)]]&gt;TR_6RecyclingArranger[[#This Row],[Lookup: pounds (5B tab)]],1,0)</f>
        <v>0</v>
      </c>
      <c r="Q337" s="78">
        <f>SUMIFS(TR_6RecyclingArranger[Pounds of Producer''s Material Recycled by this Recycling Arranger],TR_6RecyclingArranger[ID_EC],TR_6RecyclingArranger[[#This Row],[ID_EC]])</f>
        <v>0</v>
      </c>
      <c r="R337" s="78">
        <f>IFERROR(INDEX(TR_5ExemptionClaim[How many of the pounds recycled through this pathway were supplied by this producer?],MATCH(TR_6RecyclingArranger[[#This Row],[ID_EC]],TR_5ExemptionClaim[ID_EC],0)),0)</f>
        <v>0</v>
      </c>
      <c r="S337" s="81" t="str">
        <f t="shared" si="5"/>
        <v/>
      </c>
      <c r="T337" s="40"/>
      <c r="U337" s="58"/>
    </row>
    <row r="338" spans="1:21" ht="30.75" customHeight="1" x14ac:dyDescent="0.2">
      <c r="A338" s="82" t="s">
        <v>722</v>
      </c>
      <c r="B338" s="46"/>
      <c r="C338" s="113"/>
      <c r="D338" s="215" t="str">
        <f>IF(TR_6RecyclingArranger[[#This Row],[ID_EC]]="","",INDEX(TR_5ExemptionClaim[End Market Name],MATCH(TR_6RecyclingArranger[[#This Row],[ID_EC]],TR_5ExemptionClaim[ID_EC],0)))</f>
        <v/>
      </c>
      <c r="E338" s="215" t="str">
        <f>IF(TR_6RecyclingArranger[[#This Row],[ID_EC]]="","",INDEX(TR_5ExemptionClaim[Collection or Transportation Service Provider Name],MATCH(TR_6RecyclingArranger[[#This Row],[ID_EC]],TR_5ExemptionClaim[ID_EC],0)))</f>
        <v/>
      </c>
      <c r="F338" s="215" t="str">
        <f>IF(TR_6RecyclingArranger[[#This Row],[ID_EC]]="","",IF(INDEX(TR_5ExemptionClaim[CRPF name],MATCH(TR_6RecyclingArranger[[#This Row],[ID_EC]],TR_5ExemptionClaim[ID_EC],0))=0,"None",INDEX(TR_5ExemptionClaim[CRPF name],MATCH(TR_6RecyclingArranger[[#This Row],[ID_EC]],TR_5ExemptionClaim[ID_EC],0))))</f>
        <v/>
      </c>
      <c r="G338" s="45"/>
      <c r="H338" s="108"/>
      <c r="I338" s="47"/>
      <c r="J338" s="48"/>
      <c r="K338" s="47"/>
      <c r="L338" s="79">
        <f>IF(COUNTIFS(TR_6RecyclingArranger[ID_EC],TR_6RecyclingArranger[[#This Row],[ID_EC]],TR_6RecyclingArranger[Name of Third-Party Recycling Arranger],TR_6RecyclingArranger[[#This Row],[Name of Third-Party Recycling Arranger]])&gt;1,1,0)</f>
        <v>0</v>
      </c>
      <c r="M338" s="79">
        <f>IF(TR_6RecyclingArranger[[#This Row],[ID_EC]]="",0,IFERROR(0*MATCH(TR_6RecyclingArranger[[#This Row],[ID_EC]],TR_5ExemptionClaim[Lookup: for arranger tab],0),1))</f>
        <v>0</v>
      </c>
      <c r="N338" s="79">
        <f>IF(TR_6RecyclingArranger[[#This Row],[ID_EC]]="",0,IF(COUNTA(TR_6RecyclingArranger[[#This Row],[Name of Third-Party Recycling Arranger]],TR_6RecyclingArranger[[#This Row],[Pounds of Producer''s Material Recycled by this Recycling Arranger]:[Recycling Arranger Contact Email]])=7,0,1))</f>
        <v>0</v>
      </c>
      <c r="O338" s="79">
        <f>IF(TR_6RecyclingArranger[[#This Row],[ID_EC]]&lt;&gt;"",0,IF(COUNTA(TR_6RecyclingArranger[[#This Row],[Name of Third-Party Recycling Arranger]],TR_6RecyclingArranger[[#This Row],[Pounds of Producer''s Material Recycled by this Recycling Arranger]:[Recycling Arranger Contact Email]])&gt;0,1,0))</f>
        <v>0</v>
      </c>
      <c r="P338" s="79">
        <f>IF(TR_6RecyclingArranger[[#This Row],[Lookup: pounds (this table)]]&gt;TR_6RecyclingArranger[[#This Row],[Lookup: pounds (5B tab)]],1,0)</f>
        <v>0</v>
      </c>
      <c r="Q338" s="78">
        <f>SUMIFS(TR_6RecyclingArranger[Pounds of Producer''s Material Recycled by this Recycling Arranger],TR_6RecyclingArranger[ID_EC],TR_6RecyclingArranger[[#This Row],[ID_EC]])</f>
        <v>0</v>
      </c>
      <c r="R338" s="78">
        <f>IFERROR(INDEX(TR_5ExemptionClaim[How many of the pounds recycled through this pathway were supplied by this producer?],MATCH(TR_6RecyclingArranger[[#This Row],[ID_EC]],TR_5ExemptionClaim[ID_EC],0)),0)</f>
        <v>0</v>
      </c>
      <c r="S338" s="81" t="str">
        <f t="shared" si="5"/>
        <v/>
      </c>
      <c r="T338" s="40"/>
      <c r="U338" s="58"/>
    </row>
    <row r="339" spans="1:21" ht="30.75" customHeight="1" x14ac:dyDescent="0.2">
      <c r="A339" s="82" t="s">
        <v>723</v>
      </c>
      <c r="B339" s="46"/>
      <c r="C339" s="113"/>
      <c r="D339" s="215" t="str">
        <f>IF(TR_6RecyclingArranger[[#This Row],[ID_EC]]="","",INDEX(TR_5ExemptionClaim[End Market Name],MATCH(TR_6RecyclingArranger[[#This Row],[ID_EC]],TR_5ExemptionClaim[ID_EC],0)))</f>
        <v/>
      </c>
      <c r="E339" s="215" t="str">
        <f>IF(TR_6RecyclingArranger[[#This Row],[ID_EC]]="","",INDEX(TR_5ExemptionClaim[Collection or Transportation Service Provider Name],MATCH(TR_6RecyclingArranger[[#This Row],[ID_EC]],TR_5ExemptionClaim[ID_EC],0)))</f>
        <v/>
      </c>
      <c r="F339" s="215" t="str">
        <f>IF(TR_6RecyclingArranger[[#This Row],[ID_EC]]="","",IF(INDEX(TR_5ExemptionClaim[CRPF name],MATCH(TR_6RecyclingArranger[[#This Row],[ID_EC]],TR_5ExemptionClaim[ID_EC],0))=0,"None",INDEX(TR_5ExemptionClaim[CRPF name],MATCH(TR_6RecyclingArranger[[#This Row],[ID_EC]],TR_5ExemptionClaim[ID_EC],0))))</f>
        <v/>
      </c>
      <c r="G339" s="45"/>
      <c r="H339" s="108"/>
      <c r="I339" s="47"/>
      <c r="J339" s="48"/>
      <c r="K339" s="47"/>
      <c r="L339" s="79">
        <f>IF(COUNTIFS(TR_6RecyclingArranger[ID_EC],TR_6RecyclingArranger[[#This Row],[ID_EC]],TR_6RecyclingArranger[Name of Third-Party Recycling Arranger],TR_6RecyclingArranger[[#This Row],[Name of Third-Party Recycling Arranger]])&gt;1,1,0)</f>
        <v>0</v>
      </c>
      <c r="M339" s="79">
        <f>IF(TR_6RecyclingArranger[[#This Row],[ID_EC]]="",0,IFERROR(0*MATCH(TR_6RecyclingArranger[[#This Row],[ID_EC]],TR_5ExemptionClaim[Lookup: for arranger tab],0),1))</f>
        <v>0</v>
      </c>
      <c r="N339" s="79">
        <f>IF(TR_6RecyclingArranger[[#This Row],[ID_EC]]="",0,IF(COUNTA(TR_6RecyclingArranger[[#This Row],[Name of Third-Party Recycling Arranger]],TR_6RecyclingArranger[[#This Row],[Pounds of Producer''s Material Recycled by this Recycling Arranger]:[Recycling Arranger Contact Email]])=7,0,1))</f>
        <v>0</v>
      </c>
      <c r="O339" s="79">
        <f>IF(TR_6RecyclingArranger[[#This Row],[ID_EC]]&lt;&gt;"",0,IF(COUNTA(TR_6RecyclingArranger[[#This Row],[Name of Third-Party Recycling Arranger]],TR_6RecyclingArranger[[#This Row],[Pounds of Producer''s Material Recycled by this Recycling Arranger]:[Recycling Arranger Contact Email]])&gt;0,1,0))</f>
        <v>0</v>
      </c>
      <c r="P339" s="79">
        <f>IF(TR_6RecyclingArranger[[#This Row],[Lookup: pounds (this table)]]&gt;TR_6RecyclingArranger[[#This Row],[Lookup: pounds (5B tab)]],1,0)</f>
        <v>0</v>
      </c>
      <c r="Q339" s="78">
        <f>SUMIFS(TR_6RecyclingArranger[Pounds of Producer''s Material Recycled by this Recycling Arranger],TR_6RecyclingArranger[ID_EC],TR_6RecyclingArranger[[#This Row],[ID_EC]])</f>
        <v>0</v>
      </c>
      <c r="R339" s="78">
        <f>IFERROR(INDEX(TR_5ExemptionClaim[How many of the pounds recycled through this pathway were supplied by this producer?],MATCH(TR_6RecyclingArranger[[#This Row],[ID_EC]],TR_5ExemptionClaim[ID_EC],0)),0)</f>
        <v>0</v>
      </c>
      <c r="S339" s="81" t="str">
        <f t="shared" si="5"/>
        <v/>
      </c>
      <c r="T339" s="40"/>
      <c r="U339" s="58"/>
    </row>
    <row r="340" spans="1:21" ht="30.75" customHeight="1" x14ac:dyDescent="0.2">
      <c r="A340" s="82" t="s">
        <v>724</v>
      </c>
      <c r="B340" s="46"/>
      <c r="C340" s="113"/>
      <c r="D340" s="215" t="str">
        <f>IF(TR_6RecyclingArranger[[#This Row],[ID_EC]]="","",INDEX(TR_5ExemptionClaim[End Market Name],MATCH(TR_6RecyclingArranger[[#This Row],[ID_EC]],TR_5ExemptionClaim[ID_EC],0)))</f>
        <v/>
      </c>
      <c r="E340" s="215" t="str">
        <f>IF(TR_6RecyclingArranger[[#This Row],[ID_EC]]="","",INDEX(TR_5ExemptionClaim[Collection or Transportation Service Provider Name],MATCH(TR_6RecyclingArranger[[#This Row],[ID_EC]],TR_5ExemptionClaim[ID_EC],0)))</f>
        <v/>
      </c>
      <c r="F340" s="215" t="str">
        <f>IF(TR_6RecyclingArranger[[#This Row],[ID_EC]]="","",IF(INDEX(TR_5ExemptionClaim[CRPF name],MATCH(TR_6RecyclingArranger[[#This Row],[ID_EC]],TR_5ExemptionClaim[ID_EC],0))=0,"None",INDEX(TR_5ExemptionClaim[CRPF name],MATCH(TR_6RecyclingArranger[[#This Row],[ID_EC]],TR_5ExemptionClaim[ID_EC],0))))</f>
        <v/>
      </c>
      <c r="G340" s="45"/>
      <c r="H340" s="108"/>
      <c r="I340" s="47"/>
      <c r="J340" s="48"/>
      <c r="K340" s="47"/>
      <c r="L340" s="79">
        <f>IF(COUNTIFS(TR_6RecyclingArranger[ID_EC],TR_6RecyclingArranger[[#This Row],[ID_EC]],TR_6RecyclingArranger[Name of Third-Party Recycling Arranger],TR_6RecyclingArranger[[#This Row],[Name of Third-Party Recycling Arranger]])&gt;1,1,0)</f>
        <v>0</v>
      </c>
      <c r="M340" s="79">
        <f>IF(TR_6RecyclingArranger[[#This Row],[ID_EC]]="",0,IFERROR(0*MATCH(TR_6RecyclingArranger[[#This Row],[ID_EC]],TR_5ExemptionClaim[Lookup: for arranger tab],0),1))</f>
        <v>0</v>
      </c>
      <c r="N340" s="79">
        <f>IF(TR_6RecyclingArranger[[#This Row],[ID_EC]]="",0,IF(COUNTA(TR_6RecyclingArranger[[#This Row],[Name of Third-Party Recycling Arranger]],TR_6RecyclingArranger[[#This Row],[Pounds of Producer''s Material Recycled by this Recycling Arranger]:[Recycling Arranger Contact Email]])=7,0,1))</f>
        <v>0</v>
      </c>
      <c r="O340" s="79">
        <f>IF(TR_6RecyclingArranger[[#This Row],[ID_EC]]&lt;&gt;"",0,IF(COUNTA(TR_6RecyclingArranger[[#This Row],[Name of Third-Party Recycling Arranger]],TR_6RecyclingArranger[[#This Row],[Pounds of Producer''s Material Recycled by this Recycling Arranger]:[Recycling Arranger Contact Email]])&gt;0,1,0))</f>
        <v>0</v>
      </c>
      <c r="P340" s="79">
        <f>IF(TR_6RecyclingArranger[[#This Row],[Lookup: pounds (this table)]]&gt;TR_6RecyclingArranger[[#This Row],[Lookup: pounds (5B tab)]],1,0)</f>
        <v>0</v>
      </c>
      <c r="Q340" s="78">
        <f>SUMIFS(TR_6RecyclingArranger[Pounds of Producer''s Material Recycled by this Recycling Arranger],TR_6RecyclingArranger[ID_EC],TR_6RecyclingArranger[[#This Row],[ID_EC]])</f>
        <v>0</v>
      </c>
      <c r="R340" s="78">
        <f>IFERROR(INDEX(TR_5ExemptionClaim[How many of the pounds recycled through this pathway were supplied by this producer?],MATCH(TR_6RecyclingArranger[[#This Row],[ID_EC]],TR_5ExemptionClaim[ID_EC],0)),0)</f>
        <v>0</v>
      </c>
      <c r="S340" s="81" t="str">
        <f t="shared" si="5"/>
        <v/>
      </c>
      <c r="T340" s="40"/>
      <c r="U340" s="58"/>
    </row>
    <row r="341" spans="1:21" ht="30.75" customHeight="1" x14ac:dyDescent="0.2">
      <c r="A341" s="82" t="s">
        <v>725</v>
      </c>
      <c r="B341" s="46"/>
      <c r="C341" s="113"/>
      <c r="D341" s="215" t="str">
        <f>IF(TR_6RecyclingArranger[[#This Row],[ID_EC]]="","",INDEX(TR_5ExemptionClaim[End Market Name],MATCH(TR_6RecyclingArranger[[#This Row],[ID_EC]],TR_5ExemptionClaim[ID_EC],0)))</f>
        <v/>
      </c>
      <c r="E341" s="215" t="str">
        <f>IF(TR_6RecyclingArranger[[#This Row],[ID_EC]]="","",INDEX(TR_5ExemptionClaim[Collection or Transportation Service Provider Name],MATCH(TR_6RecyclingArranger[[#This Row],[ID_EC]],TR_5ExemptionClaim[ID_EC],0)))</f>
        <v/>
      </c>
      <c r="F341" s="215" t="str">
        <f>IF(TR_6RecyclingArranger[[#This Row],[ID_EC]]="","",IF(INDEX(TR_5ExemptionClaim[CRPF name],MATCH(TR_6RecyclingArranger[[#This Row],[ID_EC]],TR_5ExemptionClaim[ID_EC],0))=0,"None",INDEX(TR_5ExemptionClaim[CRPF name],MATCH(TR_6RecyclingArranger[[#This Row],[ID_EC]],TR_5ExemptionClaim[ID_EC],0))))</f>
        <v/>
      </c>
      <c r="G341" s="45"/>
      <c r="H341" s="108"/>
      <c r="I341" s="47"/>
      <c r="J341" s="48"/>
      <c r="K341" s="47"/>
      <c r="L341" s="79">
        <f>IF(COUNTIFS(TR_6RecyclingArranger[ID_EC],TR_6RecyclingArranger[[#This Row],[ID_EC]],TR_6RecyclingArranger[Name of Third-Party Recycling Arranger],TR_6RecyclingArranger[[#This Row],[Name of Third-Party Recycling Arranger]])&gt;1,1,0)</f>
        <v>0</v>
      </c>
      <c r="M341" s="79">
        <f>IF(TR_6RecyclingArranger[[#This Row],[ID_EC]]="",0,IFERROR(0*MATCH(TR_6RecyclingArranger[[#This Row],[ID_EC]],TR_5ExemptionClaim[Lookup: for arranger tab],0),1))</f>
        <v>0</v>
      </c>
      <c r="N341" s="79">
        <f>IF(TR_6RecyclingArranger[[#This Row],[ID_EC]]="",0,IF(COUNTA(TR_6RecyclingArranger[[#This Row],[Name of Third-Party Recycling Arranger]],TR_6RecyclingArranger[[#This Row],[Pounds of Producer''s Material Recycled by this Recycling Arranger]:[Recycling Arranger Contact Email]])=7,0,1))</f>
        <v>0</v>
      </c>
      <c r="O341" s="79">
        <f>IF(TR_6RecyclingArranger[[#This Row],[ID_EC]]&lt;&gt;"",0,IF(COUNTA(TR_6RecyclingArranger[[#This Row],[Name of Third-Party Recycling Arranger]],TR_6RecyclingArranger[[#This Row],[Pounds of Producer''s Material Recycled by this Recycling Arranger]:[Recycling Arranger Contact Email]])&gt;0,1,0))</f>
        <v>0</v>
      </c>
      <c r="P341" s="79">
        <f>IF(TR_6RecyclingArranger[[#This Row],[Lookup: pounds (this table)]]&gt;TR_6RecyclingArranger[[#This Row],[Lookup: pounds (5B tab)]],1,0)</f>
        <v>0</v>
      </c>
      <c r="Q341" s="78">
        <f>SUMIFS(TR_6RecyclingArranger[Pounds of Producer''s Material Recycled by this Recycling Arranger],TR_6RecyclingArranger[ID_EC],TR_6RecyclingArranger[[#This Row],[ID_EC]])</f>
        <v>0</v>
      </c>
      <c r="R341" s="78">
        <f>IFERROR(INDEX(TR_5ExemptionClaim[How many of the pounds recycled through this pathway were supplied by this producer?],MATCH(TR_6RecyclingArranger[[#This Row],[ID_EC]],TR_5ExemptionClaim[ID_EC],0)),0)</f>
        <v>0</v>
      </c>
      <c r="S341" s="81" t="str">
        <f t="shared" si="5"/>
        <v/>
      </c>
      <c r="T341" s="40"/>
      <c r="U341" s="58"/>
    </row>
    <row r="342" spans="1:21" ht="30.75" customHeight="1" x14ac:dyDescent="0.2">
      <c r="A342" s="82" t="s">
        <v>726</v>
      </c>
      <c r="B342" s="46"/>
      <c r="C342" s="113"/>
      <c r="D342" s="215" t="str">
        <f>IF(TR_6RecyclingArranger[[#This Row],[ID_EC]]="","",INDEX(TR_5ExemptionClaim[End Market Name],MATCH(TR_6RecyclingArranger[[#This Row],[ID_EC]],TR_5ExemptionClaim[ID_EC],0)))</f>
        <v/>
      </c>
      <c r="E342" s="215" t="str">
        <f>IF(TR_6RecyclingArranger[[#This Row],[ID_EC]]="","",INDEX(TR_5ExemptionClaim[Collection or Transportation Service Provider Name],MATCH(TR_6RecyclingArranger[[#This Row],[ID_EC]],TR_5ExemptionClaim[ID_EC],0)))</f>
        <v/>
      </c>
      <c r="F342" s="215" t="str">
        <f>IF(TR_6RecyclingArranger[[#This Row],[ID_EC]]="","",IF(INDEX(TR_5ExemptionClaim[CRPF name],MATCH(TR_6RecyclingArranger[[#This Row],[ID_EC]],TR_5ExemptionClaim[ID_EC],0))=0,"None",INDEX(TR_5ExemptionClaim[CRPF name],MATCH(TR_6RecyclingArranger[[#This Row],[ID_EC]],TR_5ExemptionClaim[ID_EC],0))))</f>
        <v/>
      </c>
      <c r="G342" s="45"/>
      <c r="H342" s="108"/>
      <c r="I342" s="47"/>
      <c r="J342" s="48"/>
      <c r="K342" s="47"/>
      <c r="L342" s="79">
        <f>IF(COUNTIFS(TR_6RecyclingArranger[ID_EC],TR_6RecyclingArranger[[#This Row],[ID_EC]],TR_6RecyclingArranger[Name of Third-Party Recycling Arranger],TR_6RecyclingArranger[[#This Row],[Name of Third-Party Recycling Arranger]])&gt;1,1,0)</f>
        <v>0</v>
      </c>
      <c r="M342" s="79">
        <f>IF(TR_6RecyclingArranger[[#This Row],[ID_EC]]="",0,IFERROR(0*MATCH(TR_6RecyclingArranger[[#This Row],[ID_EC]],TR_5ExemptionClaim[Lookup: for arranger tab],0),1))</f>
        <v>0</v>
      </c>
      <c r="N342" s="79">
        <f>IF(TR_6RecyclingArranger[[#This Row],[ID_EC]]="",0,IF(COUNTA(TR_6RecyclingArranger[[#This Row],[Name of Third-Party Recycling Arranger]],TR_6RecyclingArranger[[#This Row],[Pounds of Producer''s Material Recycled by this Recycling Arranger]:[Recycling Arranger Contact Email]])=7,0,1))</f>
        <v>0</v>
      </c>
      <c r="O342" s="79">
        <f>IF(TR_6RecyclingArranger[[#This Row],[ID_EC]]&lt;&gt;"",0,IF(COUNTA(TR_6RecyclingArranger[[#This Row],[Name of Third-Party Recycling Arranger]],TR_6RecyclingArranger[[#This Row],[Pounds of Producer''s Material Recycled by this Recycling Arranger]:[Recycling Arranger Contact Email]])&gt;0,1,0))</f>
        <v>0</v>
      </c>
      <c r="P342" s="79">
        <f>IF(TR_6RecyclingArranger[[#This Row],[Lookup: pounds (this table)]]&gt;TR_6RecyclingArranger[[#This Row],[Lookup: pounds (5B tab)]],1,0)</f>
        <v>0</v>
      </c>
      <c r="Q342" s="78">
        <f>SUMIFS(TR_6RecyclingArranger[Pounds of Producer''s Material Recycled by this Recycling Arranger],TR_6RecyclingArranger[ID_EC],TR_6RecyclingArranger[[#This Row],[ID_EC]])</f>
        <v>0</v>
      </c>
      <c r="R342" s="78">
        <f>IFERROR(INDEX(TR_5ExemptionClaim[How many of the pounds recycled through this pathway were supplied by this producer?],MATCH(TR_6RecyclingArranger[[#This Row],[ID_EC]],TR_5ExemptionClaim[ID_EC],0)),0)</f>
        <v>0</v>
      </c>
      <c r="S342" s="81" t="str">
        <f t="shared" si="5"/>
        <v/>
      </c>
      <c r="T342" s="40"/>
      <c r="U342" s="58"/>
    </row>
    <row r="343" spans="1:21" ht="30.75" customHeight="1" x14ac:dyDescent="0.2">
      <c r="A343" s="82" t="s">
        <v>727</v>
      </c>
      <c r="B343" s="46"/>
      <c r="C343" s="113"/>
      <c r="D343" s="215" t="str">
        <f>IF(TR_6RecyclingArranger[[#This Row],[ID_EC]]="","",INDEX(TR_5ExemptionClaim[End Market Name],MATCH(TR_6RecyclingArranger[[#This Row],[ID_EC]],TR_5ExemptionClaim[ID_EC],0)))</f>
        <v/>
      </c>
      <c r="E343" s="215" t="str">
        <f>IF(TR_6RecyclingArranger[[#This Row],[ID_EC]]="","",INDEX(TR_5ExemptionClaim[Collection or Transportation Service Provider Name],MATCH(TR_6RecyclingArranger[[#This Row],[ID_EC]],TR_5ExemptionClaim[ID_EC],0)))</f>
        <v/>
      </c>
      <c r="F343" s="215" t="str">
        <f>IF(TR_6RecyclingArranger[[#This Row],[ID_EC]]="","",IF(INDEX(TR_5ExemptionClaim[CRPF name],MATCH(TR_6RecyclingArranger[[#This Row],[ID_EC]],TR_5ExemptionClaim[ID_EC],0))=0,"None",INDEX(TR_5ExemptionClaim[CRPF name],MATCH(TR_6RecyclingArranger[[#This Row],[ID_EC]],TR_5ExemptionClaim[ID_EC],0))))</f>
        <v/>
      </c>
      <c r="G343" s="45"/>
      <c r="H343" s="108"/>
      <c r="I343" s="47"/>
      <c r="J343" s="48"/>
      <c r="K343" s="47"/>
      <c r="L343" s="79">
        <f>IF(COUNTIFS(TR_6RecyclingArranger[ID_EC],TR_6RecyclingArranger[[#This Row],[ID_EC]],TR_6RecyclingArranger[Name of Third-Party Recycling Arranger],TR_6RecyclingArranger[[#This Row],[Name of Third-Party Recycling Arranger]])&gt;1,1,0)</f>
        <v>0</v>
      </c>
      <c r="M343" s="79">
        <f>IF(TR_6RecyclingArranger[[#This Row],[ID_EC]]="",0,IFERROR(0*MATCH(TR_6RecyclingArranger[[#This Row],[ID_EC]],TR_5ExemptionClaim[Lookup: for arranger tab],0),1))</f>
        <v>0</v>
      </c>
      <c r="N343" s="79">
        <f>IF(TR_6RecyclingArranger[[#This Row],[ID_EC]]="",0,IF(COUNTA(TR_6RecyclingArranger[[#This Row],[Name of Third-Party Recycling Arranger]],TR_6RecyclingArranger[[#This Row],[Pounds of Producer''s Material Recycled by this Recycling Arranger]:[Recycling Arranger Contact Email]])=7,0,1))</f>
        <v>0</v>
      </c>
      <c r="O343" s="79">
        <f>IF(TR_6RecyclingArranger[[#This Row],[ID_EC]]&lt;&gt;"",0,IF(COUNTA(TR_6RecyclingArranger[[#This Row],[Name of Third-Party Recycling Arranger]],TR_6RecyclingArranger[[#This Row],[Pounds of Producer''s Material Recycled by this Recycling Arranger]:[Recycling Arranger Contact Email]])&gt;0,1,0))</f>
        <v>0</v>
      </c>
      <c r="P343" s="79">
        <f>IF(TR_6RecyclingArranger[[#This Row],[Lookup: pounds (this table)]]&gt;TR_6RecyclingArranger[[#This Row],[Lookup: pounds (5B tab)]],1,0)</f>
        <v>0</v>
      </c>
      <c r="Q343" s="78">
        <f>SUMIFS(TR_6RecyclingArranger[Pounds of Producer''s Material Recycled by this Recycling Arranger],TR_6RecyclingArranger[ID_EC],TR_6RecyclingArranger[[#This Row],[ID_EC]])</f>
        <v>0</v>
      </c>
      <c r="R343" s="78">
        <f>IFERROR(INDEX(TR_5ExemptionClaim[How many of the pounds recycled through this pathway were supplied by this producer?],MATCH(TR_6RecyclingArranger[[#This Row],[ID_EC]],TR_5ExemptionClaim[ID_EC],0)),0)</f>
        <v>0</v>
      </c>
      <c r="S343" s="81" t="str">
        <f t="shared" si="5"/>
        <v/>
      </c>
      <c r="T343" s="40"/>
      <c r="U343" s="58"/>
    </row>
    <row r="344" spans="1:21" ht="30.75" customHeight="1" x14ac:dyDescent="0.2">
      <c r="A344" s="82" t="s">
        <v>728</v>
      </c>
      <c r="B344" s="46"/>
      <c r="C344" s="113"/>
      <c r="D344" s="215" t="str">
        <f>IF(TR_6RecyclingArranger[[#This Row],[ID_EC]]="","",INDEX(TR_5ExemptionClaim[End Market Name],MATCH(TR_6RecyclingArranger[[#This Row],[ID_EC]],TR_5ExemptionClaim[ID_EC],0)))</f>
        <v/>
      </c>
      <c r="E344" s="215" t="str">
        <f>IF(TR_6RecyclingArranger[[#This Row],[ID_EC]]="","",INDEX(TR_5ExemptionClaim[Collection or Transportation Service Provider Name],MATCH(TR_6RecyclingArranger[[#This Row],[ID_EC]],TR_5ExemptionClaim[ID_EC],0)))</f>
        <v/>
      </c>
      <c r="F344" s="215" t="str">
        <f>IF(TR_6RecyclingArranger[[#This Row],[ID_EC]]="","",IF(INDEX(TR_5ExemptionClaim[CRPF name],MATCH(TR_6RecyclingArranger[[#This Row],[ID_EC]],TR_5ExemptionClaim[ID_EC],0))=0,"None",INDEX(TR_5ExemptionClaim[CRPF name],MATCH(TR_6RecyclingArranger[[#This Row],[ID_EC]],TR_5ExemptionClaim[ID_EC],0))))</f>
        <v/>
      </c>
      <c r="G344" s="45"/>
      <c r="H344" s="108"/>
      <c r="I344" s="47"/>
      <c r="J344" s="48"/>
      <c r="K344" s="47"/>
      <c r="L344" s="79">
        <f>IF(COUNTIFS(TR_6RecyclingArranger[ID_EC],TR_6RecyclingArranger[[#This Row],[ID_EC]],TR_6RecyclingArranger[Name of Third-Party Recycling Arranger],TR_6RecyclingArranger[[#This Row],[Name of Third-Party Recycling Arranger]])&gt;1,1,0)</f>
        <v>0</v>
      </c>
      <c r="M344" s="79">
        <f>IF(TR_6RecyclingArranger[[#This Row],[ID_EC]]="",0,IFERROR(0*MATCH(TR_6RecyclingArranger[[#This Row],[ID_EC]],TR_5ExemptionClaim[Lookup: for arranger tab],0),1))</f>
        <v>0</v>
      </c>
      <c r="N344" s="79">
        <f>IF(TR_6RecyclingArranger[[#This Row],[ID_EC]]="",0,IF(COUNTA(TR_6RecyclingArranger[[#This Row],[Name of Third-Party Recycling Arranger]],TR_6RecyclingArranger[[#This Row],[Pounds of Producer''s Material Recycled by this Recycling Arranger]:[Recycling Arranger Contact Email]])=7,0,1))</f>
        <v>0</v>
      </c>
      <c r="O344" s="79">
        <f>IF(TR_6RecyclingArranger[[#This Row],[ID_EC]]&lt;&gt;"",0,IF(COUNTA(TR_6RecyclingArranger[[#This Row],[Name of Third-Party Recycling Arranger]],TR_6RecyclingArranger[[#This Row],[Pounds of Producer''s Material Recycled by this Recycling Arranger]:[Recycling Arranger Contact Email]])&gt;0,1,0))</f>
        <v>0</v>
      </c>
      <c r="P344" s="79">
        <f>IF(TR_6RecyclingArranger[[#This Row],[Lookup: pounds (this table)]]&gt;TR_6RecyclingArranger[[#This Row],[Lookup: pounds (5B tab)]],1,0)</f>
        <v>0</v>
      </c>
      <c r="Q344" s="78">
        <f>SUMIFS(TR_6RecyclingArranger[Pounds of Producer''s Material Recycled by this Recycling Arranger],TR_6RecyclingArranger[ID_EC],TR_6RecyclingArranger[[#This Row],[ID_EC]])</f>
        <v>0</v>
      </c>
      <c r="R344" s="78">
        <f>IFERROR(INDEX(TR_5ExemptionClaim[How many of the pounds recycled through this pathway were supplied by this producer?],MATCH(TR_6RecyclingArranger[[#This Row],[ID_EC]],TR_5ExemptionClaim[ID_EC],0)),0)</f>
        <v>0</v>
      </c>
      <c r="S344" s="81" t="str">
        <f t="shared" si="5"/>
        <v/>
      </c>
      <c r="T344" s="40"/>
      <c r="U344" s="58"/>
    </row>
    <row r="345" spans="1:21" ht="30.75" customHeight="1" x14ac:dyDescent="0.2">
      <c r="A345" s="82" t="s">
        <v>729</v>
      </c>
      <c r="B345" s="46"/>
      <c r="C345" s="113"/>
      <c r="D345" s="215" t="str">
        <f>IF(TR_6RecyclingArranger[[#This Row],[ID_EC]]="","",INDEX(TR_5ExemptionClaim[End Market Name],MATCH(TR_6RecyclingArranger[[#This Row],[ID_EC]],TR_5ExemptionClaim[ID_EC],0)))</f>
        <v/>
      </c>
      <c r="E345" s="215" t="str">
        <f>IF(TR_6RecyclingArranger[[#This Row],[ID_EC]]="","",INDEX(TR_5ExemptionClaim[Collection or Transportation Service Provider Name],MATCH(TR_6RecyclingArranger[[#This Row],[ID_EC]],TR_5ExemptionClaim[ID_EC],0)))</f>
        <v/>
      </c>
      <c r="F345" s="215" t="str">
        <f>IF(TR_6RecyclingArranger[[#This Row],[ID_EC]]="","",IF(INDEX(TR_5ExemptionClaim[CRPF name],MATCH(TR_6RecyclingArranger[[#This Row],[ID_EC]],TR_5ExemptionClaim[ID_EC],0))=0,"None",INDEX(TR_5ExemptionClaim[CRPF name],MATCH(TR_6RecyclingArranger[[#This Row],[ID_EC]],TR_5ExemptionClaim[ID_EC],0))))</f>
        <v/>
      </c>
      <c r="G345" s="45"/>
      <c r="H345" s="108"/>
      <c r="I345" s="47"/>
      <c r="J345" s="48"/>
      <c r="K345" s="47"/>
      <c r="L345" s="79">
        <f>IF(COUNTIFS(TR_6RecyclingArranger[ID_EC],TR_6RecyclingArranger[[#This Row],[ID_EC]],TR_6RecyclingArranger[Name of Third-Party Recycling Arranger],TR_6RecyclingArranger[[#This Row],[Name of Third-Party Recycling Arranger]])&gt;1,1,0)</f>
        <v>0</v>
      </c>
      <c r="M345" s="79">
        <f>IF(TR_6RecyclingArranger[[#This Row],[ID_EC]]="",0,IFERROR(0*MATCH(TR_6RecyclingArranger[[#This Row],[ID_EC]],TR_5ExemptionClaim[Lookup: for arranger tab],0),1))</f>
        <v>0</v>
      </c>
      <c r="N345" s="79">
        <f>IF(TR_6RecyclingArranger[[#This Row],[ID_EC]]="",0,IF(COUNTA(TR_6RecyclingArranger[[#This Row],[Name of Third-Party Recycling Arranger]],TR_6RecyclingArranger[[#This Row],[Pounds of Producer''s Material Recycled by this Recycling Arranger]:[Recycling Arranger Contact Email]])=7,0,1))</f>
        <v>0</v>
      </c>
      <c r="O345" s="79">
        <f>IF(TR_6RecyclingArranger[[#This Row],[ID_EC]]&lt;&gt;"",0,IF(COUNTA(TR_6RecyclingArranger[[#This Row],[Name of Third-Party Recycling Arranger]],TR_6RecyclingArranger[[#This Row],[Pounds of Producer''s Material Recycled by this Recycling Arranger]:[Recycling Arranger Contact Email]])&gt;0,1,0))</f>
        <v>0</v>
      </c>
      <c r="P345" s="79">
        <f>IF(TR_6RecyclingArranger[[#This Row],[Lookup: pounds (this table)]]&gt;TR_6RecyclingArranger[[#This Row],[Lookup: pounds (5B tab)]],1,0)</f>
        <v>0</v>
      </c>
      <c r="Q345" s="78">
        <f>SUMIFS(TR_6RecyclingArranger[Pounds of Producer''s Material Recycled by this Recycling Arranger],TR_6RecyclingArranger[ID_EC],TR_6RecyclingArranger[[#This Row],[ID_EC]])</f>
        <v>0</v>
      </c>
      <c r="R345" s="78">
        <f>IFERROR(INDEX(TR_5ExemptionClaim[How many of the pounds recycled through this pathway were supplied by this producer?],MATCH(TR_6RecyclingArranger[[#This Row],[ID_EC]],TR_5ExemptionClaim[ID_EC],0)),0)</f>
        <v>0</v>
      </c>
      <c r="S345" s="81" t="str">
        <f t="shared" si="5"/>
        <v/>
      </c>
      <c r="T345" s="40"/>
      <c r="U345" s="58"/>
    </row>
    <row r="346" spans="1:21" ht="30.75" customHeight="1" x14ac:dyDescent="0.2">
      <c r="A346" s="82" t="s">
        <v>730</v>
      </c>
      <c r="B346" s="46"/>
      <c r="C346" s="113"/>
      <c r="D346" s="215" t="str">
        <f>IF(TR_6RecyclingArranger[[#This Row],[ID_EC]]="","",INDEX(TR_5ExemptionClaim[End Market Name],MATCH(TR_6RecyclingArranger[[#This Row],[ID_EC]],TR_5ExemptionClaim[ID_EC],0)))</f>
        <v/>
      </c>
      <c r="E346" s="215" t="str">
        <f>IF(TR_6RecyclingArranger[[#This Row],[ID_EC]]="","",INDEX(TR_5ExemptionClaim[Collection or Transportation Service Provider Name],MATCH(TR_6RecyclingArranger[[#This Row],[ID_EC]],TR_5ExemptionClaim[ID_EC],0)))</f>
        <v/>
      </c>
      <c r="F346" s="215" t="str">
        <f>IF(TR_6RecyclingArranger[[#This Row],[ID_EC]]="","",IF(INDEX(TR_5ExemptionClaim[CRPF name],MATCH(TR_6RecyclingArranger[[#This Row],[ID_EC]],TR_5ExemptionClaim[ID_EC],0))=0,"None",INDEX(TR_5ExemptionClaim[CRPF name],MATCH(TR_6RecyclingArranger[[#This Row],[ID_EC]],TR_5ExemptionClaim[ID_EC],0))))</f>
        <v/>
      </c>
      <c r="G346" s="45"/>
      <c r="H346" s="108"/>
      <c r="I346" s="47"/>
      <c r="J346" s="48"/>
      <c r="K346" s="47"/>
      <c r="L346" s="79">
        <f>IF(COUNTIFS(TR_6RecyclingArranger[ID_EC],TR_6RecyclingArranger[[#This Row],[ID_EC]],TR_6RecyclingArranger[Name of Third-Party Recycling Arranger],TR_6RecyclingArranger[[#This Row],[Name of Third-Party Recycling Arranger]])&gt;1,1,0)</f>
        <v>0</v>
      </c>
      <c r="M346" s="79">
        <f>IF(TR_6RecyclingArranger[[#This Row],[ID_EC]]="",0,IFERROR(0*MATCH(TR_6RecyclingArranger[[#This Row],[ID_EC]],TR_5ExemptionClaim[Lookup: for arranger tab],0),1))</f>
        <v>0</v>
      </c>
      <c r="N346" s="79">
        <f>IF(TR_6RecyclingArranger[[#This Row],[ID_EC]]="",0,IF(COUNTA(TR_6RecyclingArranger[[#This Row],[Name of Third-Party Recycling Arranger]],TR_6RecyclingArranger[[#This Row],[Pounds of Producer''s Material Recycled by this Recycling Arranger]:[Recycling Arranger Contact Email]])=7,0,1))</f>
        <v>0</v>
      </c>
      <c r="O346" s="79">
        <f>IF(TR_6RecyclingArranger[[#This Row],[ID_EC]]&lt;&gt;"",0,IF(COUNTA(TR_6RecyclingArranger[[#This Row],[Name of Third-Party Recycling Arranger]],TR_6RecyclingArranger[[#This Row],[Pounds of Producer''s Material Recycled by this Recycling Arranger]:[Recycling Arranger Contact Email]])&gt;0,1,0))</f>
        <v>0</v>
      </c>
      <c r="P346" s="79">
        <f>IF(TR_6RecyclingArranger[[#This Row],[Lookup: pounds (this table)]]&gt;TR_6RecyclingArranger[[#This Row],[Lookup: pounds (5B tab)]],1,0)</f>
        <v>0</v>
      </c>
      <c r="Q346" s="78">
        <f>SUMIFS(TR_6RecyclingArranger[Pounds of Producer''s Material Recycled by this Recycling Arranger],TR_6RecyclingArranger[ID_EC],TR_6RecyclingArranger[[#This Row],[ID_EC]])</f>
        <v>0</v>
      </c>
      <c r="R346" s="78">
        <f>IFERROR(INDEX(TR_5ExemptionClaim[How many of the pounds recycled through this pathway were supplied by this producer?],MATCH(TR_6RecyclingArranger[[#This Row],[ID_EC]],TR_5ExemptionClaim[ID_EC],0)),0)</f>
        <v>0</v>
      </c>
      <c r="S346" s="81" t="str">
        <f t="shared" si="5"/>
        <v/>
      </c>
      <c r="T346" s="40"/>
      <c r="U346" s="58"/>
    </row>
    <row r="347" spans="1:21" ht="30.75" customHeight="1" x14ac:dyDescent="0.2">
      <c r="A347" s="82" t="s">
        <v>731</v>
      </c>
      <c r="B347" s="46"/>
      <c r="C347" s="113"/>
      <c r="D347" s="215" t="str">
        <f>IF(TR_6RecyclingArranger[[#This Row],[ID_EC]]="","",INDEX(TR_5ExemptionClaim[End Market Name],MATCH(TR_6RecyclingArranger[[#This Row],[ID_EC]],TR_5ExemptionClaim[ID_EC],0)))</f>
        <v/>
      </c>
      <c r="E347" s="215" t="str">
        <f>IF(TR_6RecyclingArranger[[#This Row],[ID_EC]]="","",INDEX(TR_5ExemptionClaim[Collection or Transportation Service Provider Name],MATCH(TR_6RecyclingArranger[[#This Row],[ID_EC]],TR_5ExemptionClaim[ID_EC],0)))</f>
        <v/>
      </c>
      <c r="F347" s="215" t="str">
        <f>IF(TR_6RecyclingArranger[[#This Row],[ID_EC]]="","",IF(INDEX(TR_5ExemptionClaim[CRPF name],MATCH(TR_6RecyclingArranger[[#This Row],[ID_EC]],TR_5ExemptionClaim[ID_EC],0))=0,"None",INDEX(TR_5ExemptionClaim[CRPF name],MATCH(TR_6RecyclingArranger[[#This Row],[ID_EC]],TR_5ExemptionClaim[ID_EC],0))))</f>
        <v/>
      </c>
      <c r="G347" s="45"/>
      <c r="H347" s="108"/>
      <c r="I347" s="47"/>
      <c r="J347" s="48"/>
      <c r="K347" s="47"/>
      <c r="L347" s="79">
        <f>IF(COUNTIFS(TR_6RecyclingArranger[ID_EC],TR_6RecyclingArranger[[#This Row],[ID_EC]],TR_6RecyclingArranger[Name of Third-Party Recycling Arranger],TR_6RecyclingArranger[[#This Row],[Name of Third-Party Recycling Arranger]])&gt;1,1,0)</f>
        <v>0</v>
      </c>
      <c r="M347" s="79">
        <f>IF(TR_6RecyclingArranger[[#This Row],[ID_EC]]="",0,IFERROR(0*MATCH(TR_6RecyclingArranger[[#This Row],[ID_EC]],TR_5ExemptionClaim[Lookup: for arranger tab],0),1))</f>
        <v>0</v>
      </c>
      <c r="N347" s="79">
        <f>IF(TR_6RecyclingArranger[[#This Row],[ID_EC]]="",0,IF(COUNTA(TR_6RecyclingArranger[[#This Row],[Name of Third-Party Recycling Arranger]],TR_6RecyclingArranger[[#This Row],[Pounds of Producer''s Material Recycled by this Recycling Arranger]:[Recycling Arranger Contact Email]])=7,0,1))</f>
        <v>0</v>
      </c>
      <c r="O347" s="79">
        <f>IF(TR_6RecyclingArranger[[#This Row],[ID_EC]]&lt;&gt;"",0,IF(COUNTA(TR_6RecyclingArranger[[#This Row],[Name of Third-Party Recycling Arranger]],TR_6RecyclingArranger[[#This Row],[Pounds of Producer''s Material Recycled by this Recycling Arranger]:[Recycling Arranger Contact Email]])&gt;0,1,0))</f>
        <v>0</v>
      </c>
      <c r="P347" s="79">
        <f>IF(TR_6RecyclingArranger[[#This Row],[Lookup: pounds (this table)]]&gt;TR_6RecyclingArranger[[#This Row],[Lookup: pounds (5B tab)]],1,0)</f>
        <v>0</v>
      </c>
      <c r="Q347" s="78">
        <f>SUMIFS(TR_6RecyclingArranger[Pounds of Producer''s Material Recycled by this Recycling Arranger],TR_6RecyclingArranger[ID_EC],TR_6RecyclingArranger[[#This Row],[ID_EC]])</f>
        <v>0</v>
      </c>
      <c r="R347" s="78">
        <f>IFERROR(INDEX(TR_5ExemptionClaim[How many of the pounds recycled through this pathway were supplied by this producer?],MATCH(TR_6RecyclingArranger[[#This Row],[ID_EC]],TR_5ExemptionClaim[ID_EC],0)),0)</f>
        <v>0</v>
      </c>
      <c r="S347" s="81" t="str">
        <f t="shared" si="5"/>
        <v/>
      </c>
      <c r="T347" s="40"/>
      <c r="U347" s="58"/>
    </row>
    <row r="348" spans="1:21" ht="30.75" customHeight="1" x14ac:dyDescent="0.2">
      <c r="A348" s="82" t="s">
        <v>732</v>
      </c>
      <c r="B348" s="46"/>
      <c r="C348" s="113"/>
      <c r="D348" s="215" t="str">
        <f>IF(TR_6RecyclingArranger[[#This Row],[ID_EC]]="","",INDEX(TR_5ExemptionClaim[End Market Name],MATCH(TR_6RecyclingArranger[[#This Row],[ID_EC]],TR_5ExemptionClaim[ID_EC],0)))</f>
        <v/>
      </c>
      <c r="E348" s="215" t="str">
        <f>IF(TR_6RecyclingArranger[[#This Row],[ID_EC]]="","",INDEX(TR_5ExemptionClaim[Collection or Transportation Service Provider Name],MATCH(TR_6RecyclingArranger[[#This Row],[ID_EC]],TR_5ExemptionClaim[ID_EC],0)))</f>
        <v/>
      </c>
      <c r="F348" s="215" t="str">
        <f>IF(TR_6RecyclingArranger[[#This Row],[ID_EC]]="","",IF(INDEX(TR_5ExemptionClaim[CRPF name],MATCH(TR_6RecyclingArranger[[#This Row],[ID_EC]],TR_5ExemptionClaim[ID_EC],0))=0,"None",INDEX(TR_5ExemptionClaim[CRPF name],MATCH(TR_6RecyclingArranger[[#This Row],[ID_EC]],TR_5ExemptionClaim[ID_EC],0))))</f>
        <v/>
      </c>
      <c r="G348" s="45"/>
      <c r="H348" s="108"/>
      <c r="I348" s="47"/>
      <c r="J348" s="48"/>
      <c r="K348" s="47"/>
      <c r="L348" s="79">
        <f>IF(COUNTIFS(TR_6RecyclingArranger[ID_EC],TR_6RecyclingArranger[[#This Row],[ID_EC]],TR_6RecyclingArranger[Name of Third-Party Recycling Arranger],TR_6RecyclingArranger[[#This Row],[Name of Third-Party Recycling Arranger]])&gt;1,1,0)</f>
        <v>0</v>
      </c>
      <c r="M348" s="79">
        <f>IF(TR_6RecyclingArranger[[#This Row],[ID_EC]]="",0,IFERROR(0*MATCH(TR_6RecyclingArranger[[#This Row],[ID_EC]],TR_5ExemptionClaim[Lookup: for arranger tab],0),1))</f>
        <v>0</v>
      </c>
      <c r="N348" s="79">
        <f>IF(TR_6RecyclingArranger[[#This Row],[ID_EC]]="",0,IF(COUNTA(TR_6RecyclingArranger[[#This Row],[Name of Third-Party Recycling Arranger]],TR_6RecyclingArranger[[#This Row],[Pounds of Producer''s Material Recycled by this Recycling Arranger]:[Recycling Arranger Contact Email]])=7,0,1))</f>
        <v>0</v>
      </c>
      <c r="O348" s="79">
        <f>IF(TR_6RecyclingArranger[[#This Row],[ID_EC]]&lt;&gt;"",0,IF(COUNTA(TR_6RecyclingArranger[[#This Row],[Name of Third-Party Recycling Arranger]],TR_6RecyclingArranger[[#This Row],[Pounds of Producer''s Material Recycled by this Recycling Arranger]:[Recycling Arranger Contact Email]])&gt;0,1,0))</f>
        <v>0</v>
      </c>
      <c r="P348" s="79">
        <f>IF(TR_6RecyclingArranger[[#This Row],[Lookup: pounds (this table)]]&gt;TR_6RecyclingArranger[[#This Row],[Lookup: pounds (5B tab)]],1,0)</f>
        <v>0</v>
      </c>
      <c r="Q348" s="78">
        <f>SUMIFS(TR_6RecyclingArranger[Pounds of Producer''s Material Recycled by this Recycling Arranger],TR_6RecyclingArranger[ID_EC],TR_6RecyclingArranger[[#This Row],[ID_EC]])</f>
        <v>0</v>
      </c>
      <c r="R348" s="78">
        <f>IFERROR(INDEX(TR_5ExemptionClaim[How many of the pounds recycled through this pathway were supplied by this producer?],MATCH(TR_6RecyclingArranger[[#This Row],[ID_EC]],TR_5ExemptionClaim[ID_EC],0)),0)</f>
        <v>0</v>
      </c>
      <c r="S348" s="81" t="str">
        <f t="shared" si="5"/>
        <v/>
      </c>
      <c r="T348" s="40"/>
      <c r="U348" s="58"/>
    </row>
    <row r="349" spans="1:21" ht="30.75" customHeight="1" x14ac:dyDescent="0.2">
      <c r="A349" s="82" t="s">
        <v>733</v>
      </c>
      <c r="B349" s="46"/>
      <c r="C349" s="113"/>
      <c r="D349" s="215" t="str">
        <f>IF(TR_6RecyclingArranger[[#This Row],[ID_EC]]="","",INDEX(TR_5ExemptionClaim[End Market Name],MATCH(TR_6RecyclingArranger[[#This Row],[ID_EC]],TR_5ExemptionClaim[ID_EC],0)))</f>
        <v/>
      </c>
      <c r="E349" s="215" t="str">
        <f>IF(TR_6RecyclingArranger[[#This Row],[ID_EC]]="","",INDEX(TR_5ExemptionClaim[Collection or Transportation Service Provider Name],MATCH(TR_6RecyclingArranger[[#This Row],[ID_EC]],TR_5ExemptionClaim[ID_EC],0)))</f>
        <v/>
      </c>
      <c r="F349" s="215" t="str">
        <f>IF(TR_6RecyclingArranger[[#This Row],[ID_EC]]="","",IF(INDEX(TR_5ExemptionClaim[CRPF name],MATCH(TR_6RecyclingArranger[[#This Row],[ID_EC]],TR_5ExemptionClaim[ID_EC],0))=0,"None",INDEX(TR_5ExemptionClaim[CRPF name],MATCH(TR_6RecyclingArranger[[#This Row],[ID_EC]],TR_5ExemptionClaim[ID_EC],0))))</f>
        <v/>
      </c>
      <c r="G349" s="45"/>
      <c r="H349" s="108"/>
      <c r="I349" s="47"/>
      <c r="J349" s="48"/>
      <c r="K349" s="47"/>
      <c r="L349" s="79">
        <f>IF(COUNTIFS(TR_6RecyclingArranger[ID_EC],TR_6RecyclingArranger[[#This Row],[ID_EC]],TR_6RecyclingArranger[Name of Third-Party Recycling Arranger],TR_6RecyclingArranger[[#This Row],[Name of Third-Party Recycling Arranger]])&gt;1,1,0)</f>
        <v>0</v>
      </c>
      <c r="M349" s="79">
        <f>IF(TR_6RecyclingArranger[[#This Row],[ID_EC]]="",0,IFERROR(0*MATCH(TR_6RecyclingArranger[[#This Row],[ID_EC]],TR_5ExemptionClaim[Lookup: for arranger tab],0),1))</f>
        <v>0</v>
      </c>
      <c r="N349" s="79">
        <f>IF(TR_6RecyclingArranger[[#This Row],[ID_EC]]="",0,IF(COUNTA(TR_6RecyclingArranger[[#This Row],[Name of Third-Party Recycling Arranger]],TR_6RecyclingArranger[[#This Row],[Pounds of Producer''s Material Recycled by this Recycling Arranger]:[Recycling Arranger Contact Email]])=7,0,1))</f>
        <v>0</v>
      </c>
      <c r="O349" s="79">
        <f>IF(TR_6RecyclingArranger[[#This Row],[ID_EC]]&lt;&gt;"",0,IF(COUNTA(TR_6RecyclingArranger[[#This Row],[Name of Third-Party Recycling Arranger]],TR_6RecyclingArranger[[#This Row],[Pounds of Producer''s Material Recycled by this Recycling Arranger]:[Recycling Arranger Contact Email]])&gt;0,1,0))</f>
        <v>0</v>
      </c>
      <c r="P349" s="79">
        <f>IF(TR_6RecyclingArranger[[#This Row],[Lookup: pounds (this table)]]&gt;TR_6RecyclingArranger[[#This Row],[Lookup: pounds (5B tab)]],1,0)</f>
        <v>0</v>
      </c>
      <c r="Q349" s="78">
        <f>SUMIFS(TR_6RecyclingArranger[Pounds of Producer''s Material Recycled by this Recycling Arranger],TR_6RecyclingArranger[ID_EC],TR_6RecyclingArranger[[#This Row],[ID_EC]])</f>
        <v>0</v>
      </c>
      <c r="R349" s="78">
        <f>IFERROR(INDEX(TR_5ExemptionClaim[How many of the pounds recycled through this pathway were supplied by this producer?],MATCH(TR_6RecyclingArranger[[#This Row],[ID_EC]],TR_5ExemptionClaim[ID_EC],0)),0)</f>
        <v>0</v>
      </c>
      <c r="S349" s="81" t="str">
        <f t="shared" si="5"/>
        <v/>
      </c>
      <c r="T349" s="40"/>
      <c r="U349" s="58"/>
    </row>
    <row r="350" spans="1:21" ht="30.75" customHeight="1" x14ac:dyDescent="0.2">
      <c r="A350" s="82" t="s">
        <v>734</v>
      </c>
      <c r="B350" s="46"/>
      <c r="C350" s="113"/>
      <c r="D350" s="215" t="str">
        <f>IF(TR_6RecyclingArranger[[#This Row],[ID_EC]]="","",INDEX(TR_5ExemptionClaim[End Market Name],MATCH(TR_6RecyclingArranger[[#This Row],[ID_EC]],TR_5ExemptionClaim[ID_EC],0)))</f>
        <v/>
      </c>
      <c r="E350" s="215" t="str">
        <f>IF(TR_6RecyclingArranger[[#This Row],[ID_EC]]="","",INDEX(TR_5ExemptionClaim[Collection or Transportation Service Provider Name],MATCH(TR_6RecyclingArranger[[#This Row],[ID_EC]],TR_5ExemptionClaim[ID_EC],0)))</f>
        <v/>
      </c>
      <c r="F350" s="215" t="str">
        <f>IF(TR_6RecyclingArranger[[#This Row],[ID_EC]]="","",IF(INDEX(TR_5ExemptionClaim[CRPF name],MATCH(TR_6RecyclingArranger[[#This Row],[ID_EC]],TR_5ExemptionClaim[ID_EC],0))=0,"None",INDEX(TR_5ExemptionClaim[CRPF name],MATCH(TR_6RecyclingArranger[[#This Row],[ID_EC]],TR_5ExemptionClaim[ID_EC],0))))</f>
        <v/>
      </c>
      <c r="G350" s="45"/>
      <c r="H350" s="108"/>
      <c r="I350" s="47"/>
      <c r="J350" s="48"/>
      <c r="K350" s="47"/>
      <c r="L350" s="79">
        <f>IF(COUNTIFS(TR_6RecyclingArranger[ID_EC],TR_6RecyclingArranger[[#This Row],[ID_EC]],TR_6RecyclingArranger[Name of Third-Party Recycling Arranger],TR_6RecyclingArranger[[#This Row],[Name of Third-Party Recycling Arranger]])&gt;1,1,0)</f>
        <v>0</v>
      </c>
      <c r="M350" s="79">
        <f>IF(TR_6RecyclingArranger[[#This Row],[ID_EC]]="",0,IFERROR(0*MATCH(TR_6RecyclingArranger[[#This Row],[ID_EC]],TR_5ExemptionClaim[Lookup: for arranger tab],0),1))</f>
        <v>0</v>
      </c>
      <c r="N350" s="79">
        <f>IF(TR_6RecyclingArranger[[#This Row],[ID_EC]]="",0,IF(COUNTA(TR_6RecyclingArranger[[#This Row],[Name of Third-Party Recycling Arranger]],TR_6RecyclingArranger[[#This Row],[Pounds of Producer''s Material Recycled by this Recycling Arranger]:[Recycling Arranger Contact Email]])=7,0,1))</f>
        <v>0</v>
      </c>
      <c r="O350" s="79">
        <f>IF(TR_6RecyclingArranger[[#This Row],[ID_EC]]&lt;&gt;"",0,IF(COUNTA(TR_6RecyclingArranger[[#This Row],[Name of Third-Party Recycling Arranger]],TR_6RecyclingArranger[[#This Row],[Pounds of Producer''s Material Recycled by this Recycling Arranger]:[Recycling Arranger Contact Email]])&gt;0,1,0))</f>
        <v>0</v>
      </c>
      <c r="P350" s="79">
        <f>IF(TR_6RecyclingArranger[[#This Row],[Lookup: pounds (this table)]]&gt;TR_6RecyclingArranger[[#This Row],[Lookup: pounds (5B tab)]],1,0)</f>
        <v>0</v>
      </c>
      <c r="Q350" s="78">
        <f>SUMIFS(TR_6RecyclingArranger[Pounds of Producer''s Material Recycled by this Recycling Arranger],TR_6RecyclingArranger[ID_EC],TR_6RecyclingArranger[[#This Row],[ID_EC]])</f>
        <v>0</v>
      </c>
      <c r="R350" s="78">
        <f>IFERROR(INDEX(TR_5ExemptionClaim[How many of the pounds recycled through this pathway were supplied by this producer?],MATCH(TR_6RecyclingArranger[[#This Row],[ID_EC]],TR_5ExemptionClaim[ID_EC],0)),0)</f>
        <v>0</v>
      </c>
      <c r="S350" s="81" t="str">
        <f t="shared" si="5"/>
        <v/>
      </c>
      <c r="T350" s="40"/>
      <c r="U350" s="58"/>
    </row>
    <row r="351" spans="1:21" ht="30.75" customHeight="1" x14ac:dyDescent="0.2">
      <c r="A351" s="82" t="s">
        <v>735</v>
      </c>
      <c r="B351" s="46"/>
      <c r="C351" s="113"/>
      <c r="D351" s="215" t="str">
        <f>IF(TR_6RecyclingArranger[[#This Row],[ID_EC]]="","",INDEX(TR_5ExemptionClaim[End Market Name],MATCH(TR_6RecyclingArranger[[#This Row],[ID_EC]],TR_5ExemptionClaim[ID_EC],0)))</f>
        <v/>
      </c>
      <c r="E351" s="215" t="str">
        <f>IF(TR_6RecyclingArranger[[#This Row],[ID_EC]]="","",INDEX(TR_5ExemptionClaim[Collection or Transportation Service Provider Name],MATCH(TR_6RecyclingArranger[[#This Row],[ID_EC]],TR_5ExemptionClaim[ID_EC],0)))</f>
        <v/>
      </c>
      <c r="F351" s="215" t="str">
        <f>IF(TR_6RecyclingArranger[[#This Row],[ID_EC]]="","",IF(INDEX(TR_5ExemptionClaim[CRPF name],MATCH(TR_6RecyclingArranger[[#This Row],[ID_EC]],TR_5ExemptionClaim[ID_EC],0))=0,"None",INDEX(TR_5ExemptionClaim[CRPF name],MATCH(TR_6RecyclingArranger[[#This Row],[ID_EC]],TR_5ExemptionClaim[ID_EC],0))))</f>
        <v/>
      </c>
      <c r="G351" s="45"/>
      <c r="H351" s="108"/>
      <c r="I351" s="47"/>
      <c r="J351" s="48"/>
      <c r="K351" s="47"/>
      <c r="L351" s="79">
        <f>IF(COUNTIFS(TR_6RecyclingArranger[ID_EC],TR_6RecyclingArranger[[#This Row],[ID_EC]],TR_6RecyclingArranger[Name of Third-Party Recycling Arranger],TR_6RecyclingArranger[[#This Row],[Name of Third-Party Recycling Arranger]])&gt;1,1,0)</f>
        <v>0</v>
      </c>
      <c r="M351" s="79">
        <f>IF(TR_6RecyclingArranger[[#This Row],[ID_EC]]="",0,IFERROR(0*MATCH(TR_6RecyclingArranger[[#This Row],[ID_EC]],TR_5ExemptionClaim[Lookup: for arranger tab],0),1))</f>
        <v>0</v>
      </c>
      <c r="N351" s="79">
        <f>IF(TR_6RecyclingArranger[[#This Row],[ID_EC]]="",0,IF(COUNTA(TR_6RecyclingArranger[[#This Row],[Name of Third-Party Recycling Arranger]],TR_6RecyclingArranger[[#This Row],[Pounds of Producer''s Material Recycled by this Recycling Arranger]:[Recycling Arranger Contact Email]])=7,0,1))</f>
        <v>0</v>
      </c>
      <c r="O351" s="79">
        <f>IF(TR_6RecyclingArranger[[#This Row],[ID_EC]]&lt;&gt;"",0,IF(COUNTA(TR_6RecyclingArranger[[#This Row],[Name of Third-Party Recycling Arranger]],TR_6RecyclingArranger[[#This Row],[Pounds of Producer''s Material Recycled by this Recycling Arranger]:[Recycling Arranger Contact Email]])&gt;0,1,0))</f>
        <v>0</v>
      </c>
      <c r="P351" s="79">
        <f>IF(TR_6RecyclingArranger[[#This Row],[Lookup: pounds (this table)]]&gt;TR_6RecyclingArranger[[#This Row],[Lookup: pounds (5B tab)]],1,0)</f>
        <v>0</v>
      </c>
      <c r="Q351" s="78">
        <f>SUMIFS(TR_6RecyclingArranger[Pounds of Producer''s Material Recycled by this Recycling Arranger],TR_6RecyclingArranger[ID_EC],TR_6RecyclingArranger[[#This Row],[ID_EC]])</f>
        <v>0</v>
      </c>
      <c r="R351" s="78">
        <f>IFERROR(INDEX(TR_5ExemptionClaim[How many of the pounds recycled through this pathway were supplied by this producer?],MATCH(TR_6RecyclingArranger[[#This Row],[ID_EC]],TR_5ExemptionClaim[ID_EC],0)),0)</f>
        <v>0</v>
      </c>
      <c r="S351" s="81" t="str">
        <f t="shared" si="5"/>
        <v/>
      </c>
      <c r="T351" s="40"/>
      <c r="U351" s="58"/>
    </row>
    <row r="352" spans="1:21" ht="30.75" customHeight="1" x14ac:dyDescent="0.2">
      <c r="A352" s="82" t="s">
        <v>736</v>
      </c>
      <c r="B352" s="46"/>
      <c r="C352" s="113"/>
      <c r="D352" s="215" t="str">
        <f>IF(TR_6RecyclingArranger[[#This Row],[ID_EC]]="","",INDEX(TR_5ExemptionClaim[End Market Name],MATCH(TR_6RecyclingArranger[[#This Row],[ID_EC]],TR_5ExemptionClaim[ID_EC],0)))</f>
        <v/>
      </c>
      <c r="E352" s="215" t="str">
        <f>IF(TR_6RecyclingArranger[[#This Row],[ID_EC]]="","",INDEX(TR_5ExemptionClaim[Collection or Transportation Service Provider Name],MATCH(TR_6RecyclingArranger[[#This Row],[ID_EC]],TR_5ExemptionClaim[ID_EC],0)))</f>
        <v/>
      </c>
      <c r="F352" s="215" t="str">
        <f>IF(TR_6RecyclingArranger[[#This Row],[ID_EC]]="","",IF(INDEX(TR_5ExemptionClaim[CRPF name],MATCH(TR_6RecyclingArranger[[#This Row],[ID_EC]],TR_5ExemptionClaim[ID_EC],0))=0,"None",INDEX(TR_5ExemptionClaim[CRPF name],MATCH(TR_6RecyclingArranger[[#This Row],[ID_EC]],TR_5ExemptionClaim[ID_EC],0))))</f>
        <v/>
      </c>
      <c r="G352" s="45"/>
      <c r="H352" s="108"/>
      <c r="I352" s="47"/>
      <c r="J352" s="48"/>
      <c r="K352" s="47"/>
      <c r="L352" s="79">
        <f>IF(COUNTIFS(TR_6RecyclingArranger[ID_EC],TR_6RecyclingArranger[[#This Row],[ID_EC]],TR_6RecyclingArranger[Name of Third-Party Recycling Arranger],TR_6RecyclingArranger[[#This Row],[Name of Third-Party Recycling Arranger]])&gt;1,1,0)</f>
        <v>0</v>
      </c>
      <c r="M352" s="79">
        <f>IF(TR_6RecyclingArranger[[#This Row],[ID_EC]]="",0,IFERROR(0*MATCH(TR_6RecyclingArranger[[#This Row],[ID_EC]],TR_5ExemptionClaim[Lookup: for arranger tab],0),1))</f>
        <v>0</v>
      </c>
      <c r="N352" s="79">
        <f>IF(TR_6RecyclingArranger[[#This Row],[ID_EC]]="",0,IF(COUNTA(TR_6RecyclingArranger[[#This Row],[Name of Third-Party Recycling Arranger]],TR_6RecyclingArranger[[#This Row],[Pounds of Producer''s Material Recycled by this Recycling Arranger]:[Recycling Arranger Contact Email]])=7,0,1))</f>
        <v>0</v>
      </c>
      <c r="O352" s="79">
        <f>IF(TR_6RecyclingArranger[[#This Row],[ID_EC]]&lt;&gt;"",0,IF(COUNTA(TR_6RecyclingArranger[[#This Row],[Name of Third-Party Recycling Arranger]],TR_6RecyclingArranger[[#This Row],[Pounds of Producer''s Material Recycled by this Recycling Arranger]:[Recycling Arranger Contact Email]])&gt;0,1,0))</f>
        <v>0</v>
      </c>
      <c r="P352" s="79">
        <f>IF(TR_6RecyclingArranger[[#This Row],[Lookup: pounds (this table)]]&gt;TR_6RecyclingArranger[[#This Row],[Lookup: pounds (5B tab)]],1,0)</f>
        <v>0</v>
      </c>
      <c r="Q352" s="78">
        <f>SUMIFS(TR_6RecyclingArranger[Pounds of Producer''s Material Recycled by this Recycling Arranger],TR_6RecyclingArranger[ID_EC],TR_6RecyclingArranger[[#This Row],[ID_EC]])</f>
        <v>0</v>
      </c>
      <c r="R352" s="78">
        <f>IFERROR(INDEX(TR_5ExemptionClaim[How many of the pounds recycled through this pathway were supplied by this producer?],MATCH(TR_6RecyclingArranger[[#This Row],[ID_EC]],TR_5ExemptionClaim[ID_EC],0)),0)</f>
        <v>0</v>
      </c>
      <c r="S352" s="81" t="str">
        <f t="shared" si="5"/>
        <v/>
      </c>
      <c r="T352" s="40"/>
      <c r="U352" s="58"/>
    </row>
    <row r="353" spans="1:21" ht="30.75" customHeight="1" x14ac:dyDescent="0.2">
      <c r="A353" s="82" t="s">
        <v>737</v>
      </c>
      <c r="B353" s="46"/>
      <c r="C353" s="113"/>
      <c r="D353" s="215" t="str">
        <f>IF(TR_6RecyclingArranger[[#This Row],[ID_EC]]="","",INDEX(TR_5ExemptionClaim[End Market Name],MATCH(TR_6RecyclingArranger[[#This Row],[ID_EC]],TR_5ExemptionClaim[ID_EC],0)))</f>
        <v/>
      </c>
      <c r="E353" s="215" t="str">
        <f>IF(TR_6RecyclingArranger[[#This Row],[ID_EC]]="","",INDEX(TR_5ExemptionClaim[Collection or Transportation Service Provider Name],MATCH(TR_6RecyclingArranger[[#This Row],[ID_EC]],TR_5ExemptionClaim[ID_EC],0)))</f>
        <v/>
      </c>
      <c r="F353" s="215" t="str">
        <f>IF(TR_6RecyclingArranger[[#This Row],[ID_EC]]="","",IF(INDEX(TR_5ExemptionClaim[CRPF name],MATCH(TR_6RecyclingArranger[[#This Row],[ID_EC]],TR_5ExemptionClaim[ID_EC],0))=0,"None",INDEX(TR_5ExemptionClaim[CRPF name],MATCH(TR_6RecyclingArranger[[#This Row],[ID_EC]],TR_5ExemptionClaim[ID_EC],0))))</f>
        <v/>
      </c>
      <c r="G353" s="45"/>
      <c r="H353" s="108"/>
      <c r="I353" s="47"/>
      <c r="J353" s="48"/>
      <c r="K353" s="47"/>
      <c r="L353" s="79">
        <f>IF(COUNTIFS(TR_6RecyclingArranger[ID_EC],TR_6RecyclingArranger[[#This Row],[ID_EC]],TR_6RecyclingArranger[Name of Third-Party Recycling Arranger],TR_6RecyclingArranger[[#This Row],[Name of Third-Party Recycling Arranger]])&gt;1,1,0)</f>
        <v>0</v>
      </c>
      <c r="M353" s="79">
        <f>IF(TR_6RecyclingArranger[[#This Row],[ID_EC]]="",0,IFERROR(0*MATCH(TR_6RecyclingArranger[[#This Row],[ID_EC]],TR_5ExemptionClaim[Lookup: for arranger tab],0),1))</f>
        <v>0</v>
      </c>
      <c r="N353" s="79">
        <f>IF(TR_6RecyclingArranger[[#This Row],[ID_EC]]="",0,IF(COUNTA(TR_6RecyclingArranger[[#This Row],[Name of Third-Party Recycling Arranger]],TR_6RecyclingArranger[[#This Row],[Pounds of Producer''s Material Recycled by this Recycling Arranger]:[Recycling Arranger Contact Email]])=7,0,1))</f>
        <v>0</v>
      </c>
      <c r="O353" s="79">
        <f>IF(TR_6RecyclingArranger[[#This Row],[ID_EC]]&lt;&gt;"",0,IF(COUNTA(TR_6RecyclingArranger[[#This Row],[Name of Third-Party Recycling Arranger]],TR_6RecyclingArranger[[#This Row],[Pounds of Producer''s Material Recycled by this Recycling Arranger]:[Recycling Arranger Contact Email]])&gt;0,1,0))</f>
        <v>0</v>
      </c>
      <c r="P353" s="79">
        <f>IF(TR_6RecyclingArranger[[#This Row],[Lookup: pounds (this table)]]&gt;TR_6RecyclingArranger[[#This Row],[Lookup: pounds (5B tab)]],1,0)</f>
        <v>0</v>
      </c>
      <c r="Q353" s="78">
        <f>SUMIFS(TR_6RecyclingArranger[Pounds of Producer''s Material Recycled by this Recycling Arranger],TR_6RecyclingArranger[ID_EC],TR_6RecyclingArranger[[#This Row],[ID_EC]])</f>
        <v>0</v>
      </c>
      <c r="R353" s="78">
        <f>IFERROR(INDEX(TR_5ExemptionClaim[How many of the pounds recycled through this pathway were supplied by this producer?],MATCH(TR_6RecyclingArranger[[#This Row],[ID_EC]],TR_5ExemptionClaim[ID_EC],0)),0)</f>
        <v>0</v>
      </c>
      <c r="S353" s="81" t="str">
        <f t="shared" si="5"/>
        <v/>
      </c>
      <c r="T353" s="40"/>
      <c r="U353" s="58"/>
    </row>
    <row r="354" spans="1:21" ht="30.75" customHeight="1" x14ac:dyDescent="0.2">
      <c r="A354" s="82" t="s">
        <v>738</v>
      </c>
      <c r="B354" s="46"/>
      <c r="C354" s="113"/>
      <c r="D354" s="215" t="str">
        <f>IF(TR_6RecyclingArranger[[#This Row],[ID_EC]]="","",INDEX(TR_5ExemptionClaim[End Market Name],MATCH(TR_6RecyclingArranger[[#This Row],[ID_EC]],TR_5ExemptionClaim[ID_EC],0)))</f>
        <v/>
      </c>
      <c r="E354" s="215" t="str">
        <f>IF(TR_6RecyclingArranger[[#This Row],[ID_EC]]="","",INDEX(TR_5ExemptionClaim[Collection or Transportation Service Provider Name],MATCH(TR_6RecyclingArranger[[#This Row],[ID_EC]],TR_5ExemptionClaim[ID_EC],0)))</f>
        <v/>
      </c>
      <c r="F354" s="215" t="str">
        <f>IF(TR_6RecyclingArranger[[#This Row],[ID_EC]]="","",IF(INDEX(TR_5ExemptionClaim[CRPF name],MATCH(TR_6RecyclingArranger[[#This Row],[ID_EC]],TR_5ExemptionClaim[ID_EC],0))=0,"None",INDEX(TR_5ExemptionClaim[CRPF name],MATCH(TR_6RecyclingArranger[[#This Row],[ID_EC]],TR_5ExemptionClaim[ID_EC],0))))</f>
        <v/>
      </c>
      <c r="G354" s="45"/>
      <c r="H354" s="108"/>
      <c r="I354" s="47"/>
      <c r="J354" s="48"/>
      <c r="K354" s="47"/>
      <c r="L354" s="79">
        <f>IF(COUNTIFS(TR_6RecyclingArranger[ID_EC],TR_6RecyclingArranger[[#This Row],[ID_EC]],TR_6RecyclingArranger[Name of Third-Party Recycling Arranger],TR_6RecyclingArranger[[#This Row],[Name of Third-Party Recycling Arranger]])&gt;1,1,0)</f>
        <v>0</v>
      </c>
      <c r="M354" s="79">
        <f>IF(TR_6RecyclingArranger[[#This Row],[ID_EC]]="",0,IFERROR(0*MATCH(TR_6RecyclingArranger[[#This Row],[ID_EC]],TR_5ExemptionClaim[Lookup: for arranger tab],0),1))</f>
        <v>0</v>
      </c>
      <c r="N354" s="79">
        <f>IF(TR_6RecyclingArranger[[#This Row],[ID_EC]]="",0,IF(COUNTA(TR_6RecyclingArranger[[#This Row],[Name of Third-Party Recycling Arranger]],TR_6RecyclingArranger[[#This Row],[Pounds of Producer''s Material Recycled by this Recycling Arranger]:[Recycling Arranger Contact Email]])=7,0,1))</f>
        <v>0</v>
      </c>
      <c r="O354" s="79">
        <f>IF(TR_6RecyclingArranger[[#This Row],[ID_EC]]&lt;&gt;"",0,IF(COUNTA(TR_6RecyclingArranger[[#This Row],[Name of Third-Party Recycling Arranger]],TR_6RecyclingArranger[[#This Row],[Pounds of Producer''s Material Recycled by this Recycling Arranger]:[Recycling Arranger Contact Email]])&gt;0,1,0))</f>
        <v>0</v>
      </c>
      <c r="P354" s="79">
        <f>IF(TR_6RecyclingArranger[[#This Row],[Lookup: pounds (this table)]]&gt;TR_6RecyclingArranger[[#This Row],[Lookup: pounds (5B tab)]],1,0)</f>
        <v>0</v>
      </c>
      <c r="Q354" s="78">
        <f>SUMIFS(TR_6RecyclingArranger[Pounds of Producer''s Material Recycled by this Recycling Arranger],TR_6RecyclingArranger[ID_EC],TR_6RecyclingArranger[[#This Row],[ID_EC]])</f>
        <v>0</v>
      </c>
      <c r="R354" s="78">
        <f>IFERROR(INDEX(TR_5ExemptionClaim[How many of the pounds recycled through this pathway were supplied by this producer?],MATCH(TR_6RecyclingArranger[[#This Row],[ID_EC]],TR_5ExemptionClaim[ID_EC],0)),0)</f>
        <v>0</v>
      </c>
      <c r="S354" s="81" t="str">
        <f t="shared" si="5"/>
        <v/>
      </c>
      <c r="T354" s="40"/>
      <c r="U354" s="58"/>
    </row>
    <row r="355" spans="1:21" ht="30.75" customHeight="1" x14ac:dyDescent="0.2">
      <c r="A355" s="82" t="s">
        <v>739</v>
      </c>
      <c r="B355" s="46"/>
      <c r="C355" s="113"/>
      <c r="D355" s="215" t="str">
        <f>IF(TR_6RecyclingArranger[[#This Row],[ID_EC]]="","",INDEX(TR_5ExemptionClaim[End Market Name],MATCH(TR_6RecyclingArranger[[#This Row],[ID_EC]],TR_5ExemptionClaim[ID_EC],0)))</f>
        <v/>
      </c>
      <c r="E355" s="215" t="str">
        <f>IF(TR_6RecyclingArranger[[#This Row],[ID_EC]]="","",INDEX(TR_5ExemptionClaim[Collection or Transportation Service Provider Name],MATCH(TR_6RecyclingArranger[[#This Row],[ID_EC]],TR_5ExemptionClaim[ID_EC],0)))</f>
        <v/>
      </c>
      <c r="F355" s="215" t="str">
        <f>IF(TR_6RecyclingArranger[[#This Row],[ID_EC]]="","",IF(INDEX(TR_5ExemptionClaim[CRPF name],MATCH(TR_6RecyclingArranger[[#This Row],[ID_EC]],TR_5ExemptionClaim[ID_EC],0))=0,"None",INDEX(TR_5ExemptionClaim[CRPF name],MATCH(TR_6RecyclingArranger[[#This Row],[ID_EC]],TR_5ExemptionClaim[ID_EC],0))))</f>
        <v/>
      </c>
      <c r="G355" s="45"/>
      <c r="H355" s="108"/>
      <c r="I355" s="47"/>
      <c r="J355" s="48"/>
      <c r="K355" s="47"/>
      <c r="L355" s="79">
        <f>IF(COUNTIFS(TR_6RecyclingArranger[ID_EC],TR_6RecyclingArranger[[#This Row],[ID_EC]],TR_6RecyclingArranger[Name of Third-Party Recycling Arranger],TR_6RecyclingArranger[[#This Row],[Name of Third-Party Recycling Arranger]])&gt;1,1,0)</f>
        <v>0</v>
      </c>
      <c r="M355" s="79">
        <f>IF(TR_6RecyclingArranger[[#This Row],[ID_EC]]="",0,IFERROR(0*MATCH(TR_6RecyclingArranger[[#This Row],[ID_EC]],TR_5ExemptionClaim[Lookup: for arranger tab],0),1))</f>
        <v>0</v>
      </c>
      <c r="N355" s="79">
        <f>IF(TR_6RecyclingArranger[[#This Row],[ID_EC]]="",0,IF(COUNTA(TR_6RecyclingArranger[[#This Row],[Name of Third-Party Recycling Arranger]],TR_6RecyclingArranger[[#This Row],[Pounds of Producer''s Material Recycled by this Recycling Arranger]:[Recycling Arranger Contact Email]])=7,0,1))</f>
        <v>0</v>
      </c>
      <c r="O355" s="79">
        <f>IF(TR_6RecyclingArranger[[#This Row],[ID_EC]]&lt;&gt;"",0,IF(COUNTA(TR_6RecyclingArranger[[#This Row],[Name of Third-Party Recycling Arranger]],TR_6RecyclingArranger[[#This Row],[Pounds of Producer''s Material Recycled by this Recycling Arranger]:[Recycling Arranger Contact Email]])&gt;0,1,0))</f>
        <v>0</v>
      </c>
      <c r="P355" s="79">
        <f>IF(TR_6RecyclingArranger[[#This Row],[Lookup: pounds (this table)]]&gt;TR_6RecyclingArranger[[#This Row],[Lookup: pounds (5B tab)]],1,0)</f>
        <v>0</v>
      </c>
      <c r="Q355" s="78">
        <f>SUMIFS(TR_6RecyclingArranger[Pounds of Producer''s Material Recycled by this Recycling Arranger],TR_6RecyclingArranger[ID_EC],TR_6RecyclingArranger[[#This Row],[ID_EC]])</f>
        <v>0</v>
      </c>
      <c r="R355" s="78">
        <f>IFERROR(INDEX(TR_5ExemptionClaim[How many of the pounds recycled through this pathway were supplied by this producer?],MATCH(TR_6RecyclingArranger[[#This Row],[ID_EC]],TR_5ExemptionClaim[ID_EC],0)),0)</f>
        <v>0</v>
      </c>
      <c r="S355" s="81" t="str">
        <f t="shared" si="5"/>
        <v/>
      </c>
      <c r="T355" s="40"/>
      <c r="U355" s="58"/>
    </row>
    <row r="356" spans="1:21" x14ac:dyDescent="0.2"/>
  </sheetData>
  <sheetProtection algorithmName="SHA-512" hashValue="0NONG2tPkhfcXuEitGl9/ISGvvIu4C/PcxIGIHy2XMo5/YMdqPpwtYnAj9tSLqygeOsZ1ZXgv3o1c1NBc5BsBw==" saltValue="Sd1KLRvFsdgQQbpv05BgQQ==" spinCount="100000" sheet="1" objects="1" scenarios="1" autoFilter="0"/>
  <conditionalFormatting sqref="A6:A355">
    <cfRule type="expression" dxfId="10" priority="2">
      <formula>$L6=1</formula>
    </cfRule>
  </conditionalFormatting>
  <conditionalFormatting sqref="B6:B355">
    <cfRule type="expression" dxfId="9" priority="1">
      <formula>$M6=1</formula>
    </cfRule>
  </conditionalFormatting>
  <conditionalFormatting sqref="B6:C355">
    <cfRule type="expression" dxfId="8" priority="5">
      <formula>$L6=1</formula>
    </cfRule>
  </conditionalFormatting>
  <conditionalFormatting sqref="C6:C355 G6:K355">
    <cfRule type="expression" dxfId="7" priority="53">
      <formula>AND($O6=1,C6&lt;&gt;"")</formula>
    </cfRule>
    <cfRule type="expression" dxfId="6" priority="54">
      <formula>$B6&lt;&gt;""</formula>
    </cfRule>
  </conditionalFormatting>
  <conditionalFormatting sqref="G6:G355">
    <cfRule type="expression" dxfId="5" priority="50">
      <formula>$P6=1</formula>
    </cfRule>
  </conditionalFormatting>
  <dataValidations count="3">
    <dataValidation type="list" allowBlank="1" showInputMessage="1" showErrorMessage="1" sqref="B6:B355" xr:uid="{7022CEA0-45C1-4D61-B760-FDD4D30D44B7}">
      <formula1>DR_ID_R_Discarder</formula1>
    </dataValidation>
    <dataValidation type="custom" allowBlank="1" showInputMessage="1" showErrorMessage="1" error="Please enter a number that is greater than zero and uses no more than two decimal places." sqref="G6:G355" xr:uid="{4A54561D-F6FA-4E39-87F4-CBD49688C8D4}">
      <formula1>AND(G6=ROUND(G6,2),G6&gt;0)</formula1>
    </dataValidation>
    <dataValidation type="custom" allowBlank="1" showInputMessage="1" showErrorMessage="1" error="Please enter a number that is greater than zero and uses no more than two decimal places." sqref="U6:U355" xr:uid="{6AD84EB4-4869-462E-A436-BF97114D2D73}">
      <formula1>AND(U6=ROUND(U6,2),U6&gt;=0)</formula1>
    </dataValidation>
  </dataValidations>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FC72-EB66-4862-B3E4-6950CB445280}">
  <sheetPr>
    <tabColor theme="3"/>
  </sheetPr>
  <dimension ref="A1:F94"/>
  <sheetViews>
    <sheetView showGridLines="0" zoomScaleNormal="100" workbookViewId="0"/>
  </sheetViews>
  <sheetFormatPr defaultColWidth="0" defaultRowHeight="14.25" zeroHeight="1" outlineLevelCol="1" x14ac:dyDescent="0.2"/>
  <cols>
    <col min="1" max="1" width="9.25" style="173" customWidth="1"/>
    <col min="2" max="2" width="120.75" style="172" customWidth="1"/>
    <col min="3" max="3" width="17.875" style="172" customWidth="1"/>
    <col min="4" max="4" width="17.5" style="172" customWidth="1"/>
    <col min="5" max="5" width="24.625" style="172" hidden="1" customWidth="1" outlineLevel="1"/>
    <col min="6" max="6" width="9" style="172" customWidth="1" collapsed="1"/>
    <col min="7" max="16384" width="8" style="172" hidden="1"/>
  </cols>
  <sheetData>
    <row r="1" spans="1:6" ht="24" thickBot="1" x14ac:dyDescent="0.25">
      <c r="A1" s="196" t="s">
        <v>1212</v>
      </c>
      <c r="B1" s="197"/>
      <c r="C1" s="171"/>
      <c r="D1" s="171"/>
      <c r="E1" s="171"/>
      <c r="F1" s="171"/>
    </row>
    <row r="2" spans="1:6" ht="15" thickTop="1" x14ac:dyDescent="0.2"/>
    <row r="3" spans="1:6" ht="20.25" thickBot="1" x14ac:dyDescent="0.25">
      <c r="A3" s="198" t="s">
        <v>849</v>
      </c>
      <c r="B3" s="199"/>
      <c r="C3" s="200"/>
      <c r="D3" s="200"/>
      <c r="E3" s="200"/>
      <c r="F3" s="200"/>
    </row>
    <row r="4" spans="1:6" ht="29.25" thickTop="1" x14ac:dyDescent="0.2">
      <c r="A4" s="67" t="s">
        <v>1127</v>
      </c>
      <c r="B4" s="179" t="s">
        <v>1240</v>
      </c>
    </row>
    <row r="5" spans="1:6" x14ac:dyDescent="0.2">
      <c r="A5" s="67" t="s">
        <v>1126</v>
      </c>
      <c r="B5" s="167" t="s">
        <v>1122</v>
      </c>
    </row>
    <row r="6" spans="1:6" ht="28.5" x14ac:dyDescent="0.2">
      <c r="A6" s="67" t="s">
        <v>1179</v>
      </c>
      <c r="B6" s="180" t="s">
        <v>850</v>
      </c>
    </row>
    <row r="7" spans="1:6" ht="28.5" x14ac:dyDescent="0.2">
      <c r="A7" s="67" t="s">
        <v>1129</v>
      </c>
      <c r="B7" s="178" t="s">
        <v>1226</v>
      </c>
    </row>
    <row r="8" spans="1:6" ht="28.5" x14ac:dyDescent="0.2">
      <c r="A8" s="67" t="s">
        <v>1196</v>
      </c>
      <c r="B8" s="178" t="s">
        <v>1191</v>
      </c>
    </row>
    <row r="9" spans="1:6" x14ac:dyDescent="0.2">
      <c r="A9" s="67" t="s">
        <v>1128</v>
      </c>
      <c r="B9" s="181" t="s">
        <v>1176</v>
      </c>
      <c r="C9" s="174"/>
    </row>
    <row r="10" spans="1:6" x14ac:dyDescent="0.2">
      <c r="A10" s="67" t="s">
        <v>1178</v>
      </c>
      <c r="B10" s="128" t="s">
        <v>1175</v>
      </c>
      <c r="C10" s="174"/>
    </row>
    <row r="11" spans="1:6" ht="28.5" x14ac:dyDescent="0.2">
      <c r="A11" s="67" t="s">
        <v>1180</v>
      </c>
      <c r="B11" s="128" t="s">
        <v>1177</v>
      </c>
      <c r="C11" s="174"/>
    </row>
    <row r="12" spans="1:6" ht="57" x14ac:dyDescent="0.2">
      <c r="A12" s="67" t="s">
        <v>1197</v>
      </c>
      <c r="B12" s="128" t="s">
        <v>1195</v>
      </c>
      <c r="C12" s="174"/>
    </row>
    <row r="13" spans="1:6" ht="28.5" x14ac:dyDescent="0.2">
      <c r="A13" s="67" t="s">
        <v>1198</v>
      </c>
      <c r="B13" s="128" t="s">
        <v>1227</v>
      </c>
      <c r="C13" s="174"/>
    </row>
    <row r="14" spans="1:6" ht="42.75" x14ac:dyDescent="0.2">
      <c r="A14" s="67"/>
      <c r="B14" s="128" t="s">
        <v>1225</v>
      </c>
    </row>
    <row r="15" spans="1:6" x14ac:dyDescent="0.2">
      <c r="A15" s="201"/>
      <c r="B15" s="201"/>
    </row>
    <row r="16" spans="1:6" ht="20.25" thickBot="1" x14ac:dyDescent="0.25">
      <c r="A16" s="198" t="s">
        <v>851</v>
      </c>
      <c r="B16" s="200"/>
      <c r="C16" s="200"/>
      <c r="D16" s="200"/>
      <c r="E16" s="200"/>
      <c r="F16" s="200"/>
    </row>
    <row r="17" spans="1:6" ht="15" thickTop="1" x14ac:dyDescent="0.2"/>
    <row r="18" spans="1:6" ht="17.25" thickBot="1" x14ac:dyDescent="0.25">
      <c r="A18" s="202" t="s">
        <v>852</v>
      </c>
      <c r="B18" s="203" t="s">
        <v>853</v>
      </c>
      <c r="C18" s="203"/>
      <c r="D18" s="203"/>
      <c r="E18" s="203"/>
      <c r="F18" s="203"/>
    </row>
    <row r="19" spans="1:6" ht="15" thickTop="1" x14ac:dyDescent="0.2">
      <c r="A19" s="204">
        <f>'1A Producer'!B15</f>
        <v>10</v>
      </c>
      <c r="B19" s="7" t="str">
        <f>'1A Producer'!C15</f>
        <v>Rows in the 1B Producer tab are missing required information. Fill out all rows in this table.</v>
      </c>
    </row>
    <row r="20" spans="1:6" x14ac:dyDescent="0.2"/>
    <row r="21" spans="1:6" ht="17.25" thickBot="1" x14ac:dyDescent="0.25">
      <c r="A21" s="202" t="s">
        <v>854</v>
      </c>
      <c r="B21" s="203" t="s">
        <v>855</v>
      </c>
      <c r="C21" s="203"/>
      <c r="D21" s="203"/>
      <c r="E21" s="203"/>
      <c r="F21" s="203"/>
    </row>
    <row r="22" spans="1:6" ht="29.25" thickTop="1" x14ac:dyDescent="0.2">
      <c r="A22" s="205">
        <f>'2A Supply'!B19</f>
        <v>0</v>
      </c>
      <c r="B22" s="206" t="str">
        <f>'2A Supply'!C19</f>
        <v xml:space="preserve">Rows in the 2B Supply tab contain duplicated material reporting categories (field B). Enter each material reporting category in this table only once. </v>
      </c>
    </row>
    <row r="23" spans="1:6" x14ac:dyDescent="0.2">
      <c r="A23" s="207">
        <f>'2A Supply'!B20</f>
        <v>0</v>
      </c>
      <c r="B23" s="128" t="str">
        <f>'2A Supply'!C20</f>
        <v>Rows in the 2B Supply tab are missing required information. Either enter missing inputs or clear these rows.</v>
      </c>
    </row>
    <row r="24" spans="1:6" ht="42.75" x14ac:dyDescent="0.2">
      <c r="A24" s="207">
        <f>'2A Supply'!B21</f>
        <v>0</v>
      </c>
      <c r="B24" s="128" t="str">
        <f>'2A Supply'!C21</f>
        <v>Rows in the 2B Supply tab contain extra inputs in fields C or D. Either add the material reporting category (for errors due to inputs in field C), change the material reporting category to Paper for General Use or Other Printer Material (for errors due to inputs in field D), or delete these inputs.</v>
      </c>
    </row>
    <row r="25" spans="1:6" x14ac:dyDescent="0.2">
      <c r="A25" s="207">
        <f>'2A Supply'!B22</f>
        <v>0</v>
      </c>
      <c r="B25" s="128" t="str">
        <f>'2A Supply'!C22</f>
        <v>Rows in the 2B Supply tab report more pounds in field D than in field C. Pounds in field C cannot exceed those in field D. Adjust inputs.</v>
      </c>
    </row>
    <row r="26" spans="1:6" x14ac:dyDescent="0.2"/>
    <row r="27" spans="1:6" ht="17.25" thickBot="1" x14ac:dyDescent="0.25">
      <c r="A27" s="202" t="s">
        <v>856</v>
      </c>
      <c r="B27" s="203" t="s">
        <v>857</v>
      </c>
      <c r="C27" s="203"/>
      <c r="D27" s="203"/>
      <c r="E27" s="203"/>
      <c r="F27" s="203"/>
    </row>
    <row r="28" spans="1:6" ht="43.5" thickTop="1" x14ac:dyDescent="0.2">
      <c r="A28" s="205">
        <f>'3A Collector'!B28</f>
        <v>0</v>
      </c>
      <c r="B28" s="206" t="str">
        <f>'3A Collector'!C28</f>
        <v>Rows in the 3B Collector tab contain duplicated Collection or Transportation Service Provider Names (field B). Enter each Collection or Transportation Service Provider in this table only once. If a service provider operates under the same name from different locations, include the location in field B.</v>
      </c>
    </row>
    <row r="29" spans="1:6" x14ac:dyDescent="0.2">
      <c r="A29" s="207">
        <f>'3A Collector'!B29</f>
        <v>0</v>
      </c>
      <c r="B29" s="128" t="str">
        <f>'3A Collector'!C29</f>
        <v>Rows in the 3B Collector tab are missing information required to process this claim. Either enter missing inputs or clear these rows.</v>
      </c>
    </row>
    <row r="30" spans="1:6" ht="28.5" x14ac:dyDescent="0.2">
      <c r="A30" s="207">
        <f>'3A Collector'!B30</f>
        <v>0</v>
      </c>
      <c r="B30" s="128" t="str">
        <f>'3A Collector'!C30</f>
        <v>Rows in the 3B Collector tab contain inputs in fields C-H but do not identify the Collection or Transportation Service Provider in field B. Either identify the service provider or delete these inputs.</v>
      </c>
    </row>
    <row r="31" spans="1:6" x14ac:dyDescent="0.2"/>
    <row r="32" spans="1:6" ht="17.25" thickBot="1" x14ac:dyDescent="0.25">
      <c r="A32" s="202" t="s">
        <v>858</v>
      </c>
      <c r="B32" s="203" t="s">
        <v>226</v>
      </c>
      <c r="C32" s="203"/>
      <c r="D32" s="203"/>
      <c r="E32" s="203"/>
      <c r="F32" s="203"/>
    </row>
    <row r="33" spans="1:6" ht="29.25" thickTop="1" x14ac:dyDescent="0.2">
      <c r="A33" s="208">
        <f>'4A End Market'!B29</f>
        <v>0</v>
      </c>
      <c r="B33" s="206" t="str">
        <f>'4A End Market'!C29</f>
        <v>Rows in the 4B End Market tab contain duplicated End Market Names (field C) for the same Material Reporting Category (field B). For each Material Reporting Category, enter each unique End Market Name only once.</v>
      </c>
    </row>
    <row r="34" spans="1:6" ht="28.5" x14ac:dyDescent="0.2">
      <c r="A34" s="209">
        <f>'4A End Market'!B30</f>
        <v>0</v>
      </c>
      <c r="B34" s="128" t="str">
        <f>'4A End Market'!C30</f>
        <v>Rows in the 4B End Market tab contain a material in Material Reporting Category (field B) that was not reported in the 2B Supply tab. Adjust inputs.</v>
      </c>
    </row>
    <row r="35" spans="1:6" ht="42.75" x14ac:dyDescent="0.2">
      <c r="A35" s="209">
        <f>'4A End Market'!B31</f>
        <v>0</v>
      </c>
      <c r="B35" s="128" t="str">
        <f>'4A End Market'!C31</f>
        <v>Rows in the 4B End Market tab contain an End Market Names (field C) that is not known to DEQ for the Material Reporting Category (field B) in this row. Select a different End Market Name (field C). If you consider this end market to be valid for this material reporting category, select "Other End Market (document) and provide the required information in fields D-I.</v>
      </c>
    </row>
    <row r="36" spans="1:6" x14ac:dyDescent="0.2">
      <c r="A36" s="209">
        <f>'4A End Market'!B32</f>
        <v>0</v>
      </c>
      <c r="B36" s="128" t="str">
        <f>'4A End Market'!C32</f>
        <v>Rows in the 4B End Market tab are missing information required to process this claim. Either enter missing inputs or clear these rows.</v>
      </c>
    </row>
    <row r="37" spans="1:6" ht="28.5" x14ac:dyDescent="0.2">
      <c r="A37" s="209">
        <f>'4A End Market'!B33</f>
        <v>0</v>
      </c>
      <c r="B37" s="128" t="str">
        <f>'4A End Market'!C33</f>
        <v>Rows in the 4B End Market tab contain inputs in fields C-I but do not identify the material reporting category in field B. Either identify the material reporting category or delete these inputs.</v>
      </c>
    </row>
    <row r="38" spans="1:6" x14ac:dyDescent="0.2"/>
    <row r="39" spans="1:6" ht="17.25" thickBot="1" x14ac:dyDescent="0.25">
      <c r="A39" s="202" t="s">
        <v>859</v>
      </c>
      <c r="B39" s="203" t="s">
        <v>860</v>
      </c>
      <c r="C39" s="203"/>
      <c r="D39" s="203"/>
      <c r="E39" s="203"/>
      <c r="F39" s="203"/>
    </row>
    <row r="40" spans="1:6" ht="29.25" thickTop="1" x14ac:dyDescent="0.2">
      <c r="A40" s="205">
        <f>'5A Exemption'!B44</f>
        <v>0</v>
      </c>
      <c r="B40" s="206" t="str">
        <f>'5A Exemption'!C44</f>
        <v>Rows in the 5B Exemption tab contain a material in Material Reporting Category (field B) that was not reported in the 2B Supply tab. Adjust inputs.</v>
      </c>
    </row>
    <row r="41" spans="1:6" ht="28.5" x14ac:dyDescent="0.2">
      <c r="A41" s="207">
        <f>'5A Exemption'!B45</f>
        <v>0</v>
      </c>
      <c r="B41" s="128" t="str">
        <f>'5A Exemption'!C45</f>
        <v>Rows in the 5B Exemption tab indicate the materials were collected through a service provided under OTR (field I). Note that materials collection through OTR service are not eligible for exemption.</v>
      </c>
    </row>
    <row r="42" spans="1:6" ht="28.5" x14ac:dyDescent="0.2">
      <c r="A42" s="207">
        <f>'5A Exemption'!B46</f>
        <v>0</v>
      </c>
      <c r="B42" s="128" t="str">
        <f>'5A Exemption'!C46</f>
        <v>Rows in the 5B Exemption table use a collection or transportation service provider (field G) that you deleted or edited the name of in the 3B Collector tab. Reselect an existing service provider in field G.</v>
      </c>
    </row>
    <row r="43" spans="1:6" ht="28.5" x14ac:dyDescent="0.2">
      <c r="A43" s="207">
        <f>'5A Exemption'!B47</f>
        <v>0</v>
      </c>
      <c r="B43" s="128" t="str">
        <f>'5A Exemption'!C47</f>
        <v>Rows in the 5B Exemption tab indicate the material underwent separation at a CRPF (field N). Note that materials that undergo separation at a CRPF are not eligible for exemption.</v>
      </c>
    </row>
    <row r="44" spans="1:6" ht="28.5" x14ac:dyDescent="0.2">
      <c r="A44" s="207">
        <f>'5A Exemption'!B48</f>
        <v>0</v>
      </c>
      <c r="B44" s="128" t="str">
        <f>'5A Exemption'!C48</f>
        <v>Rows in the 5B Exemption tab use an end market (field P) that you deleted or edited the name of in the 4B End Market tab. Reselect an existing end market in field P.</v>
      </c>
    </row>
    <row r="45" spans="1:6" ht="28.5" x14ac:dyDescent="0.2">
      <c r="A45" s="207">
        <f>'5A Exemption'!B49</f>
        <v>0</v>
      </c>
      <c r="B45" s="128" t="str">
        <f>'5A Exemption'!C49</f>
        <v>Rows in the 5B Exemption tab contain an End Market (field P) that is not considered valid for the Material Reporting Category (field B). Select an End Market (field P) for a material that matches field B exactly.</v>
      </c>
    </row>
    <row r="46" spans="1:6" ht="42.75" x14ac:dyDescent="0.2">
      <c r="A46" s="207">
        <f>'5A Exemption'!B50</f>
        <v>0</v>
      </c>
      <c r="B46" s="128" t="str">
        <f>'5A Exemption'!C50</f>
        <v>Rows in the 5B Exemption tab contain duplicated pathways for the same Material Reporting Category (field B). This means that entries in fields B, E, G, I, L, M, N, and P are identical for two or more rows. For each Material Reporting Category, enter each unique recycling pathway only once.</v>
      </c>
    </row>
    <row r="47" spans="1:6" x14ac:dyDescent="0.2">
      <c r="A47" s="207">
        <f>'5A Exemption'!B51</f>
        <v>0</v>
      </c>
      <c r="B47" s="128" t="str">
        <f>'5A Exemption'!C51</f>
        <v>Rows in the 5B Exemption tab are missing information required to process this claim. Either enter missing inputs or clear these rows.</v>
      </c>
    </row>
    <row r="48" spans="1:6" ht="28.5" x14ac:dyDescent="0.2">
      <c r="A48" s="207">
        <f>'5A Exemption'!B52</f>
        <v>0</v>
      </c>
      <c r="B48" s="128" t="str">
        <f>'5A Exemption'!C52</f>
        <v>Rows in the 5B Exemption tab contain inputs in fields C-E, G, I, K-N, or P-Q but do not identify the material reporting category in field B. Either identify the material reporting category or delete these inputs.</v>
      </c>
    </row>
    <row r="49" spans="1:6" ht="28.5" x14ac:dyDescent="0.2">
      <c r="A49" s="207">
        <f>'5A Exemption'!B53</f>
        <v>0</v>
      </c>
      <c r="B49" s="128" t="str">
        <f>'5A Exemption'!C53</f>
        <v>Rows in the 5B Exemption tab report that quantity of recycled material supplied by this producer (field D) through this pathway is larger than the total quantity recycled through the pathway (field C). Adjust inputs.</v>
      </c>
    </row>
    <row r="50" spans="1:6" ht="42.75" x14ac:dyDescent="0.2">
      <c r="A50" s="207">
        <f>'5A Exemption'!B54</f>
        <v>0</v>
      </c>
      <c r="B50" s="128" t="str">
        <f>'5A Exemption'!C54</f>
        <v>Rows in the 5B Exemption tab are for a Material Reporting Category where the cumulative pounds claimed for exemption exceed the pounds of gross supply weight from the 2B Supply tab. Note that recycled pounds supplied by other producers will not count toward this producer's exemption claim.</v>
      </c>
    </row>
    <row r="51" spans="1:6" ht="57" x14ac:dyDescent="0.2">
      <c r="A51" s="207">
        <f>'5A Exemption'!B55</f>
        <v>0</v>
      </c>
      <c r="B51" s="128" t="str">
        <f>'5A Exemption'!C55</f>
        <v>Rows in the 5B Exemption tab contain materials for which a third party arranged the recycling collection that are not fully substantiated in the 6B Arranger tab. This means the cumulative pounds in the 6B Arranger tab sum up to fewer than the pounds claimed in the associated row in the 5B Exemption tab. Note that pounds claimed in 5B Exemption involve a third-party recycling arranger must be fully substantiated in 6B Arranger to be considered eligible for exemption.</v>
      </c>
    </row>
    <row r="52" spans="1:6" x14ac:dyDescent="0.2">
      <c r="A52" s="204"/>
      <c r="B52" s="15"/>
    </row>
    <row r="53" spans="1:6" x14ac:dyDescent="0.2"/>
    <row r="54" spans="1:6" ht="17.25" thickBot="1" x14ac:dyDescent="0.25">
      <c r="A54" s="202" t="s">
        <v>861</v>
      </c>
      <c r="B54" s="203" t="s">
        <v>862</v>
      </c>
      <c r="C54" s="203"/>
      <c r="D54" s="203"/>
      <c r="E54" s="203"/>
      <c r="F54" s="203"/>
    </row>
    <row r="55" spans="1:6" ht="29.25" thickTop="1" x14ac:dyDescent="0.2">
      <c r="A55" s="205">
        <f>'6A Arranger'!B26</f>
        <v>0</v>
      </c>
      <c r="B55" s="206" t="str">
        <f>'6A Arranger'!C26</f>
        <v>Rows in the 6B Arranger tab contain duplicated Third-Party Arranger Names (field C) for the same Exemption Claim ID (field B, or ID_EC) on the 5B Exemption tab. For each Exemption Claim (ID_EC), enter each unique Third Party Recycling Arranger only.</v>
      </c>
    </row>
    <row r="56" spans="1:6" x14ac:dyDescent="0.2">
      <c r="A56" s="207">
        <f>'6A Arranger'!B27</f>
        <v>0</v>
      </c>
      <c r="B56" s="128" t="str">
        <f>'6A Arranger'!C27</f>
        <v>Rows in the 6B Arranger tab are missing information required to process this claim. Either enter missing inputs or clear these rows.</v>
      </c>
    </row>
    <row r="57" spans="1:6" ht="28.5" x14ac:dyDescent="0.2">
      <c r="A57" s="207">
        <f>'6A Arranger'!B28</f>
        <v>0</v>
      </c>
      <c r="B57" s="128" t="str">
        <f>'6A Arranger'!C28</f>
        <v>Rows in the 6B Arranger tab contain inputs in fields C or G-L but (in field B, ID_EC) do not identify the associated Exemption Claim ID (ID_EC) from the 5B Exemption tab. Either select the associated ID_EC from the dropdown list or delete these inputs.</v>
      </c>
    </row>
    <row r="58" spans="1:6" ht="28.5" x14ac:dyDescent="0.2">
      <c r="A58" s="207">
        <f>'6A Arranger'!B29</f>
        <v>0</v>
      </c>
      <c r="B58" s="128" t="str">
        <f>'6A Arranger'!C29</f>
        <v>Rows in the 5B Exemption tab contain a material in Material Reporting Category (field B) that was not reported in the 2B Supply tab. Adjust inputs.</v>
      </c>
    </row>
    <row r="59" spans="1:6" ht="42.75" x14ac:dyDescent="0.2">
      <c r="A59" s="207">
        <f>'6A Arranger'!B30</f>
        <v>0</v>
      </c>
      <c r="B59" s="128" t="str">
        <f>'6A Arranger'!C30</f>
        <v>Rows in the 6B Arranger tab are not substantiated in the 5B Exemption tab. This means the cumulative pounds in the 6B Arranger tab table sum up to more than the pounds claimed in the associated row in the 5B Exemption tab. Only that pounds that are substantiated as meeting eligibility criteria in 5B Exemption tab may be considered eligible for exemption. Adjust inputs.</v>
      </c>
    </row>
    <row r="60" spans="1:6" x14ac:dyDescent="0.2"/>
    <row r="61" spans="1:6" x14ac:dyDescent="0.2">
      <c r="A61" s="201"/>
      <c r="B61" s="210"/>
    </row>
    <row r="62" spans="1:6" ht="20.25" thickBot="1" x14ac:dyDescent="0.25">
      <c r="A62" s="18" t="s">
        <v>1224</v>
      </c>
      <c r="B62" s="13"/>
      <c r="C62" s="13"/>
      <c r="D62" s="13"/>
      <c r="E62" s="13"/>
      <c r="F62" s="13"/>
    </row>
    <row r="63" spans="1:6" ht="15" thickTop="1" x14ac:dyDescent="0.2">
      <c r="A63" s="32" t="s">
        <v>1102</v>
      </c>
      <c r="B63" s="211" t="s">
        <v>1181</v>
      </c>
    </row>
    <row r="64" spans="1:6" ht="28.5" x14ac:dyDescent="0.2">
      <c r="A64" s="32" t="s">
        <v>838</v>
      </c>
      <c r="B64" s="180" t="s">
        <v>1106</v>
      </c>
    </row>
    <row r="65" spans="1:5" ht="42.75" x14ac:dyDescent="0.2">
      <c r="A65" s="32" t="s">
        <v>1105</v>
      </c>
      <c r="B65" s="180" t="s">
        <v>1182</v>
      </c>
    </row>
    <row r="66" spans="1:5" x14ac:dyDescent="0.2">
      <c r="A66" s="201"/>
      <c r="B66" s="174"/>
    </row>
    <row r="67" spans="1:5" ht="28.5" x14ac:dyDescent="0.2">
      <c r="A67" s="60" t="s">
        <v>124</v>
      </c>
      <c r="B67" s="59" t="s">
        <v>1099</v>
      </c>
      <c r="C67" s="96" t="s">
        <v>1099</v>
      </c>
      <c r="D67" s="96" t="s">
        <v>1275</v>
      </c>
      <c r="E67" s="59" t="s">
        <v>1108</v>
      </c>
    </row>
    <row r="68" spans="1:5" ht="30" x14ac:dyDescent="0.2">
      <c r="A68" s="174" t="s">
        <v>264</v>
      </c>
      <c r="B68" s="210" t="s">
        <v>105</v>
      </c>
      <c r="C68" s="210" t="s">
        <v>1103</v>
      </c>
      <c r="D68" s="168" t="s">
        <v>1104</v>
      </c>
      <c r="E68" s="210" t="s">
        <v>1107</v>
      </c>
    </row>
    <row r="69" spans="1:5" ht="15" x14ac:dyDescent="0.2">
      <c r="A69" s="212" t="s">
        <v>265</v>
      </c>
      <c r="B69" s="213" t="str">
        <f>IF(INDEX(TR_2SuppliedPounds[Material Reporting Category],MATCH(TS_ClaimSummary[[#This Row],[ID_MS]],TR_2SuppliedPounds[ID_MS],0))=0,"",INDEX(TR_2SuppliedPounds[Material Reporting Category],MATCH(TS_ClaimSummary[[#This Row],[ID_MS]],TR_2SuppliedPounds[ID_MS],0)))</f>
        <v/>
      </c>
      <c r="C69" s="217" t="str">
        <f>INDEX(TR_2SuppliedPounds[Supply Pounds To Use],MATCH(TS_ClaimSummary[[#This Row],[ID_MS]],TR_2SuppliedPounds[ID_MS],0))</f>
        <v/>
      </c>
      <c r="D69"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69" s="217">
        <f>SUMIFS(TR_5ExemptionClaim[DEQ 5B Eligible Pounds],TR_5ExemptionClaim[Material Reporting Category (Exemption Claim)],TS_ClaimSummary[[#This Row],[Material Reporting Category]])</f>
        <v>0</v>
      </c>
    </row>
    <row r="70" spans="1:5" ht="15" x14ac:dyDescent="0.2">
      <c r="A70" s="212" t="s">
        <v>266</v>
      </c>
      <c r="B70" s="213" t="str">
        <f>IF(INDEX(TR_2SuppliedPounds[Material Reporting Category],MATCH(TS_ClaimSummary[[#This Row],[ID_MS]],TR_2SuppliedPounds[ID_MS],0))=0,"",INDEX(TR_2SuppliedPounds[Material Reporting Category],MATCH(TS_ClaimSummary[[#This Row],[ID_MS]],TR_2SuppliedPounds[ID_MS],0)))</f>
        <v/>
      </c>
      <c r="C70" s="217" t="str">
        <f>INDEX(TR_2SuppliedPounds[Supply Pounds To Use],MATCH(TS_ClaimSummary[[#This Row],[ID_MS]],TR_2SuppliedPounds[ID_MS],0))</f>
        <v/>
      </c>
      <c r="D70"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0" s="217">
        <f>SUMIFS(TR_5ExemptionClaim[DEQ 5B Eligible Pounds],TR_5ExemptionClaim[Material Reporting Category (Exemption Claim)],TS_ClaimSummary[[#This Row],[Material Reporting Category]])</f>
        <v>0</v>
      </c>
    </row>
    <row r="71" spans="1:5" ht="15" x14ac:dyDescent="0.2">
      <c r="A71" s="212" t="s">
        <v>267</v>
      </c>
      <c r="B71" s="213" t="str">
        <f>IF(INDEX(TR_2SuppliedPounds[Material Reporting Category],MATCH(TS_ClaimSummary[[#This Row],[ID_MS]],TR_2SuppliedPounds[ID_MS],0))=0,"",INDEX(TR_2SuppliedPounds[Material Reporting Category],MATCH(TS_ClaimSummary[[#This Row],[ID_MS]],TR_2SuppliedPounds[ID_MS],0)))</f>
        <v/>
      </c>
      <c r="C71" s="217" t="str">
        <f>INDEX(TR_2SuppliedPounds[Supply Pounds To Use],MATCH(TS_ClaimSummary[[#This Row],[ID_MS]],TR_2SuppliedPounds[ID_MS],0))</f>
        <v/>
      </c>
      <c r="D71"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1" s="217">
        <f>SUMIFS(TR_5ExemptionClaim[DEQ 5B Eligible Pounds],TR_5ExemptionClaim[Material Reporting Category (Exemption Claim)],TS_ClaimSummary[[#This Row],[Material Reporting Category]])</f>
        <v>0</v>
      </c>
    </row>
    <row r="72" spans="1:5" ht="15" x14ac:dyDescent="0.2">
      <c r="A72" s="212" t="s">
        <v>268</v>
      </c>
      <c r="B72" s="213" t="str">
        <f>IF(INDEX(TR_2SuppliedPounds[Material Reporting Category],MATCH(TS_ClaimSummary[[#This Row],[ID_MS]],TR_2SuppliedPounds[ID_MS],0))=0,"",INDEX(TR_2SuppliedPounds[Material Reporting Category],MATCH(TS_ClaimSummary[[#This Row],[ID_MS]],TR_2SuppliedPounds[ID_MS],0)))</f>
        <v/>
      </c>
      <c r="C72" s="217" t="str">
        <f>INDEX(TR_2SuppliedPounds[Supply Pounds To Use],MATCH(TS_ClaimSummary[[#This Row],[ID_MS]],TR_2SuppliedPounds[ID_MS],0))</f>
        <v/>
      </c>
      <c r="D72"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2" s="217">
        <f>SUMIFS(TR_5ExemptionClaim[DEQ 5B Eligible Pounds],TR_5ExemptionClaim[Material Reporting Category (Exemption Claim)],TS_ClaimSummary[[#This Row],[Material Reporting Category]])</f>
        <v>0</v>
      </c>
    </row>
    <row r="73" spans="1:5" ht="15" x14ac:dyDescent="0.2">
      <c r="A73" s="212" t="s">
        <v>269</v>
      </c>
      <c r="B73" s="213" t="str">
        <f>IF(INDEX(TR_2SuppliedPounds[Material Reporting Category],MATCH(TS_ClaimSummary[[#This Row],[ID_MS]],TR_2SuppliedPounds[ID_MS],0))=0,"",INDEX(TR_2SuppliedPounds[Material Reporting Category],MATCH(TS_ClaimSummary[[#This Row],[ID_MS]],TR_2SuppliedPounds[ID_MS],0)))</f>
        <v/>
      </c>
      <c r="C73" s="217" t="str">
        <f>INDEX(TR_2SuppliedPounds[Supply Pounds To Use],MATCH(TS_ClaimSummary[[#This Row],[ID_MS]],TR_2SuppliedPounds[ID_MS],0))</f>
        <v/>
      </c>
      <c r="D73"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3" s="217">
        <f>SUMIFS(TR_5ExemptionClaim[DEQ 5B Eligible Pounds],TR_5ExemptionClaim[Material Reporting Category (Exemption Claim)],TS_ClaimSummary[[#This Row],[Material Reporting Category]])</f>
        <v>0</v>
      </c>
    </row>
    <row r="74" spans="1:5" ht="15" x14ac:dyDescent="0.2">
      <c r="A74" s="212" t="s">
        <v>270</v>
      </c>
      <c r="B74" s="213" t="str">
        <f>IF(INDEX(TR_2SuppliedPounds[Material Reporting Category],MATCH(TS_ClaimSummary[[#This Row],[ID_MS]],TR_2SuppliedPounds[ID_MS],0))=0,"",INDEX(TR_2SuppliedPounds[Material Reporting Category],MATCH(TS_ClaimSummary[[#This Row],[ID_MS]],TR_2SuppliedPounds[ID_MS],0)))</f>
        <v/>
      </c>
      <c r="C74" s="217" t="str">
        <f>INDEX(TR_2SuppliedPounds[Supply Pounds To Use],MATCH(TS_ClaimSummary[[#This Row],[ID_MS]],TR_2SuppliedPounds[ID_MS],0))</f>
        <v/>
      </c>
      <c r="D74"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4" s="217">
        <f>SUMIFS(TR_5ExemptionClaim[DEQ 5B Eligible Pounds],TR_5ExemptionClaim[Material Reporting Category (Exemption Claim)],TS_ClaimSummary[[#This Row],[Material Reporting Category]])</f>
        <v>0</v>
      </c>
    </row>
    <row r="75" spans="1:5" ht="15" x14ac:dyDescent="0.2">
      <c r="A75" s="212" t="s">
        <v>271</v>
      </c>
      <c r="B75" s="213" t="str">
        <f>IF(INDEX(TR_2SuppliedPounds[Material Reporting Category],MATCH(TS_ClaimSummary[[#This Row],[ID_MS]],TR_2SuppliedPounds[ID_MS],0))=0,"",INDEX(TR_2SuppliedPounds[Material Reporting Category],MATCH(TS_ClaimSummary[[#This Row],[ID_MS]],TR_2SuppliedPounds[ID_MS],0)))</f>
        <v/>
      </c>
      <c r="C75" s="217" t="str">
        <f>INDEX(TR_2SuppliedPounds[Supply Pounds To Use],MATCH(TS_ClaimSummary[[#This Row],[ID_MS]],TR_2SuppliedPounds[ID_MS],0))</f>
        <v/>
      </c>
      <c r="D75"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5" s="217">
        <f>SUMIFS(TR_5ExemptionClaim[DEQ 5B Eligible Pounds],TR_5ExemptionClaim[Material Reporting Category (Exemption Claim)],TS_ClaimSummary[[#This Row],[Material Reporting Category]])</f>
        <v>0</v>
      </c>
    </row>
    <row r="76" spans="1:5" ht="15" x14ac:dyDescent="0.2">
      <c r="A76" s="212" t="s">
        <v>272</v>
      </c>
      <c r="B76" s="213" t="str">
        <f>IF(INDEX(TR_2SuppliedPounds[Material Reporting Category],MATCH(TS_ClaimSummary[[#This Row],[ID_MS]],TR_2SuppliedPounds[ID_MS],0))=0,"",INDEX(TR_2SuppliedPounds[Material Reporting Category],MATCH(TS_ClaimSummary[[#This Row],[ID_MS]],TR_2SuppliedPounds[ID_MS],0)))</f>
        <v/>
      </c>
      <c r="C76" s="217" t="str">
        <f>INDEX(TR_2SuppliedPounds[Supply Pounds To Use],MATCH(TS_ClaimSummary[[#This Row],[ID_MS]],TR_2SuppliedPounds[ID_MS],0))</f>
        <v/>
      </c>
      <c r="D76"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6" s="217">
        <f>SUMIFS(TR_5ExemptionClaim[DEQ 5B Eligible Pounds],TR_5ExemptionClaim[Material Reporting Category (Exemption Claim)],TS_ClaimSummary[[#This Row],[Material Reporting Category]])</f>
        <v>0</v>
      </c>
    </row>
    <row r="77" spans="1:5" ht="15" x14ac:dyDescent="0.2">
      <c r="A77" s="212" t="s">
        <v>273</v>
      </c>
      <c r="B77" s="213" t="str">
        <f>IF(INDEX(TR_2SuppliedPounds[Material Reporting Category],MATCH(TS_ClaimSummary[[#This Row],[ID_MS]],TR_2SuppliedPounds[ID_MS],0))=0,"",INDEX(TR_2SuppliedPounds[Material Reporting Category],MATCH(TS_ClaimSummary[[#This Row],[ID_MS]],TR_2SuppliedPounds[ID_MS],0)))</f>
        <v/>
      </c>
      <c r="C77" s="217" t="str">
        <f>INDEX(TR_2SuppliedPounds[Supply Pounds To Use],MATCH(TS_ClaimSummary[[#This Row],[ID_MS]],TR_2SuppliedPounds[ID_MS],0))</f>
        <v/>
      </c>
      <c r="D77"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7" s="217">
        <f>SUMIFS(TR_5ExemptionClaim[DEQ 5B Eligible Pounds],TR_5ExemptionClaim[Material Reporting Category (Exemption Claim)],TS_ClaimSummary[[#This Row],[Material Reporting Category]])</f>
        <v>0</v>
      </c>
    </row>
    <row r="78" spans="1:5" ht="15" x14ac:dyDescent="0.2">
      <c r="A78" s="212" t="s">
        <v>274</v>
      </c>
      <c r="B78" s="213" t="str">
        <f>IF(INDEX(TR_2SuppliedPounds[Material Reporting Category],MATCH(TS_ClaimSummary[[#This Row],[ID_MS]],TR_2SuppliedPounds[ID_MS],0))=0,"",INDEX(TR_2SuppliedPounds[Material Reporting Category],MATCH(TS_ClaimSummary[[#This Row],[ID_MS]],TR_2SuppliedPounds[ID_MS],0)))</f>
        <v/>
      </c>
      <c r="C78" s="217" t="str">
        <f>INDEX(TR_2SuppliedPounds[Supply Pounds To Use],MATCH(TS_ClaimSummary[[#This Row],[ID_MS]],TR_2SuppliedPounds[ID_MS],0))</f>
        <v/>
      </c>
      <c r="D78"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8" s="217">
        <f>SUMIFS(TR_5ExemptionClaim[DEQ 5B Eligible Pounds],TR_5ExemptionClaim[Material Reporting Category (Exemption Claim)],TS_ClaimSummary[[#This Row],[Material Reporting Category]])</f>
        <v>0</v>
      </c>
    </row>
    <row r="79" spans="1:5" ht="15" x14ac:dyDescent="0.2">
      <c r="A79" s="212" t="s">
        <v>275</v>
      </c>
      <c r="B79" s="213" t="str">
        <f>IF(INDEX(TR_2SuppliedPounds[Material Reporting Category],MATCH(TS_ClaimSummary[[#This Row],[ID_MS]],TR_2SuppliedPounds[ID_MS],0))=0,"",INDEX(TR_2SuppliedPounds[Material Reporting Category],MATCH(TS_ClaimSummary[[#This Row],[ID_MS]],TR_2SuppliedPounds[ID_MS],0)))</f>
        <v/>
      </c>
      <c r="C79" s="217" t="str">
        <f>INDEX(TR_2SuppliedPounds[Supply Pounds To Use],MATCH(TS_ClaimSummary[[#This Row],[ID_MS]],TR_2SuppliedPounds[ID_MS],0))</f>
        <v/>
      </c>
      <c r="D79"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79" s="217">
        <f>SUMIFS(TR_5ExemptionClaim[DEQ 5B Eligible Pounds],TR_5ExemptionClaim[Material Reporting Category (Exemption Claim)],TS_ClaimSummary[[#This Row],[Material Reporting Category]])</f>
        <v>0</v>
      </c>
    </row>
    <row r="80" spans="1:5" ht="15" x14ac:dyDescent="0.2">
      <c r="A80" s="212" t="s">
        <v>276</v>
      </c>
      <c r="B80" s="213" t="str">
        <f>IF(INDEX(TR_2SuppliedPounds[Material Reporting Category],MATCH(TS_ClaimSummary[[#This Row],[ID_MS]],TR_2SuppliedPounds[ID_MS],0))=0,"",INDEX(TR_2SuppliedPounds[Material Reporting Category],MATCH(TS_ClaimSummary[[#This Row],[ID_MS]],TR_2SuppliedPounds[ID_MS],0)))</f>
        <v/>
      </c>
      <c r="C80" s="217" t="str">
        <f>INDEX(TR_2SuppliedPounds[Supply Pounds To Use],MATCH(TS_ClaimSummary[[#This Row],[ID_MS]],TR_2SuppliedPounds[ID_MS],0))</f>
        <v/>
      </c>
      <c r="D80"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0" s="217">
        <f>SUMIFS(TR_5ExemptionClaim[DEQ 5B Eligible Pounds],TR_5ExemptionClaim[Material Reporting Category (Exemption Claim)],TS_ClaimSummary[[#This Row],[Material Reporting Category]])</f>
        <v>0</v>
      </c>
    </row>
    <row r="81" spans="1:5" ht="15" x14ac:dyDescent="0.2">
      <c r="A81" s="212" t="s">
        <v>277</v>
      </c>
      <c r="B81" s="213" t="str">
        <f>IF(INDEX(TR_2SuppliedPounds[Material Reporting Category],MATCH(TS_ClaimSummary[[#This Row],[ID_MS]],TR_2SuppliedPounds[ID_MS],0))=0,"",INDEX(TR_2SuppliedPounds[Material Reporting Category],MATCH(TS_ClaimSummary[[#This Row],[ID_MS]],TR_2SuppliedPounds[ID_MS],0)))</f>
        <v/>
      </c>
      <c r="C81" s="217" t="str">
        <f>INDEX(TR_2SuppliedPounds[Supply Pounds To Use],MATCH(TS_ClaimSummary[[#This Row],[ID_MS]],TR_2SuppliedPounds[ID_MS],0))</f>
        <v/>
      </c>
      <c r="D81"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1" s="217">
        <f>SUMIFS(TR_5ExemptionClaim[DEQ 5B Eligible Pounds],TR_5ExemptionClaim[Material Reporting Category (Exemption Claim)],TS_ClaimSummary[[#This Row],[Material Reporting Category]])</f>
        <v>0</v>
      </c>
    </row>
    <row r="82" spans="1:5" ht="15" x14ac:dyDescent="0.2">
      <c r="A82" s="212" t="s">
        <v>278</v>
      </c>
      <c r="B82" s="213" t="str">
        <f>IF(INDEX(TR_2SuppliedPounds[Material Reporting Category],MATCH(TS_ClaimSummary[[#This Row],[ID_MS]],TR_2SuppliedPounds[ID_MS],0))=0,"",INDEX(TR_2SuppliedPounds[Material Reporting Category],MATCH(TS_ClaimSummary[[#This Row],[ID_MS]],TR_2SuppliedPounds[ID_MS],0)))</f>
        <v/>
      </c>
      <c r="C82" s="217" t="str">
        <f>INDEX(TR_2SuppliedPounds[Supply Pounds To Use],MATCH(TS_ClaimSummary[[#This Row],[ID_MS]],TR_2SuppliedPounds[ID_MS],0))</f>
        <v/>
      </c>
      <c r="D82"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2" s="217">
        <f>SUMIFS(TR_5ExemptionClaim[DEQ 5B Eligible Pounds],TR_5ExemptionClaim[Material Reporting Category (Exemption Claim)],TS_ClaimSummary[[#This Row],[Material Reporting Category]])</f>
        <v>0</v>
      </c>
    </row>
    <row r="83" spans="1:5" ht="15" x14ac:dyDescent="0.2">
      <c r="A83" s="212" t="s">
        <v>279</v>
      </c>
      <c r="B83" s="213" t="str">
        <f>IF(INDEX(TR_2SuppliedPounds[Material Reporting Category],MATCH(TS_ClaimSummary[[#This Row],[ID_MS]],TR_2SuppliedPounds[ID_MS],0))=0,"",INDEX(TR_2SuppliedPounds[Material Reporting Category],MATCH(TS_ClaimSummary[[#This Row],[ID_MS]],TR_2SuppliedPounds[ID_MS],0)))</f>
        <v/>
      </c>
      <c r="C83" s="217" t="str">
        <f>INDEX(TR_2SuppliedPounds[Supply Pounds To Use],MATCH(TS_ClaimSummary[[#This Row],[ID_MS]],TR_2SuppliedPounds[ID_MS],0))</f>
        <v/>
      </c>
      <c r="D83"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3" s="217">
        <f>SUMIFS(TR_5ExemptionClaim[DEQ 5B Eligible Pounds],TR_5ExemptionClaim[Material Reporting Category (Exemption Claim)],TS_ClaimSummary[[#This Row],[Material Reporting Category]])</f>
        <v>0</v>
      </c>
    </row>
    <row r="84" spans="1:5" ht="15" x14ac:dyDescent="0.2">
      <c r="A84" s="212" t="s">
        <v>280</v>
      </c>
      <c r="B84" s="213" t="str">
        <f>IF(INDEX(TR_2SuppliedPounds[Material Reporting Category],MATCH(TS_ClaimSummary[[#This Row],[ID_MS]],TR_2SuppliedPounds[ID_MS],0))=0,"",INDEX(TR_2SuppliedPounds[Material Reporting Category],MATCH(TS_ClaimSummary[[#This Row],[ID_MS]],TR_2SuppliedPounds[ID_MS],0)))</f>
        <v/>
      </c>
      <c r="C84" s="217" t="str">
        <f>INDEX(TR_2SuppliedPounds[Supply Pounds To Use],MATCH(TS_ClaimSummary[[#This Row],[ID_MS]],TR_2SuppliedPounds[ID_MS],0))</f>
        <v/>
      </c>
      <c r="D84"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4" s="217">
        <f>SUMIFS(TR_5ExemptionClaim[DEQ 5B Eligible Pounds],TR_5ExemptionClaim[Material Reporting Category (Exemption Claim)],TS_ClaimSummary[[#This Row],[Material Reporting Category]])</f>
        <v>0</v>
      </c>
    </row>
    <row r="85" spans="1:5" ht="15" x14ac:dyDescent="0.2">
      <c r="A85" s="212" t="s">
        <v>281</v>
      </c>
      <c r="B85" s="213" t="str">
        <f>IF(INDEX(TR_2SuppliedPounds[Material Reporting Category],MATCH(TS_ClaimSummary[[#This Row],[ID_MS]],TR_2SuppliedPounds[ID_MS],0))=0,"",INDEX(TR_2SuppliedPounds[Material Reporting Category],MATCH(TS_ClaimSummary[[#This Row],[ID_MS]],TR_2SuppliedPounds[ID_MS],0)))</f>
        <v/>
      </c>
      <c r="C85" s="217" t="str">
        <f>INDEX(TR_2SuppliedPounds[Supply Pounds To Use],MATCH(TS_ClaimSummary[[#This Row],[ID_MS]],TR_2SuppliedPounds[ID_MS],0))</f>
        <v/>
      </c>
      <c r="D85"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5" s="217">
        <f>SUMIFS(TR_5ExemptionClaim[DEQ 5B Eligible Pounds],TR_5ExemptionClaim[Material Reporting Category (Exemption Claim)],TS_ClaimSummary[[#This Row],[Material Reporting Category]])</f>
        <v>0</v>
      </c>
    </row>
    <row r="86" spans="1:5" ht="15" x14ac:dyDescent="0.2">
      <c r="A86" s="212" t="s">
        <v>282</v>
      </c>
      <c r="B86" s="213" t="str">
        <f>IF(INDEX(TR_2SuppliedPounds[Material Reporting Category],MATCH(TS_ClaimSummary[[#This Row],[ID_MS]],TR_2SuppliedPounds[ID_MS],0))=0,"",INDEX(TR_2SuppliedPounds[Material Reporting Category],MATCH(TS_ClaimSummary[[#This Row],[ID_MS]],TR_2SuppliedPounds[ID_MS],0)))</f>
        <v/>
      </c>
      <c r="C86" s="217" t="str">
        <f>INDEX(TR_2SuppliedPounds[Supply Pounds To Use],MATCH(TS_ClaimSummary[[#This Row],[ID_MS]],TR_2SuppliedPounds[ID_MS],0))</f>
        <v/>
      </c>
      <c r="D86"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6" s="217">
        <f>SUMIFS(TR_5ExemptionClaim[DEQ 5B Eligible Pounds],TR_5ExemptionClaim[Material Reporting Category (Exemption Claim)],TS_ClaimSummary[[#This Row],[Material Reporting Category]])</f>
        <v>0</v>
      </c>
    </row>
    <row r="87" spans="1:5" ht="15" x14ac:dyDescent="0.2">
      <c r="A87" s="212" t="s">
        <v>283</v>
      </c>
      <c r="B87" s="213" t="str">
        <f>IF(INDEX(TR_2SuppliedPounds[Material Reporting Category],MATCH(TS_ClaimSummary[[#This Row],[ID_MS]],TR_2SuppliedPounds[ID_MS],0))=0,"",INDEX(TR_2SuppliedPounds[Material Reporting Category],MATCH(TS_ClaimSummary[[#This Row],[ID_MS]],TR_2SuppliedPounds[ID_MS],0)))</f>
        <v/>
      </c>
      <c r="C87" s="217" t="str">
        <f>INDEX(TR_2SuppliedPounds[Supply Pounds To Use],MATCH(TS_ClaimSummary[[#This Row],[ID_MS]],TR_2SuppliedPounds[ID_MS],0))</f>
        <v/>
      </c>
      <c r="D87"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7" s="217">
        <f>SUMIFS(TR_5ExemptionClaim[DEQ 5B Eligible Pounds],TR_5ExemptionClaim[Material Reporting Category (Exemption Claim)],TS_ClaimSummary[[#This Row],[Material Reporting Category]])</f>
        <v>0</v>
      </c>
    </row>
    <row r="88" spans="1:5" ht="15" x14ac:dyDescent="0.2">
      <c r="A88" s="212" t="s">
        <v>284</v>
      </c>
      <c r="B88" s="213" t="str">
        <f>IF(INDEX(TR_2SuppliedPounds[Material Reporting Category],MATCH(TS_ClaimSummary[[#This Row],[ID_MS]],TR_2SuppliedPounds[ID_MS],0))=0,"",INDEX(TR_2SuppliedPounds[Material Reporting Category],MATCH(TS_ClaimSummary[[#This Row],[ID_MS]],TR_2SuppliedPounds[ID_MS],0)))</f>
        <v/>
      </c>
      <c r="C88" s="217" t="str">
        <f>INDEX(TR_2SuppliedPounds[Supply Pounds To Use],MATCH(TS_ClaimSummary[[#This Row],[ID_MS]],TR_2SuppliedPounds[ID_MS],0))</f>
        <v/>
      </c>
      <c r="D88"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8" s="217">
        <f>SUMIFS(TR_5ExemptionClaim[DEQ 5B Eligible Pounds],TR_5ExemptionClaim[Material Reporting Category (Exemption Claim)],TS_ClaimSummary[[#This Row],[Material Reporting Category]])</f>
        <v>0</v>
      </c>
    </row>
    <row r="89" spans="1:5" ht="15" x14ac:dyDescent="0.2">
      <c r="A89" s="212" t="s">
        <v>285</v>
      </c>
      <c r="B89" s="213" t="str">
        <f>IF(INDEX(TR_2SuppliedPounds[Material Reporting Category],MATCH(TS_ClaimSummary[[#This Row],[ID_MS]],TR_2SuppliedPounds[ID_MS],0))=0,"",INDEX(TR_2SuppliedPounds[Material Reporting Category],MATCH(TS_ClaimSummary[[#This Row],[ID_MS]],TR_2SuppliedPounds[ID_MS],0)))</f>
        <v/>
      </c>
      <c r="C89" s="217" t="str">
        <f>INDEX(TR_2SuppliedPounds[Supply Pounds To Use],MATCH(TS_ClaimSummary[[#This Row],[ID_MS]],TR_2SuppliedPounds[ID_MS],0))</f>
        <v/>
      </c>
      <c r="D89"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89" s="217">
        <f>SUMIFS(TR_5ExemptionClaim[DEQ 5B Eligible Pounds],TR_5ExemptionClaim[Material Reporting Category (Exemption Claim)],TS_ClaimSummary[[#This Row],[Material Reporting Category]])</f>
        <v>0</v>
      </c>
    </row>
    <row r="90" spans="1:5" ht="15" x14ac:dyDescent="0.2">
      <c r="A90" s="212" t="s">
        <v>286</v>
      </c>
      <c r="B90" s="213" t="str">
        <f>IF(INDEX(TR_2SuppliedPounds[Material Reporting Category],MATCH(TS_ClaimSummary[[#This Row],[ID_MS]],TR_2SuppliedPounds[ID_MS],0))=0,"",INDEX(TR_2SuppliedPounds[Material Reporting Category],MATCH(TS_ClaimSummary[[#This Row],[ID_MS]],TR_2SuppliedPounds[ID_MS],0)))</f>
        <v/>
      </c>
      <c r="C90" s="217" t="str">
        <f>INDEX(TR_2SuppliedPounds[Supply Pounds To Use],MATCH(TS_ClaimSummary[[#This Row],[ID_MS]],TR_2SuppliedPounds[ID_MS],0))</f>
        <v/>
      </c>
      <c r="D90"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90" s="217">
        <f>SUMIFS(TR_5ExemptionClaim[DEQ 5B Eligible Pounds],TR_5ExemptionClaim[Material Reporting Category (Exemption Claim)],TS_ClaimSummary[[#This Row],[Material Reporting Category]])</f>
        <v>0</v>
      </c>
    </row>
    <row r="91" spans="1:5" ht="15" x14ac:dyDescent="0.2">
      <c r="A91" s="212" t="s">
        <v>287</v>
      </c>
      <c r="B91" s="213" t="str">
        <f>IF(INDEX(TR_2SuppliedPounds[Material Reporting Category],MATCH(TS_ClaimSummary[[#This Row],[ID_MS]],TR_2SuppliedPounds[ID_MS],0))=0,"",INDEX(TR_2SuppliedPounds[Material Reporting Category],MATCH(TS_ClaimSummary[[#This Row],[ID_MS]],TR_2SuppliedPounds[ID_MS],0)))</f>
        <v/>
      </c>
      <c r="C91" s="217" t="str">
        <f>INDEX(TR_2SuppliedPounds[Supply Pounds To Use],MATCH(TS_ClaimSummary[[#This Row],[ID_MS]],TR_2SuppliedPounds[ID_MS],0))</f>
        <v/>
      </c>
      <c r="D91"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91" s="217">
        <f>SUMIFS(TR_5ExemptionClaim[DEQ 5B Eligible Pounds],TR_5ExemptionClaim[Material Reporting Category (Exemption Claim)],TS_ClaimSummary[[#This Row],[Material Reporting Category]])</f>
        <v>0</v>
      </c>
    </row>
    <row r="92" spans="1:5" ht="15" x14ac:dyDescent="0.2">
      <c r="A92" s="212" t="s">
        <v>288</v>
      </c>
      <c r="B92" s="213" t="str">
        <f>IF(INDEX(TR_2SuppliedPounds[Material Reporting Category],MATCH(TS_ClaimSummary[[#This Row],[ID_MS]],TR_2SuppliedPounds[ID_MS],0))=0,"",INDEX(TR_2SuppliedPounds[Material Reporting Category],MATCH(TS_ClaimSummary[[#This Row],[ID_MS]],TR_2SuppliedPounds[ID_MS],0)))</f>
        <v/>
      </c>
      <c r="C92" s="217" t="str">
        <f>INDEX(TR_2SuppliedPounds[Supply Pounds To Use],MATCH(TS_ClaimSummary[[#This Row],[ID_MS]],TR_2SuppliedPounds[ID_MS],0))</f>
        <v/>
      </c>
      <c r="D92"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92" s="217">
        <f>SUMIFS(TR_5ExemptionClaim[DEQ 5B Eligible Pounds],TR_5ExemptionClaim[Material Reporting Category (Exemption Claim)],TS_ClaimSummary[[#This Row],[Material Reporting Category]])</f>
        <v>0</v>
      </c>
    </row>
    <row r="93" spans="1:5" ht="15" x14ac:dyDescent="0.2">
      <c r="A93" s="212" t="s">
        <v>289</v>
      </c>
      <c r="B93" s="213" t="str">
        <f>IF(INDEX(TR_2SuppliedPounds[Material Reporting Category],MATCH(TS_ClaimSummary[[#This Row],[ID_MS]],TR_2SuppliedPounds[ID_MS],0))=0,"",INDEX(TR_2SuppliedPounds[Material Reporting Category],MATCH(TS_ClaimSummary[[#This Row],[ID_MS]],TR_2SuppliedPounds[ID_MS],0)))</f>
        <v/>
      </c>
      <c r="C93" s="217" t="str">
        <f>INDEX(TR_2SuppliedPounds[Supply Pounds To Use],MATCH(TS_ClaimSummary[[#This Row],[ID_MS]],TR_2SuppliedPounds[ID_MS],0))</f>
        <v/>
      </c>
      <c r="D93" s="217" t="str">
        <f>IF(SUMIFS(TR_5ExemptionClaim[How many of the pounds recycled through this pathway were supplied by this producer?],TR_5ExemptionClaim[Material Reporting Category (Exemption Claim)],TS_ClaimSummary[[#This Row],[Material Reporting Category]])=0,"",SUMIFS(TR_5ExemptionClaim[How many of the pounds recycled through this pathway were supplied by this producer?],TR_5ExemptionClaim[Material Reporting Category (Exemption Claim)],TS_ClaimSummary[[#This Row],[Material Reporting Category]],TR_5ExemptionClaim[Include in Summary],1))</f>
        <v/>
      </c>
      <c r="E93" s="217">
        <f>SUMIFS(TR_5ExemptionClaim[DEQ 5B Eligible Pounds],TR_5ExemptionClaim[Material Reporting Category (Exemption Claim)],TS_ClaimSummary[[#This Row],[Material Reporting Category]])</f>
        <v>0</v>
      </c>
    </row>
    <row r="94" spans="1:5" x14ac:dyDescent="0.2"/>
  </sheetData>
  <sheetProtection algorithmName="SHA-512" hashValue="t9FPSRKY1KJkp0EpJknDi0W4FsgI0g4ELEAPj6dnDovnfJvZJvxrKRSdOBWcNB9C9ERn6/F8nwbns6CUZH9VvA==" saltValue="7SFNwI32AOKW/D6uJmrAFg==" spinCount="100000" sheet="1" objects="1" scenarios="1"/>
  <conditionalFormatting sqref="A19 A55:A59">
    <cfRule type="expression" dxfId="4" priority="6">
      <formula>A19&gt;0</formula>
    </cfRule>
  </conditionalFormatting>
  <conditionalFormatting sqref="A22:A25">
    <cfRule type="expression" dxfId="3" priority="5">
      <formula>A22&gt;0</formula>
    </cfRule>
  </conditionalFormatting>
  <conditionalFormatting sqref="A28:A30">
    <cfRule type="expression" dxfId="2" priority="4">
      <formula>A28&gt;0</formula>
    </cfRule>
  </conditionalFormatting>
  <conditionalFormatting sqref="A33:A37">
    <cfRule type="expression" dxfId="1" priority="3">
      <formula>A33&lt;&gt;0</formula>
    </cfRule>
  </conditionalFormatting>
  <conditionalFormatting sqref="A40:A52">
    <cfRule type="expression" dxfId="0" priority="2">
      <formula>A40&gt;0</formula>
    </cfRule>
  </conditionalFormatting>
  <hyperlinks>
    <hyperlink ref="B5" r:id="rId1" xr:uid="{778EE2B2-B3EB-4921-AB92-749C2B8F1F98}"/>
  </hyperlinks>
  <pageMargins left="0.7" right="0.7" top="0.75" bottom="0.75" header="0.3" footer="0.3"/>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B31E-AB2A-4100-A09B-4377F11944CA}">
  <sheetPr>
    <tabColor theme="1" tint="0.499984740745262"/>
  </sheetPr>
  <dimension ref="A1:CE122"/>
  <sheetViews>
    <sheetView zoomScale="66" workbookViewId="0">
      <selection activeCell="I39" sqref="A1:XFD1048576"/>
    </sheetView>
  </sheetViews>
  <sheetFormatPr defaultRowHeight="14.25" x14ac:dyDescent="0.2"/>
  <cols>
    <col min="1" max="1" width="31.875" customWidth="1"/>
    <col min="2" max="2" width="56.375" customWidth="1"/>
    <col min="3" max="4" width="9.75" customWidth="1"/>
    <col min="8" max="12" width="24" customWidth="1"/>
    <col min="15" max="15" width="53.25" customWidth="1"/>
    <col min="18" max="18" width="36.75" customWidth="1"/>
    <col min="19" max="19" width="50.75" customWidth="1"/>
    <col min="20" max="21" width="5.75" customWidth="1"/>
    <col min="22" max="22" width="52.625" customWidth="1"/>
    <col min="23" max="25" width="3" customWidth="1"/>
    <col min="26" max="27" width="22.875" customWidth="1"/>
    <col min="28" max="40" width="2.75" customWidth="1"/>
    <col min="41" max="42" width="22.875" customWidth="1"/>
    <col min="43" max="74" width="2.25" customWidth="1"/>
    <col min="75" max="76" width="22.875" customWidth="1"/>
    <col min="77" max="82" width="2.75" customWidth="1"/>
    <col min="85" max="86" width="8"/>
  </cols>
  <sheetData>
    <row r="1" spans="1:83" ht="24" thickBot="1" x14ac:dyDescent="0.4">
      <c r="A1" s="53" t="s">
        <v>864</v>
      </c>
      <c r="B1" s="53"/>
      <c r="C1" s="53"/>
      <c r="D1" s="53"/>
      <c r="E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t="s">
        <v>184</v>
      </c>
    </row>
    <row r="2" spans="1:83" ht="15" thickTop="1" x14ac:dyDescent="0.2"/>
    <row r="3" spans="1:83" x14ac:dyDescent="0.2">
      <c r="A3" t="s">
        <v>865</v>
      </c>
    </row>
    <row r="4" spans="1:83" x14ac:dyDescent="0.2">
      <c r="A4" t="s">
        <v>866</v>
      </c>
    </row>
    <row r="5" spans="1:83" x14ac:dyDescent="0.2">
      <c r="A5" t="s">
        <v>867</v>
      </c>
    </row>
    <row r="8" spans="1:83" ht="20.25" thickBot="1" x14ac:dyDescent="0.35">
      <c r="A8" s="54" t="s">
        <v>3</v>
      </c>
      <c r="B8" s="54"/>
      <c r="C8" s="54"/>
      <c r="D8" s="54"/>
      <c r="E8" s="54"/>
      <c r="H8" s="55" t="s">
        <v>103</v>
      </c>
      <c r="I8" s="55"/>
      <c r="J8" s="55"/>
      <c r="K8" s="55"/>
      <c r="L8" s="55"/>
      <c r="V8" s="169" t="s">
        <v>104</v>
      </c>
      <c r="W8" s="5" t="s">
        <v>106</v>
      </c>
    </row>
    <row r="9" spans="1:83" ht="15" thickTop="1" x14ac:dyDescent="0.2"/>
    <row r="10" spans="1:83" x14ac:dyDescent="0.2">
      <c r="Z10" t="s">
        <v>127</v>
      </c>
      <c r="AO10" t="s">
        <v>125</v>
      </c>
      <c r="AP10" t="s">
        <v>125</v>
      </c>
      <c r="BX10" t="s">
        <v>126</v>
      </c>
    </row>
    <row r="11" spans="1:83" ht="45" x14ac:dyDescent="0.25">
      <c r="A11" t="s">
        <v>5</v>
      </c>
      <c r="B11" t="s">
        <v>73</v>
      </c>
      <c r="C11" t="s">
        <v>868</v>
      </c>
      <c r="D11" t="s">
        <v>869</v>
      </c>
      <c r="E11" t="s">
        <v>870</v>
      </c>
      <c r="H11" s="61" t="s">
        <v>79</v>
      </c>
      <c r="I11" s="61" t="s">
        <v>863</v>
      </c>
      <c r="J11" s="61" t="s">
        <v>92</v>
      </c>
      <c r="K11" s="61" t="s">
        <v>102</v>
      </c>
      <c r="L11" s="61" t="s">
        <v>1074</v>
      </c>
      <c r="O11" t="s">
        <v>117</v>
      </c>
      <c r="R11" t="s">
        <v>73</v>
      </c>
      <c r="S11" t="s">
        <v>128</v>
      </c>
      <c r="V11" t="s">
        <v>73</v>
      </c>
      <c r="W11" t="s">
        <v>7</v>
      </c>
      <c r="X11" t="s">
        <v>8</v>
      </c>
      <c r="Y11" t="s">
        <v>9</v>
      </c>
      <c r="Z11" s="9" t="s">
        <v>10</v>
      </c>
      <c r="AA11" s="9" t="s">
        <v>11</v>
      </c>
      <c r="AB11" t="s">
        <v>13</v>
      </c>
      <c r="AC11" t="s">
        <v>14</v>
      </c>
      <c r="AD11" t="s">
        <v>16</v>
      </c>
      <c r="AE11" t="s">
        <v>17</v>
      </c>
      <c r="AF11" t="s">
        <v>18</v>
      </c>
      <c r="AG11" t="s">
        <v>19</v>
      </c>
      <c r="AH11" t="s">
        <v>20</v>
      </c>
      <c r="AI11" t="s">
        <v>21</v>
      </c>
      <c r="AJ11" t="s">
        <v>22</v>
      </c>
      <c r="AK11" t="s">
        <v>23</v>
      </c>
      <c r="AL11" t="s">
        <v>24</v>
      </c>
      <c r="AM11" t="s">
        <v>26</v>
      </c>
      <c r="AN11" t="s">
        <v>27</v>
      </c>
      <c r="AO11" s="9" t="s">
        <v>28</v>
      </c>
      <c r="AP11" s="9" t="s">
        <v>29</v>
      </c>
      <c r="AQ11" t="s">
        <v>30</v>
      </c>
      <c r="AR11" t="s">
        <v>31</v>
      </c>
      <c r="AS11" t="s">
        <v>32</v>
      </c>
      <c r="AT11" t="s">
        <v>33</v>
      </c>
      <c r="AU11" t="s">
        <v>34</v>
      </c>
      <c r="AV11" t="s">
        <v>36</v>
      </c>
      <c r="AW11" t="s">
        <v>37</v>
      </c>
      <c r="AX11" t="s">
        <v>38</v>
      </c>
      <c r="AY11" t="s">
        <v>39</v>
      </c>
      <c r="AZ11" t="s">
        <v>40</v>
      </c>
      <c r="BA11" t="s">
        <v>41</v>
      </c>
      <c r="BB11" t="s">
        <v>42</v>
      </c>
      <c r="BC11" t="s">
        <v>43</v>
      </c>
      <c r="BD11" t="s">
        <v>44</v>
      </c>
      <c r="BE11" t="s">
        <v>45</v>
      </c>
      <c r="BF11" t="s">
        <v>46</v>
      </c>
      <c r="BG11" t="s">
        <v>47</v>
      </c>
      <c r="BH11" t="s">
        <v>48</v>
      </c>
      <c r="BI11" t="s">
        <v>49</v>
      </c>
      <c r="BJ11" t="s">
        <v>50</v>
      </c>
      <c r="BK11" t="s">
        <v>51</v>
      </c>
      <c r="BL11" t="s">
        <v>52</v>
      </c>
      <c r="BM11" t="s">
        <v>53</v>
      </c>
      <c r="BN11" t="s">
        <v>54</v>
      </c>
      <c r="BO11" t="s">
        <v>55</v>
      </c>
      <c r="BP11" t="s">
        <v>56</v>
      </c>
      <c r="BQ11" t="s">
        <v>57</v>
      </c>
      <c r="BR11" t="s">
        <v>58</v>
      </c>
      <c r="BS11" t="s">
        <v>59</v>
      </c>
      <c r="BT11" t="s">
        <v>60</v>
      </c>
      <c r="BU11" t="s">
        <v>61</v>
      </c>
      <c r="BV11" t="s">
        <v>62</v>
      </c>
      <c r="BW11" s="9" t="s">
        <v>64</v>
      </c>
      <c r="BX11" s="9" t="s">
        <v>65</v>
      </c>
      <c r="BY11" t="s">
        <v>66</v>
      </c>
      <c r="BZ11" t="s">
        <v>67</v>
      </c>
      <c r="CA11" t="s">
        <v>68</v>
      </c>
      <c r="CB11" t="s">
        <v>70</v>
      </c>
      <c r="CC11" t="s">
        <v>71</v>
      </c>
      <c r="CD11" t="s">
        <v>72</v>
      </c>
    </row>
    <row r="12" spans="1:83" x14ac:dyDescent="0.2">
      <c r="A12" s="56" t="s">
        <v>25</v>
      </c>
      <c r="B12" s="56" t="s">
        <v>29</v>
      </c>
      <c r="C12">
        <v>1</v>
      </c>
      <c r="D12">
        <v>1</v>
      </c>
      <c r="E12" s="56">
        <v>20</v>
      </c>
      <c r="H12" s="62" t="s">
        <v>74</v>
      </c>
      <c r="I12" s="62" t="s">
        <v>10</v>
      </c>
      <c r="J12" s="62" t="s">
        <v>93</v>
      </c>
      <c r="K12" s="62" t="s">
        <v>174</v>
      </c>
      <c r="L12" s="62" t="s">
        <v>1075</v>
      </c>
      <c r="O12" t="s">
        <v>116</v>
      </c>
      <c r="R12" t="s">
        <v>7</v>
      </c>
      <c r="S12" t="s">
        <v>106</v>
      </c>
      <c r="V12" t="s">
        <v>7</v>
      </c>
      <c r="W12" s="57" t="s">
        <v>106</v>
      </c>
      <c r="X12" s="57" t="s">
        <v>106</v>
      </c>
      <c r="Y12" s="57" t="s">
        <v>106</v>
      </c>
      <c r="Z12" t="s">
        <v>146</v>
      </c>
      <c r="AA12" t="s">
        <v>146</v>
      </c>
      <c r="AB12" s="57" t="s">
        <v>106</v>
      </c>
      <c r="AC12" s="57" t="s">
        <v>106</v>
      </c>
      <c r="AD12" s="57" t="s">
        <v>106</v>
      </c>
      <c r="AE12" s="57" t="s">
        <v>106</v>
      </c>
      <c r="AF12" s="57" t="s">
        <v>106</v>
      </c>
      <c r="AG12" s="57" t="s">
        <v>106</v>
      </c>
      <c r="AH12" s="57" t="s">
        <v>106</v>
      </c>
      <c r="AI12" s="57" t="s">
        <v>106</v>
      </c>
      <c r="AJ12" s="57" t="s">
        <v>106</v>
      </c>
      <c r="AK12" s="57" t="s">
        <v>106</v>
      </c>
      <c r="AL12" s="57" t="s">
        <v>106</v>
      </c>
      <c r="AM12" s="57" t="s">
        <v>106</v>
      </c>
      <c r="AN12" s="57" t="s">
        <v>106</v>
      </c>
      <c r="AO12" t="s">
        <v>129</v>
      </c>
      <c r="AP12" t="s">
        <v>129</v>
      </c>
      <c r="AQ12" s="57" t="s">
        <v>106</v>
      </c>
      <c r="AR12" s="57" t="s">
        <v>106</v>
      </c>
      <c r="AS12" s="57" t="s">
        <v>106</v>
      </c>
      <c r="AT12" s="57" t="s">
        <v>106</v>
      </c>
      <c r="AU12" s="57" t="s">
        <v>106</v>
      </c>
      <c r="AV12" s="57" t="s">
        <v>106</v>
      </c>
      <c r="AW12" s="57" t="s">
        <v>106</v>
      </c>
      <c r="AX12" s="57" t="s">
        <v>106</v>
      </c>
      <c r="AY12" s="57" t="s">
        <v>106</v>
      </c>
      <c r="AZ12" s="57" t="s">
        <v>106</v>
      </c>
      <c r="BA12" s="57" t="s">
        <v>106</v>
      </c>
      <c r="BB12" s="57" t="s">
        <v>106</v>
      </c>
      <c r="BC12" s="57" t="s">
        <v>106</v>
      </c>
      <c r="BD12" s="57" t="s">
        <v>106</v>
      </c>
      <c r="BE12" s="57" t="s">
        <v>106</v>
      </c>
      <c r="BF12" s="57" t="s">
        <v>106</v>
      </c>
      <c r="BG12" s="57" t="s">
        <v>106</v>
      </c>
      <c r="BH12" s="57" t="s">
        <v>106</v>
      </c>
      <c r="BI12" s="57" t="s">
        <v>106</v>
      </c>
      <c r="BJ12" s="57" t="s">
        <v>106</v>
      </c>
      <c r="BK12" s="57" t="s">
        <v>106</v>
      </c>
      <c r="BL12" s="57" t="s">
        <v>106</v>
      </c>
      <c r="BM12" s="57" t="s">
        <v>106</v>
      </c>
      <c r="BN12" s="57" t="s">
        <v>106</v>
      </c>
      <c r="BO12" s="57" t="s">
        <v>106</v>
      </c>
      <c r="BP12" s="57" t="s">
        <v>106</v>
      </c>
      <c r="BQ12" s="57" t="s">
        <v>106</v>
      </c>
      <c r="BR12" s="57" t="s">
        <v>106</v>
      </c>
      <c r="BS12" s="57" t="s">
        <v>106</v>
      </c>
      <c r="BT12" s="57" t="s">
        <v>106</v>
      </c>
      <c r="BU12" s="57" t="s">
        <v>106</v>
      </c>
      <c r="BV12" s="57" t="s">
        <v>106</v>
      </c>
      <c r="BW12" s="57" t="s">
        <v>106</v>
      </c>
      <c r="BX12" t="s">
        <v>139</v>
      </c>
      <c r="BY12" s="57" t="s">
        <v>106</v>
      </c>
      <c r="BZ12" s="57" t="s">
        <v>106</v>
      </c>
      <c r="CA12" s="57" t="s">
        <v>106</v>
      </c>
      <c r="CB12" s="57" t="s">
        <v>106</v>
      </c>
      <c r="CC12" s="57" t="s">
        <v>106</v>
      </c>
      <c r="CD12" s="57" t="s">
        <v>106</v>
      </c>
    </row>
    <row r="13" spans="1:83" x14ac:dyDescent="0.2">
      <c r="A13" s="1" t="s">
        <v>25</v>
      </c>
      <c r="B13" s="1" t="s">
        <v>28</v>
      </c>
      <c r="C13">
        <v>1</v>
      </c>
      <c r="D13">
        <v>2</v>
      </c>
      <c r="E13">
        <v>19</v>
      </c>
      <c r="H13" s="5" t="s">
        <v>75</v>
      </c>
      <c r="I13" s="5" t="s">
        <v>11</v>
      </c>
      <c r="J13" s="5" t="s">
        <v>94</v>
      </c>
      <c r="K13" s="5" t="s">
        <v>121</v>
      </c>
      <c r="L13" s="5" t="s">
        <v>1076</v>
      </c>
      <c r="O13" t="s">
        <v>109</v>
      </c>
      <c r="R13" t="s">
        <v>8</v>
      </c>
      <c r="S13" t="s">
        <v>106</v>
      </c>
      <c r="V13" t="s">
        <v>8</v>
      </c>
      <c r="Z13" t="s">
        <v>136</v>
      </c>
      <c r="AA13" t="s">
        <v>136</v>
      </c>
      <c r="AO13" t="s">
        <v>130</v>
      </c>
      <c r="AP13" t="s">
        <v>130</v>
      </c>
      <c r="BX13" t="s">
        <v>140</v>
      </c>
    </row>
    <row r="14" spans="1:83" x14ac:dyDescent="0.2">
      <c r="A14" s="56" t="s">
        <v>6</v>
      </c>
      <c r="B14" s="56" t="s">
        <v>10</v>
      </c>
      <c r="C14">
        <v>2</v>
      </c>
      <c r="D14">
        <v>3</v>
      </c>
      <c r="E14" s="56">
        <v>4</v>
      </c>
      <c r="K14" s="62" t="s">
        <v>122</v>
      </c>
      <c r="O14" t="s">
        <v>113</v>
      </c>
      <c r="R14" t="s">
        <v>9</v>
      </c>
      <c r="S14" t="s">
        <v>106</v>
      </c>
      <c r="V14" t="s">
        <v>9</v>
      </c>
      <c r="Z14" t="s">
        <v>132</v>
      </c>
      <c r="AA14" t="s">
        <v>132</v>
      </c>
      <c r="AO14" t="s">
        <v>131</v>
      </c>
      <c r="AP14" t="s">
        <v>131</v>
      </c>
      <c r="BX14" t="s">
        <v>141</v>
      </c>
    </row>
    <row r="15" spans="1:83" x14ac:dyDescent="0.2">
      <c r="A15" s="56" t="s">
        <v>6</v>
      </c>
      <c r="B15" s="56" t="s">
        <v>11</v>
      </c>
      <c r="C15">
        <v>2</v>
      </c>
      <c r="D15">
        <v>4</v>
      </c>
      <c r="E15" s="56">
        <v>5</v>
      </c>
      <c r="O15" t="s">
        <v>114</v>
      </c>
      <c r="R15" t="s">
        <v>10</v>
      </c>
      <c r="S15" t="s">
        <v>106</v>
      </c>
      <c r="V15" t="s">
        <v>10</v>
      </c>
      <c r="Z15" t="s">
        <v>147</v>
      </c>
      <c r="AA15" t="s">
        <v>147</v>
      </c>
      <c r="AO15" t="s">
        <v>132</v>
      </c>
      <c r="AP15" t="s">
        <v>132</v>
      </c>
      <c r="BX15" t="s">
        <v>142</v>
      </c>
    </row>
    <row r="16" spans="1:83" x14ac:dyDescent="0.2">
      <c r="A16" s="56" t="s">
        <v>63</v>
      </c>
      <c r="B16" s="56" t="s">
        <v>65</v>
      </c>
      <c r="C16" s="56">
        <v>3</v>
      </c>
      <c r="D16" s="56">
        <v>5</v>
      </c>
      <c r="E16" s="56">
        <v>54</v>
      </c>
      <c r="O16" t="s">
        <v>111</v>
      </c>
      <c r="R16" t="s">
        <v>11</v>
      </c>
      <c r="S16" t="s">
        <v>106</v>
      </c>
      <c r="V16" t="s">
        <v>11</v>
      </c>
      <c r="Z16" t="s">
        <v>743</v>
      </c>
      <c r="AA16" t="s">
        <v>743</v>
      </c>
      <c r="AO16" t="s">
        <v>133</v>
      </c>
      <c r="AP16" t="s">
        <v>133</v>
      </c>
      <c r="BX16" t="s">
        <v>143</v>
      </c>
    </row>
    <row r="17" spans="1:76" x14ac:dyDescent="0.2">
      <c r="A17" s="1" t="s">
        <v>25</v>
      </c>
      <c r="B17" s="1" t="s">
        <v>26</v>
      </c>
      <c r="C17">
        <v>1</v>
      </c>
      <c r="E17">
        <v>17</v>
      </c>
      <c r="O17" t="s">
        <v>112</v>
      </c>
      <c r="R17" t="s">
        <v>13</v>
      </c>
      <c r="S17" t="s">
        <v>106</v>
      </c>
      <c r="V17" t="s">
        <v>13</v>
      </c>
      <c r="Z17" t="s">
        <v>148</v>
      </c>
      <c r="AA17" t="s">
        <v>148</v>
      </c>
      <c r="AO17" t="s">
        <v>134</v>
      </c>
      <c r="AP17" t="s">
        <v>134</v>
      </c>
      <c r="BX17" t="s">
        <v>144</v>
      </c>
    </row>
    <row r="18" spans="1:76" x14ac:dyDescent="0.2">
      <c r="A18" s="1" t="s">
        <v>25</v>
      </c>
      <c r="B18" s="1" t="s">
        <v>27</v>
      </c>
      <c r="C18">
        <v>1</v>
      </c>
      <c r="E18">
        <v>18</v>
      </c>
      <c r="O18" t="s">
        <v>108</v>
      </c>
      <c r="R18" t="s">
        <v>14</v>
      </c>
      <c r="S18" t="s">
        <v>106</v>
      </c>
      <c r="V18" t="s">
        <v>14</v>
      </c>
      <c r="Z18" t="s">
        <v>134</v>
      </c>
      <c r="AA18" t="s">
        <v>134</v>
      </c>
      <c r="AO18" t="s">
        <v>135</v>
      </c>
      <c r="AP18" t="s">
        <v>135</v>
      </c>
      <c r="BX18" t="s">
        <v>145</v>
      </c>
    </row>
    <row r="19" spans="1:76" x14ac:dyDescent="0.2">
      <c r="A19" s="1" t="s">
        <v>25</v>
      </c>
      <c r="B19" s="1" t="s">
        <v>30</v>
      </c>
      <c r="C19">
        <v>1</v>
      </c>
      <c r="E19">
        <v>21</v>
      </c>
      <c r="O19" t="s">
        <v>115</v>
      </c>
      <c r="R19" t="s">
        <v>16</v>
      </c>
      <c r="S19" t="s">
        <v>106</v>
      </c>
      <c r="V19" t="s">
        <v>16</v>
      </c>
      <c r="Z19" t="s">
        <v>149</v>
      </c>
      <c r="AA19" t="s">
        <v>149</v>
      </c>
      <c r="AO19" t="s">
        <v>743</v>
      </c>
      <c r="AP19" t="s">
        <v>743</v>
      </c>
      <c r="BX19" s="57" t="s">
        <v>106</v>
      </c>
    </row>
    <row r="20" spans="1:76" x14ac:dyDescent="0.2">
      <c r="A20" s="1" t="s">
        <v>25</v>
      </c>
      <c r="B20" s="1" t="s">
        <v>31</v>
      </c>
      <c r="C20">
        <v>1</v>
      </c>
      <c r="E20">
        <v>22</v>
      </c>
      <c r="O20" t="s">
        <v>110</v>
      </c>
      <c r="R20" t="s">
        <v>17</v>
      </c>
      <c r="S20" t="s">
        <v>106</v>
      </c>
      <c r="V20" t="s">
        <v>17</v>
      </c>
      <c r="Z20" t="s">
        <v>130</v>
      </c>
      <c r="AA20" t="s">
        <v>130</v>
      </c>
      <c r="AO20" t="s">
        <v>136</v>
      </c>
      <c r="AP20" t="s">
        <v>136</v>
      </c>
    </row>
    <row r="21" spans="1:76" x14ac:dyDescent="0.2">
      <c r="A21" s="1" t="s">
        <v>25</v>
      </c>
      <c r="B21" s="1" t="s">
        <v>32</v>
      </c>
      <c r="C21">
        <v>1</v>
      </c>
      <c r="E21">
        <v>23</v>
      </c>
      <c r="R21" t="s">
        <v>18</v>
      </c>
      <c r="S21" t="s">
        <v>106</v>
      </c>
      <c r="V21" t="s">
        <v>18</v>
      </c>
      <c r="Z21" t="s">
        <v>133</v>
      </c>
      <c r="AA21" t="s">
        <v>133</v>
      </c>
      <c r="AO21" t="s">
        <v>744</v>
      </c>
      <c r="AP21" t="s">
        <v>744</v>
      </c>
    </row>
    <row r="22" spans="1:76" x14ac:dyDescent="0.2">
      <c r="A22" s="1" t="s">
        <v>25</v>
      </c>
      <c r="B22" s="1" t="s">
        <v>33</v>
      </c>
      <c r="C22">
        <v>1</v>
      </c>
      <c r="E22">
        <v>24</v>
      </c>
      <c r="R22" t="s">
        <v>19</v>
      </c>
      <c r="S22" t="s">
        <v>106</v>
      </c>
      <c r="V22" t="s">
        <v>19</v>
      </c>
      <c r="Z22" s="57" t="s">
        <v>106</v>
      </c>
      <c r="AA22" s="57" t="s">
        <v>106</v>
      </c>
      <c r="AO22" t="s">
        <v>137</v>
      </c>
      <c r="AP22" t="s">
        <v>137</v>
      </c>
    </row>
    <row r="23" spans="1:76" x14ac:dyDescent="0.2">
      <c r="A23" s="1" t="s">
        <v>25</v>
      </c>
      <c r="B23" s="1" t="s">
        <v>34</v>
      </c>
      <c r="C23">
        <v>1</v>
      </c>
      <c r="E23">
        <v>25</v>
      </c>
      <c r="R23" t="s">
        <v>20</v>
      </c>
      <c r="S23" t="s">
        <v>106</v>
      </c>
      <c r="V23" t="s">
        <v>20</v>
      </c>
      <c r="AO23" t="s">
        <v>138</v>
      </c>
      <c r="AP23" t="s">
        <v>138</v>
      </c>
    </row>
    <row r="24" spans="1:76" x14ac:dyDescent="0.2">
      <c r="A24" s="1" t="s">
        <v>6</v>
      </c>
      <c r="B24" s="1" t="s">
        <v>7</v>
      </c>
      <c r="C24">
        <v>2</v>
      </c>
      <c r="E24">
        <v>1</v>
      </c>
      <c r="R24" t="s">
        <v>21</v>
      </c>
      <c r="S24" t="s">
        <v>106</v>
      </c>
      <c r="V24" t="s">
        <v>21</v>
      </c>
      <c r="AO24" s="57" t="s">
        <v>106</v>
      </c>
      <c r="AP24" s="57" t="s">
        <v>106</v>
      </c>
    </row>
    <row r="25" spans="1:76" x14ac:dyDescent="0.2">
      <c r="A25" s="1" t="s">
        <v>6</v>
      </c>
      <c r="B25" s="1" t="s">
        <v>8</v>
      </c>
      <c r="C25">
        <v>2</v>
      </c>
      <c r="E25">
        <v>2</v>
      </c>
      <c r="R25" t="s">
        <v>22</v>
      </c>
      <c r="S25" t="s">
        <v>106</v>
      </c>
      <c r="V25" t="s">
        <v>22</v>
      </c>
    </row>
    <row r="26" spans="1:76" x14ac:dyDescent="0.2">
      <c r="A26" s="1" t="s">
        <v>6</v>
      </c>
      <c r="B26" s="1" t="s">
        <v>9</v>
      </c>
      <c r="C26">
        <v>2</v>
      </c>
      <c r="E26">
        <v>3</v>
      </c>
      <c r="R26" t="s">
        <v>23</v>
      </c>
      <c r="S26" t="s">
        <v>106</v>
      </c>
      <c r="V26" t="s">
        <v>23</v>
      </c>
    </row>
    <row r="27" spans="1:76" x14ac:dyDescent="0.2">
      <c r="A27" s="1" t="s">
        <v>63</v>
      </c>
      <c r="B27" s="1" t="s">
        <v>64</v>
      </c>
      <c r="C27">
        <v>3</v>
      </c>
      <c r="E27">
        <v>53</v>
      </c>
      <c r="R27" t="s">
        <v>24</v>
      </c>
      <c r="S27" t="s">
        <v>106</v>
      </c>
      <c r="V27" t="s">
        <v>24</v>
      </c>
    </row>
    <row r="28" spans="1:76" x14ac:dyDescent="0.2">
      <c r="A28" s="1" t="s">
        <v>63</v>
      </c>
      <c r="B28" s="1" t="s">
        <v>66</v>
      </c>
      <c r="C28">
        <v>3</v>
      </c>
      <c r="E28">
        <v>55</v>
      </c>
      <c r="R28" t="s">
        <v>26</v>
      </c>
      <c r="S28" t="s">
        <v>106</v>
      </c>
      <c r="V28" t="s">
        <v>26</v>
      </c>
    </row>
    <row r="29" spans="1:76" x14ac:dyDescent="0.2">
      <c r="A29" s="1" t="s">
        <v>63</v>
      </c>
      <c r="B29" s="1" t="s">
        <v>67</v>
      </c>
      <c r="C29">
        <v>3</v>
      </c>
      <c r="E29">
        <v>56</v>
      </c>
      <c r="R29" t="s">
        <v>27</v>
      </c>
      <c r="S29" t="s">
        <v>106</v>
      </c>
      <c r="V29" t="s">
        <v>27</v>
      </c>
    </row>
    <row r="30" spans="1:76" x14ac:dyDescent="0.2">
      <c r="A30" s="1" t="s">
        <v>63</v>
      </c>
      <c r="B30" s="1" t="s">
        <v>68</v>
      </c>
      <c r="C30">
        <v>3</v>
      </c>
      <c r="E30">
        <v>57</v>
      </c>
      <c r="R30" t="s">
        <v>28</v>
      </c>
      <c r="S30" t="s">
        <v>106</v>
      </c>
      <c r="V30" t="s">
        <v>28</v>
      </c>
    </row>
    <row r="31" spans="1:76" x14ac:dyDescent="0.2">
      <c r="A31" s="1" t="s">
        <v>35</v>
      </c>
      <c r="B31" s="1" t="s">
        <v>36</v>
      </c>
      <c r="C31">
        <v>4</v>
      </c>
      <c r="E31">
        <v>26</v>
      </c>
      <c r="R31" t="s">
        <v>29</v>
      </c>
      <c r="S31" t="s">
        <v>106</v>
      </c>
      <c r="V31" t="s">
        <v>29</v>
      </c>
    </row>
    <row r="32" spans="1:76" x14ac:dyDescent="0.2">
      <c r="A32" s="1" t="s">
        <v>35</v>
      </c>
      <c r="B32" s="1" t="s">
        <v>37</v>
      </c>
      <c r="C32">
        <v>4</v>
      </c>
      <c r="E32">
        <v>27</v>
      </c>
      <c r="R32" t="s">
        <v>30</v>
      </c>
      <c r="S32" t="s">
        <v>106</v>
      </c>
      <c r="V32" t="s">
        <v>30</v>
      </c>
    </row>
    <row r="33" spans="1:22" x14ac:dyDescent="0.2">
      <c r="A33" s="1" t="s">
        <v>35</v>
      </c>
      <c r="B33" s="1" t="s">
        <v>38</v>
      </c>
      <c r="C33">
        <v>4</v>
      </c>
      <c r="E33">
        <v>28</v>
      </c>
      <c r="R33" t="s">
        <v>31</v>
      </c>
      <c r="S33" t="s">
        <v>106</v>
      </c>
      <c r="V33" t="s">
        <v>31</v>
      </c>
    </row>
    <row r="34" spans="1:22" x14ac:dyDescent="0.2">
      <c r="A34" s="1" t="s">
        <v>35</v>
      </c>
      <c r="B34" s="1" t="s">
        <v>39</v>
      </c>
      <c r="C34">
        <v>4</v>
      </c>
      <c r="E34">
        <v>29</v>
      </c>
      <c r="R34" t="s">
        <v>32</v>
      </c>
      <c r="S34" t="s">
        <v>106</v>
      </c>
      <c r="V34" t="s">
        <v>32</v>
      </c>
    </row>
    <row r="35" spans="1:22" x14ac:dyDescent="0.2">
      <c r="A35" s="1" t="s">
        <v>35</v>
      </c>
      <c r="B35" s="1" t="s">
        <v>40</v>
      </c>
      <c r="C35">
        <v>4</v>
      </c>
      <c r="E35">
        <v>30</v>
      </c>
      <c r="R35" t="s">
        <v>33</v>
      </c>
      <c r="S35" t="s">
        <v>106</v>
      </c>
      <c r="V35" t="s">
        <v>33</v>
      </c>
    </row>
    <row r="36" spans="1:22" x14ac:dyDescent="0.2">
      <c r="A36" s="1" t="s">
        <v>35</v>
      </c>
      <c r="B36" s="1" t="s">
        <v>41</v>
      </c>
      <c r="C36">
        <v>4</v>
      </c>
      <c r="E36">
        <v>31</v>
      </c>
      <c r="R36" t="s">
        <v>34</v>
      </c>
      <c r="S36" t="s">
        <v>106</v>
      </c>
      <c r="V36" t="s">
        <v>34</v>
      </c>
    </row>
    <row r="37" spans="1:22" x14ac:dyDescent="0.2">
      <c r="A37" s="1" t="s">
        <v>35</v>
      </c>
      <c r="B37" s="1" t="s">
        <v>42</v>
      </c>
      <c r="C37">
        <v>4</v>
      </c>
      <c r="E37">
        <v>32</v>
      </c>
      <c r="R37" t="s">
        <v>36</v>
      </c>
      <c r="S37" t="s">
        <v>106</v>
      </c>
      <c r="V37" t="s">
        <v>36</v>
      </c>
    </row>
    <row r="38" spans="1:22" x14ac:dyDescent="0.2">
      <c r="A38" s="1" t="s">
        <v>35</v>
      </c>
      <c r="B38" s="1" t="s">
        <v>43</v>
      </c>
      <c r="C38">
        <v>4</v>
      </c>
      <c r="E38">
        <v>33</v>
      </c>
      <c r="R38" t="s">
        <v>37</v>
      </c>
      <c r="S38" t="s">
        <v>106</v>
      </c>
      <c r="V38" t="s">
        <v>37</v>
      </c>
    </row>
    <row r="39" spans="1:22" x14ac:dyDescent="0.2">
      <c r="A39" s="1" t="s">
        <v>35</v>
      </c>
      <c r="B39" s="1" t="s">
        <v>44</v>
      </c>
      <c r="C39">
        <v>4</v>
      </c>
      <c r="E39">
        <v>34</v>
      </c>
      <c r="R39" t="s">
        <v>38</v>
      </c>
      <c r="S39" t="s">
        <v>106</v>
      </c>
      <c r="V39" t="s">
        <v>38</v>
      </c>
    </row>
    <row r="40" spans="1:22" x14ac:dyDescent="0.2">
      <c r="A40" s="1" t="s">
        <v>35</v>
      </c>
      <c r="B40" s="1" t="s">
        <v>45</v>
      </c>
      <c r="C40">
        <v>4</v>
      </c>
      <c r="E40">
        <v>35</v>
      </c>
      <c r="R40" t="s">
        <v>39</v>
      </c>
      <c r="S40" t="s">
        <v>106</v>
      </c>
      <c r="V40" t="s">
        <v>39</v>
      </c>
    </row>
    <row r="41" spans="1:22" x14ac:dyDescent="0.2">
      <c r="A41" s="1" t="s">
        <v>35</v>
      </c>
      <c r="B41" s="1" t="s">
        <v>46</v>
      </c>
      <c r="C41">
        <v>4</v>
      </c>
      <c r="E41">
        <v>36</v>
      </c>
      <c r="R41" t="s">
        <v>40</v>
      </c>
      <c r="S41" t="s">
        <v>106</v>
      </c>
      <c r="V41" t="s">
        <v>40</v>
      </c>
    </row>
    <row r="42" spans="1:22" x14ac:dyDescent="0.2">
      <c r="A42" s="1" t="s">
        <v>35</v>
      </c>
      <c r="B42" s="1" t="s">
        <v>47</v>
      </c>
      <c r="C42">
        <v>4</v>
      </c>
      <c r="E42">
        <v>37</v>
      </c>
      <c r="R42" t="s">
        <v>41</v>
      </c>
      <c r="S42" t="s">
        <v>106</v>
      </c>
      <c r="V42" t="s">
        <v>41</v>
      </c>
    </row>
    <row r="43" spans="1:22" x14ac:dyDescent="0.2">
      <c r="A43" s="1" t="s">
        <v>35</v>
      </c>
      <c r="B43" s="1" t="s">
        <v>48</v>
      </c>
      <c r="C43">
        <v>4</v>
      </c>
      <c r="E43">
        <v>38</v>
      </c>
      <c r="R43" t="s">
        <v>42</v>
      </c>
      <c r="S43" t="s">
        <v>106</v>
      </c>
      <c r="V43" t="s">
        <v>42</v>
      </c>
    </row>
    <row r="44" spans="1:22" x14ac:dyDescent="0.2">
      <c r="A44" s="1" t="s">
        <v>35</v>
      </c>
      <c r="B44" s="1" t="s">
        <v>49</v>
      </c>
      <c r="C44">
        <v>4</v>
      </c>
      <c r="E44">
        <v>39</v>
      </c>
      <c r="R44" t="s">
        <v>43</v>
      </c>
      <c r="S44" t="s">
        <v>106</v>
      </c>
      <c r="V44" t="s">
        <v>43</v>
      </c>
    </row>
    <row r="45" spans="1:22" x14ac:dyDescent="0.2">
      <c r="A45" s="1" t="s">
        <v>35</v>
      </c>
      <c r="B45" s="1" t="s">
        <v>50</v>
      </c>
      <c r="C45">
        <v>4</v>
      </c>
      <c r="E45">
        <v>40</v>
      </c>
      <c r="R45" t="s">
        <v>44</v>
      </c>
      <c r="S45" t="s">
        <v>106</v>
      </c>
      <c r="V45" t="s">
        <v>44</v>
      </c>
    </row>
    <row r="46" spans="1:22" x14ac:dyDescent="0.2">
      <c r="A46" s="1" t="s">
        <v>35</v>
      </c>
      <c r="B46" s="1" t="s">
        <v>51</v>
      </c>
      <c r="C46">
        <v>4</v>
      </c>
      <c r="E46">
        <v>41</v>
      </c>
      <c r="R46" t="s">
        <v>45</v>
      </c>
      <c r="S46" t="s">
        <v>106</v>
      </c>
      <c r="V46" t="s">
        <v>45</v>
      </c>
    </row>
    <row r="47" spans="1:22" x14ac:dyDescent="0.2">
      <c r="A47" s="1" t="s">
        <v>35</v>
      </c>
      <c r="B47" s="1" t="s">
        <v>52</v>
      </c>
      <c r="C47">
        <v>4</v>
      </c>
      <c r="E47">
        <v>42</v>
      </c>
      <c r="R47" t="s">
        <v>46</v>
      </c>
      <c r="S47" t="s">
        <v>106</v>
      </c>
      <c r="V47" t="s">
        <v>46</v>
      </c>
    </row>
    <row r="48" spans="1:22" x14ac:dyDescent="0.2">
      <c r="A48" s="1" t="s">
        <v>35</v>
      </c>
      <c r="B48" s="1" t="s">
        <v>53</v>
      </c>
      <c r="C48">
        <v>4</v>
      </c>
      <c r="E48">
        <v>43</v>
      </c>
      <c r="R48" t="s">
        <v>47</v>
      </c>
      <c r="S48" t="s">
        <v>106</v>
      </c>
      <c r="V48" t="s">
        <v>47</v>
      </c>
    </row>
    <row r="49" spans="1:22" x14ac:dyDescent="0.2">
      <c r="A49" s="1" t="s">
        <v>35</v>
      </c>
      <c r="B49" s="1" t="s">
        <v>54</v>
      </c>
      <c r="C49">
        <v>4</v>
      </c>
      <c r="E49">
        <v>44</v>
      </c>
      <c r="R49" t="s">
        <v>48</v>
      </c>
      <c r="S49" t="s">
        <v>106</v>
      </c>
      <c r="V49" t="s">
        <v>48</v>
      </c>
    </row>
    <row r="50" spans="1:22" x14ac:dyDescent="0.2">
      <c r="A50" s="1" t="s">
        <v>35</v>
      </c>
      <c r="B50" s="1" t="s">
        <v>55</v>
      </c>
      <c r="C50">
        <v>4</v>
      </c>
      <c r="E50">
        <v>45</v>
      </c>
      <c r="R50" t="s">
        <v>49</v>
      </c>
      <c r="S50" t="s">
        <v>106</v>
      </c>
      <c r="V50" t="s">
        <v>49</v>
      </c>
    </row>
    <row r="51" spans="1:22" x14ac:dyDescent="0.2">
      <c r="A51" s="1" t="s">
        <v>35</v>
      </c>
      <c r="B51" s="1" t="s">
        <v>56</v>
      </c>
      <c r="C51">
        <v>4</v>
      </c>
      <c r="E51">
        <v>46</v>
      </c>
      <c r="R51" t="s">
        <v>50</v>
      </c>
      <c r="S51" t="s">
        <v>106</v>
      </c>
      <c r="V51" t="s">
        <v>50</v>
      </c>
    </row>
    <row r="52" spans="1:22" x14ac:dyDescent="0.2">
      <c r="A52" s="1" t="s">
        <v>35</v>
      </c>
      <c r="B52" s="1" t="s">
        <v>57</v>
      </c>
      <c r="C52">
        <v>4</v>
      </c>
      <c r="E52">
        <v>47</v>
      </c>
      <c r="R52" t="s">
        <v>51</v>
      </c>
      <c r="S52" t="s">
        <v>106</v>
      </c>
      <c r="V52" t="s">
        <v>51</v>
      </c>
    </row>
    <row r="53" spans="1:22" x14ac:dyDescent="0.2">
      <c r="A53" s="1" t="s">
        <v>35</v>
      </c>
      <c r="B53" s="1" t="s">
        <v>58</v>
      </c>
      <c r="C53">
        <v>4</v>
      </c>
      <c r="E53">
        <v>48</v>
      </c>
      <c r="R53" t="s">
        <v>52</v>
      </c>
      <c r="S53" t="s">
        <v>106</v>
      </c>
      <c r="V53" t="s">
        <v>52</v>
      </c>
    </row>
    <row r="54" spans="1:22" x14ac:dyDescent="0.2">
      <c r="A54" s="1" t="s">
        <v>35</v>
      </c>
      <c r="B54" s="1" t="s">
        <v>59</v>
      </c>
      <c r="C54">
        <v>4</v>
      </c>
      <c r="E54">
        <v>49</v>
      </c>
      <c r="R54" t="s">
        <v>53</v>
      </c>
      <c r="S54" t="s">
        <v>106</v>
      </c>
      <c r="V54" t="s">
        <v>53</v>
      </c>
    </row>
    <row r="55" spans="1:22" x14ac:dyDescent="0.2">
      <c r="A55" s="1" t="s">
        <v>35</v>
      </c>
      <c r="B55" s="1" t="s">
        <v>60</v>
      </c>
      <c r="C55">
        <v>4</v>
      </c>
      <c r="E55">
        <v>50</v>
      </c>
      <c r="R55" t="s">
        <v>54</v>
      </c>
      <c r="S55" t="s">
        <v>106</v>
      </c>
      <c r="V55" t="s">
        <v>54</v>
      </c>
    </row>
    <row r="56" spans="1:22" x14ac:dyDescent="0.2">
      <c r="A56" s="1" t="s">
        <v>35</v>
      </c>
      <c r="B56" s="1" t="s">
        <v>61</v>
      </c>
      <c r="C56">
        <v>4</v>
      </c>
      <c r="E56">
        <v>51</v>
      </c>
      <c r="R56" t="s">
        <v>55</v>
      </c>
      <c r="S56" t="s">
        <v>106</v>
      </c>
      <c r="V56" t="s">
        <v>55</v>
      </c>
    </row>
    <row r="57" spans="1:22" x14ac:dyDescent="0.2">
      <c r="A57" s="1" t="s">
        <v>35</v>
      </c>
      <c r="B57" s="1" t="s">
        <v>62</v>
      </c>
      <c r="C57">
        <v>4</v>
      </c>
      <c r="E57">
        <v>52</v>
      </c>
      <c r="R57" t="s">
        <v>56</v>
      </c>
      <c r="S57" t="s">
        <v>106</v>
      </c>
      <c r="V57" t="s">
        <v>56</v>
      </c>
    </row>
    <row r="58" spans="1:22" x14ac:dyDescent="0.2">
      <c r="A58" s="1" t="s">
        <v>69</v>
      </c>
      <c r="B58" s="1" t="s">
        <v>70</v>
      </c>
      <c r="C58">
        <v>5</v>
      </c>
      <c r="E58">
        <v>58</v>
      </c>
      <c r="R58" t="s">
        <v>57</v>
      </c>
      <c r="S58" t="s">
        <v>106</v>
      </c>
      <c r="V58" t="s">
        <v>57</v>
      </c>
    </row>
    <row r="59" spans="1:22" x14ac:dyDescent="0.2">
      <c r="A59" s="1" t="s">
        <v>69</v>
      </c>
      <c r="B59" s="1" t="s">
        <v>71</v>
      </c>
      <c r="C59">
        <v>5</v>
      </c>
      <c r="E59">
        <v>59</v>
      </c>
      <c r="R59" t="s">
        <v>58</v>
      </c>
      <c r="S59" t="s">
        <v>106</v>
      </c>
      <c r="V59" t="s">
        <v>58</v>
      </c>
    </row>
    <row r="60" spans="1:22" x14ac:dyDescent="0.2">
      <c r="A60" s="1" t="s">
        <v>15</v>
      </c>
      <c r="B60" s="1" t="s">
        <v>16</v>
      </c>
      <c r="C60">
        <v>6</v>
      </c>
      <c r="E60">
        <v>8</v>
      </c>
      <c r="R60" t="s">
        <v>59</v>
      </c>
      <c r="S60" t="s">
        <v>106</v>
      </c>
      <c r="V60" t="s">
        <v>59</v>
      </c>
    </row>
    <row r="61" spans="1:22" x14ac:dyDescent="0.2">
      <c r="A61" s="1" t="s">
        <v>15</v>
      </c>
      <c r="B61" s="1" t="s">
        <v>17</v>
      </c>
      <c r="C61">
        <v>6</v>
      </c>
      <c r="E61">
        <v>9</v>
      </c>
      <c r="R61" t="s">
        <v>60</v>
      </c>
      <c r="S61" t="s">
        <v>106</v>
      </c>
      <c r="V61" t="s">
        <v>60</v>
      </c>
    </row>
    <row r="62" spans="1:22" x14ac:dyDescent="0.2">
      <c r="A62" s="1" t="s">
        <v>15</v>
      </c>
      <c r="B62" s="1" t="s">
        <v>18</v>
      </c>
      <c r="C62">
        <v>6</v>
      </c>
      <c r="E62">
        <v>10</v>
      </c>
      <c r="R62" t="s">
        <v>61</v>
      </c>
      <c r="S62" t="s">
        <v>106</v>
      </c>
      <c r="V62" t="s">
        <v>61</v>
      </c>
    </row>
    <row r="63" spans="1:22" x14ac:dyDescent="0.2">
      <c r="A63" s="1" t="s">
        <v>15</v>
      </c>
      <c r="B63" s="1" t="s">
        <v>19</v>
      </c>
      <c r="C63">
        <v>6</v>
      </c>
      <c r="E63">
        <v>11</v>
      </c>
      <c r="R63" t="s">
        <v>62</v>
      </c>
      <c r="S63" t="s">
        <v>106</v>
      </c>
      <c r="V63" t="s">
        <v>62</v>
      </c>
    </row>
    <row r="64" spans="1:22" x14ac:dyDescent="0.2">
      <c r="A64" s="1" t="s">
        <v>15</v>
      </c>
      <c r="B64" s="1" t="s">
        <v>20</v>
      </c>
      <c r="C64">
        <v>6</v>
      </c>
      <c r="E64">
        <v>12</v>
      </c>
      <c r="R64" t="s">
        <v>64</v>
      </c>
      <c r="S64" t="s">
        <v>106</v>
      </c>
      <c r="V64" t="s">
        <v>64</v>
      </c>
    </row>
    <row r="65" spans="1:22" x14ac:dyDescent="0.2">
      <c r="A65" s="1" t="s">
        <v>15</v>
      </c>
      <c r="B65" s="1" t="s">
        <v>21</v>
      </c>
      <c r="C65">
        <v>6</v>
      </c>
      <c r="E65">
        <v>13</v>
      </c>
      <c r="R65" t="s">
        <v>65</v>
      </c>
      <c r="S65" t="s">
        <v>106</v>
      </c>
      <c r="V65" t="s">
        <v>65</v>
      </c>
    </row>
    <row r="66" spans="1:22" x14ac:dyDescent="0.2">
      <c r="A66" s="1" t="s">
        <v>15</v>
      </c>
      <c r="B66" s="1" t="s">
        <v>22</v>
      </c>
      <c r="C66">
        <v>6</v>
      </c>
      <c r="E66">
        <v>14</v>
      </c>
      <c r="R66" t="s">
        <v>66</v>
      </c>
      <c r="S66" t="s">
        <v>106</v>
      </c>
      <c r="V66" t="s">
        <v>66</v>
      </c>
    </row>
    <row r="67" spans="1:22" x14ac:dyDescent="0.2">
      <c r="A67" s="1" t="s">
        <v>15</v>
      </c>
      <c r="B67" s="1" t="s">
        <v>23</v>
      </c>
      <c r="C67">
        <v>6</v>
      </c>
      <c r="E67">
        <v>15</v>
      </c>
      <c r="R67" t="s">
        <v>67</v>
      </c>
      <c r="S67" t="s">
        <v>106</v>
      </c>
      <c r="V67" t="s">
        <v>67</v>
      </c>
    </row>
    <row r="68" spans="1:22" x14ac:dyDescent="0.2">
      <c r="A68" s="1" t="s">
        <v>15</v>
      </c>
      <c r="B68" s="1" t="s">
        <v>24</v>
      </c>
      <c r="C68">
        <v>6</v>
      </c>
      <c r="E68">
        <v>16</v>
      </c>
      <c r="R68" t="s">
        <v>68</v>
      </c>
      <c r="S68" t="s">
        <v>106</v>
      </c>
      <c r="V68" t="s">
        <v>68</v>
      </c>
    </row>
    <row r="69" spans="1:22" x14ac:dyDescent="0.2">
      <c r="A69" s="1" t="s">
        <v>12</v>
      </c>
      <c r="B69" s="1" t="s">
        <v>13</v>
      </c>
      <c r="C69">
        <v>7</v>
      </c>
      <c r="E69">
        <v>6</v>
      </c>
      <c r="R69" t="s">
        <v>70</v>
      </c>
      <c r="S69" t="s">
        <v>106</v>
      </c>
      <c r="V69" t="s">
        <v>70</v>
      </c>
    </row>
    <row r="70" spans="1:22" x14ac:dyDescent="0.2">
      <c r="A70" s="1" t="s">
        <v>12</v>
      </c>
      <c r="B70" s="1" t="s">
        <v>14</v>
      </c>
      <c r="C70">
        <v>7</v>
      </c>
      <c r="E70">
        <v>7</v>
      </c>
      <c r="R70" t="s">
        <v>71</v>
      </c>
      <c r="S70" t="s">
        <v>106</v>
      </c>
      <c r="V70" t="s">
        <v>71</v>
      </c>
    </row>
    <row r="71" spans="1:22" x14ac:dyDescent="0.2">
      <c r="A71" s="1" t="s">
        <v>72</v>
      </c>
      <c r="B71" s="1" t="s">
        <v>72</v>
      </c>
      <c r="C71">
        <v>8</v>
      </c>
      <c r="E71">
        <v>60</v>
      </c>
      <c r="R71" t="s">
        <v>72</v>
      </c>
      <c r="S71" t="s">
        <v>106</v>
      </c>
      <c r="V71" t="s">
        <v>72</v>
      </c>
    </row>
    <row r="72" spans="1:22" x14ac:dyDescent="0.2">
      <c r="R72" t="s">
        <v>10</v>
      </c>
      <c r="S72" t="s">
        <v>146</v>
      </c>
    </row>
    <row r="73" spans="1:22" x14ac:dyDescent="0.2">
      <c r="R73" t="s">
        <v>10</v>
      </c>
      <c r="S73" t="s">
        <v>136</v>
      </c>
    </row>
    <row r="74" spans="1:22" x14ac:dyDescent="0.2">
      <c r="R74" t="s">
        <v>10</v>
      </c>
      <c r="S74" t="s">
        <v>132</v>
      </c>
    </row>
    <row r="75" spans="1:22" x14ac:dyDescent="0.2">
      <c r="R75" t="s">
        <v>10</v>
      </c>
      <c r="S75" t="s">
        <v>147</v>
      </c>
    </row>
    <row r="76" spans="1:22" x14ac:dyDescent="0.2">
      <c r="R76" t="s">
        <v>10</v>
      </c>
      <c r="S76" t="s">
        <v>743</v>
      </c>
    </row>
    <row r="77" spans="1:22" x14ac:dyDescent="0.2">
      <c r="R77" t="s">
        <v>10</v>
      </c>
      <c r="S77" t="s">
        <v>148</v>
      </c>
    </row>
    <row r="78" spans="1:22" x14ac:dyDescent="0.2">
      <c r="R78" t="s">
        <v>10</v>
      </c>
      <c r="S78" t="s">
        <v>134</v>
      </c>
    </row>
    <row r="79" spans="1:22" x14ac:dyDescent="0.2">
      <c r="R79" t="s">
        <v>10</v>
      </c>
      <c r="S79" t="s">
        <v>149</v>
      </c>
    </row>
    <row r="80" spans="1:22" x14ac:dyDescent="0.2">
      <c r="R80" t="s">
        <v>10</v>
      </c>
      <c r="S80" t="s">
        <v>130</v>
      </c>
    </row>
    <row r="81" spans="18:19" x14ac:dyDescent="0.2">
      <c r="R81" t="s">
        <v>10</v>
      </c>
      <c r="S81" t="s">
        <v>133</v>
      </c>
    </row>
    <row r="82" spans="18:19" x14ac:dyDescent="0.2">
      <c r="R82" t="s">
        <v>11</v>
      </c>
      <c r="S82" t="s">
        <v>146</v>
      </c>
    </row>
    <row r="83" spans="18:19" x14ac:dyDescent="0.2">
      <c r="R83" t="s">
        <v>11</v>
      </c>
      <c r="S83" t="s">
        <v>136</v>
      </c>
    </row>
    <row r="84" spans="18:19" x14ac:dyDescent="0.2">
      <c r="R84" t="s">
        <v>11</v>
      </c>
      <c r="S84" t="s">
        <v>132</v>
      </c>
    </row>
    <row r="85" spans="18:19" x14ac:dyDescent="0.2">
      <c r="R85" t="s">
        <v>11</v>
      </c>
      <c r="S85" t="s">
        <v>147</v>
      </c>
    </row>
    <row r="86" spans="18:19" x14ac:dyDescent="0.2">
      <c r="R86" t="s">
        <v>11</v>
      </c>
      <c r="S86" t="s">
        <v>743</v>
      </c>
    </row>
    <row r="87" spans="18:19" x14ac:dyDescent="0.2">
      <c r="R87" t="s">
        <v>11</v>
      </c>
      <c r="S87" t="s">
        <v>148</v>
      </c>
    </row>
    <row r="88" spans="18:19" x14ac:dyDescent="0.2">
      <c r="R88" t="s">
        <v>11</v>
      </c>
      <c r="S88" t="s">
        <v>134</v>
      </c>
    </row>
    <row r="89" spans="18:19" x14ac:dyDescent="0.2">
      <c r="R89" t="s">
        <v>11</v>
      </c>
      <c r="S89" t="s">
        <v>149</v>
      </c>
    </row>
    <row r="90" spans="18:19" x14ac:dyDescent="0.2">
      <c r="R90" t="s">
        <v>11</v>
      </c>
      <c r="S90" t="s">
        <v>130</v>
      </c>
    </row>
    <row r="91" spans="18:19" x14ac:dyDescent="0.2">
      <c r="R91" t="s">
        <v>11</v>
      </c>
      <c r="S91" t="s">
        <v>133</v>
      </c>
    </row>
    <row r="92" spans="18:19" x14ac:dyDescent="0.2">
      <c r="R92" t="s">
        <v>28</v>
      </c>
      <c r="S92" t="s">
        <v>129</v>
      </c>
    </row>
    <row r="93" spans="18:19" x14ac:dyDescent="0.2">
      <c r="R93" t="s">
        <v>28</v>
      </c>
      <c r="S93" t="s">
        <v>130</v>
      </c>
    </row>
    <row r="94" spans="18:19" x14ac:dyDescent="0.2">
      <c r="R94" t="s">
        <v>28</v>
      </c>
      <c r="S94" t="s">
        <v>131</v>
      </c>
    </row>
    <row r="95" spans="18:19" x14ac:dyDescent="0.2">
      <c r="R95" t="s">
        <v>28</v>
      </c>
      <c r="S95" t="s">
        <v>132</v>
      </c>
    </row>
    <row r="96" spans="18:19" x14ac:dyDescent="0.2">
      <c r="R96" t="s">
        <v>28</v>
      </c>
      <c r="S96" t="s">
        <v>133</v>
      </c>
    </row>
    <row r="97" spans="18:19" x14ac:dyDescent="0.2">
      <c r="R97" t="s">
        <v>28</v>
      </c>
      <c r="S97" t="s">
        <v>134</v>
      </c>
    </row>
    <row r="98" spans="18:19" x14ac:dyDescent="0.2">
      <c r="R98" t="s">
        <v>28</v>
      </c>
      <c r="S98" t="s">
        <v>135</v>
      </c>
    </row>
    <row r="99" spans="18:19" x14ac:dyDescent="0.2">
      <c r="R99" t="s">
        <v>28</v>
      </c>
      <c r="S99" t="s">
        <v>743</v>
      </c>
    </row>
    <row r="100" spans="18:19" x14ac:dyDescent="0.2">
      <c r="R100" t="s">
        <v>28</v>
      </c>
      <c r="S100" t="s">
        <v>136</v>
      </c>
    </row>
    <row r="101" spans="18:19" x14ac:dyDescent="0.2">
      <c r="R101" t="s">
        <v>28</v>
      </c>
      <c r="S101" t="s">
        <v>744</v>
      </c>
    </row>
    <row r="102" spans="18:19" x14ac:dyDescent="0.2">
      <c r="R102" t="s">
        <v>28</v>
      </c>
      <c r="S102" t="s">
        <v>137</v>
      </c>
    </row>
    <row r="103" spans="18:19" x14ac:dyDescent="0.2">
      <c r="R103" t="s">
        <v>28</v>
      </c>
      <c r="S103" t="s">
        <v>138</v>
      </c>
    </row>
    <row r="104" spans="18:19" x14ac:dyDescent="0.2">
      <c r="R104" t="s">
        <v>29</v>
      </c>
      <c r="S104" t="s">
        <v>129</v>
      </c>
    </row>
    <row r="105" spans="18:19" x14ac:dyDescent="0.2">
      <c r="R105" t="s">
        <v>29</v>
      </c>
      <c r="S105" t="s">
        <v>130</v>
      </c>
    </row>
    <row r="106" spans="18:19" x14ac:dyDescent="0.2">
      <c r="R106" t="s">
        <v>29</v>
      </c>
      <c r="S106" t="s">
        <v>131</v>
      </c>
    </row>
    <row r="107" spans="18:19" x14ac:dyDescent="0.2">
      <c r="R107" t="s">
        <v>29</v>
      </c>
      <c r="S107" t="s">
        <v>132</v>
      </c>
    </row>
    <row r="108" spans="18:19" x14ac:dyDescent="0.2">
      <c r="R108" t="s">
        <v>29</v>
      </c>
      <c r="S108" t="s">
        <v>133</v>
      </c>
    </row>
    <row r="109" spans="18:19" x14ac:dyDescent="0.2">
      <c r="R109" t="s">
        <v>29</v>
      </c>
      <c r="S109" t="s">
        <v>134</v>
      </c>
    </row>
    <row r="110" spans="18:19" x14ac:dyDescent="0.2">
      <c r="R110" t="s">
        <v>29</v>
      </c>
      <c r="S110" t="s">
        <v>135</v>
      </c>
    </row>
    <row r="111" spans="18:19" x14ac:dyDescent="0.2">
      <c r="R111" t="s">
        <v>29</v>
      </c>
      <c r="S111" t="s">
        <v>743</v>
      </c>
    </row>
    <row r="112" spans="18:19" x14ac:dyDescent="0.2">
      <c r="R112" t="s">
        <v>29</v>
      </c>
      <c r="S112" t="s">
        <v>136</v>
      </c>
    </row>
    <row r="113" spans="18:19" x14ac:dyDescent="0.2">
      <c r="R113" t="s">
        <v>29</v>
      </c>
      <c r="S113" t="s">
        <v>744</v>
      </c>
    </row>
    <row r="114" spans="18:19" x14ac:dyDescent="0.2">
      <c r="R114" t="s">
        <v>29</v>
      </c>
      <c r="S114" t="s">
        <v>137</v>
      </c>
    </row>
    <row r="115" spans="18:19" x14ac:dyDescent="0.2">
      <c r="R115" t="s">
        <v>29</v>
      </c>
      <c r="S115" t="s">
        <v>138</v>
      </c>
    </row>
    <row r="116" spans="18:19" x14ac:dyDescent="0.2">
      <c r="R116" t="s">
        <v>65</v>
      </c>
      <c r="S116" t="s">
        <v>139</v>
      </c>
    </row>
    <row r="117" spans="18:19" x14ac:dyDescent="0.2">
      <c r="R117" t="s">
        <v>65</v>
      </c>
      <c r="S117" t="s">
        <v>140</v>
      </c>
    </row>
    <row r="118" spans="18:19" x14ac:dyDescent="0.2">
      <c r="R118" t="s">
        <v>65</v>
      </c>
      <c r="S118" t="s">
        <v>141</v>
      </c>
    </row>
    <row r="119" spans="18:19" x14ac:dyDescent="0.2">
      <c r="R119" t="s">
        <v>65</v>
      </c>
      <c r="S119" t="s">
        <v>142</v>
      </c>
    </row>
    <row r="120" spans="18:19" x14ac:dyDescent="0.2">
      <c r="R120" t="s">
        <v>65</v>
      </c>
      <c r="S120" t="s">
        <v>143</v>
      </c>
    </row>
    <row r="121" spans="18:19" x14ac:dyDescent="0.2">
      <c r="R121" t="s">
        <v>65</v>
      </c>
      <c r="S121" t="s">
        <v>144</v>
      </c>
    </row>
    <row r="122" spans="18:19" x14ac:dyDescent="0.2">
      <c r="R122" t="s">
        <v>65</v>
      </c>
      <c r="S122" t="s">
        <v>145</v>
      </c>
    </row>
  </sheetData>
  <sheetProtection algorithmName="SHA-512" hashValue="agdz8f/3q683jgn92pI7LoV7kY8H0yobTOoqNZeAXCIUQOeWYhHd+YDu5k/QT6YLpjxxu7TMzSCWA7XcRW4APQ==" saltValue="lO2nDeGe5Z5AJkJD5vbDoQ==" spinCount="100000" sheet="1" objects="1" scenarios="1" autoFilter="0"/>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2892-48E5-42FE-B6DE-018FAF6BFA4C}">
  <sheetPr>
    <tabColor theme="7" tint="0.39997558519241921"/>
  </sheetPr>
  <dimension ref="A1:D16"/>
  <sheetViews>
    <sheetView showGridLines="0" zoomScaleNormal="100" workbookViewId="0"/>
  </sheetViews>
  <sheetFormatPr defaultColWidth="0" defaultRowHeight="14.25" zeroHeight="1" x14ac:dyDescent="0.2"/>
  <cols>
    <col min="1" max="1" width="45.25" style="173" customWidth="1"/>
    <col min="2" max="2" width="9" style="172" customWidth="1"/>
    <col min="3" max="3" width="108.5" style="172" customWidth="1"/>
    <col min="4" max="4" width="9" style="172" customWidth="1"/>
    <col min="5" max="16384" width="8" style="172" hidden="1"/>
  </cols>
  <sheetData>
    <row r="1" spans="1:4" ht="24" thickBot="1" x14ac:dyDescent="0.25">
      <c r="A1" s="170" t="s">
        <v>1201</v>
      </c>
      <c r="B1" s="171"/>
      <c r="C1" s="171"/>
      <c r="D1" s="171"/>
    </row>
    <row r="2" spans="1:4" ht="15" thickTop="1" x14ac:dyDescent="0.2"/>
    <row r="3" spans="1:4" ht="20.25" thickBot="1" x14ac:dyDescent="0.25">
      <c r="A3" s="18" t="s">
        <v>150</v>
      </c>
      <c r="B3" s="13"/>
      <c r="C3" s="13"/>
      <c r="D3" s="13"/>
    </row>
    <row r="4" spans="1:4" ht="15" thickTop="1" x14ac:dyDescent="0.2">
      <c r="A4" s="173" t="s">
        <v>873</v>
      </c>
    </row>
    <row r="5" spans="1:4" x14ac:dyDescent="0.2">
      <c r="A5" s="173" t="s">
        <v>1230</v>
      </c>
    </row>
    <row r="6" spans="1:4" x14ac:dyDescent="0.2"/>
    <row r="7" spans="1:4" ht="17.25" thickBot="1" x14ac:dyDescent="0.25">
      <c r="A7" s="25" t="s">
        <v>254</v>
      </c>
      <c r="B7" s="20" t="s">
        <v>255</v>
      </c>
      <c r="C7" s="20" t="s">
        <v>4</v>
      </c>
      <c r="D7" s="20"/>
    </row>
    <row r="8" spans="1:4" ht="15.75" thickTop="1" x14ac:dyDescent="0.2">
      <c r="A8" s="190" t="str">
        <f>'1B Producer'!$B$5</f>
        <v>Producer Name (as reported to CAA)</v>
      </c>
      <c r="B8" s="120" t="s">
        <v>77</v>
      </c>
      <c r="C8" s="191" t="s">
        <v>803</v>
      </c>
    </row>
    <row r="9" spans="1:4" ht="28.5" x14ac:dyDescent="0.2">
      <c r="A9" s="192" t="str">
        <f>'1B Producer'!$B$6</f>
        <v>Employer Identification Number (EIN) or Taxpayer Identification Number (TIN)</v>
      </c>
      <c r="B9" s="121" t="s">
        <v>80</v>
      </c>
      <c r="C9" s="193" t="s">
        <v>802</v>
      </c>
    </row>
    <row r="10" spans="1:4" ht="15" x14ac:dyDescent="0.2">
      <c r="A10" s="192" t="s">
        <v>899</v>
      </c>
      <c r="B10" s="121" t="s">
        <v>1141</v>
      </c>
      <c r="C10" s="193" t="s">
        <v>1142</v>
      </c>
    </row>
    <row r="11" spans="1:4" ht="15" x14ac:dyDescent="0.2">
      <c r="A11" s="192" t="s">
        <v>900</v>
      </c>
      <c r="B11" s="121" t="s">
        <v>85</v>
      </c>
      <c r="C11" s="193" t="s">
        <v>902</v>
      </c>
    </row>
    <row r="12" spans="1:4" ht="15" x14ac:dyDescent="0.2">
      <c r="A12" s="192" t="s">
        <v>901</v>
      </c>
      <c r="B12" s="121" t="s">
        <v>1140</v>
      </c>
      <c r="C12" s="193" t="s">
        <v>903</v>
      </c>
    </row>
    <row r="13" spans="1:4" ht="15" x14ac:dyDescent="0.2">
      <c r="A13" s="24"/>
    </row>
    <row r="14" spans="1:4" ht="20.25" thickBot="1" x14ac:dyDescent="0.25">
      <c r="A14" s="18" t="s">
        <v>1213</v>
      </c>
      <c r="B14" s="13"/>
      <c r="C14" s="13"/>
      <c r="D14" s="13"/>
    </row>
    <row r="15" spans="1:4" ht="15" thickTop="1" x14ac:dyDescent="0.2">
      <c r="A15" s="160" t="s">
        <v>785</v>
      </c>
      <c r="B15" s="194">
        <f>10-COUNTA(TR_1ProducerInfo[Producer Response])</f>
        <v>10</v>
      </c>
      <c r="C15" s="165" t="s">
        <v>909</v>
      </c>
    </row>
    <row r="16" spans="1:4" x14ac:dyDescent="0.2"/>
  </sheetData>
  <sheetProtection algorithmName="SHA-512" hashValue="R2Mb0CUBWaGZicre5+tGgYwMPcSAQ4SlPBG6iRIKR3gH0TwyeLAbOCzZ/mfi+2PgUig7xAWX0K10vOodJ7z0AQ==" saltValue="TKMaVYH8h/nimXg1CSBlRQ==" spinCount="100000" sheet="1" objects="1" scenarios="1"/>
  <conditionalFormatting sqref="B15">
    <cfRule type="expression" dxfId="50" priority="1">
      <formula>B15&gt;0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EBC4-919E-46FF-9385-964C163A9C13}">
  <sheetPr>
    <tabColor theme="7" tint="-0.249977111117893"/>
  </sheetPr>
  <dimension ref="A1:D15"/>
  <sheetViews>
    <sheetView showGridLines="0" workbookViewId="0"/>
  </sheetViews>
  <sheetFormatPr defaultColWidth="0" defaultRowHeight="14.25" zeroHeight="1" x14ac:dyDescent="0.2"/>
  <cols>
    <col min="1" max="1" width="10" style="173" customWidth="1"/>
    <col min="2" max="2" width="70.75" style="172" customWidth="1"/>
    <col min="3" max="3" width="86.5" style="172" customWidth="1"/>
    <col min="4" max="4" width="9" style="172" customWidth="1"/>
    <col min="5" max="5" width="9" style="172" hidden="1" customWidth="1"/>
    <col min="6" max="16384" width="9" style="172" hidden="1"/>
  </cols>
  <sheetData>
    <row r="1" spans="1:4" ht="24" thickBot="1" x14ac:dyDescent="0.25">
      <c r="A1" s="170" t="s">
        <v>1202</v>
      </c>
      <c r="B1" s="171"/>
      <c r="C1" s="171"/>
      <c r="D1" s="171"/>
    </row>
    <row r="2" spans="1:4" ht="15" thickTop="1" x14ac:dyDescent="0.2"/>
    <row r="3" spans="1:4" x14ac:dyDescent="0.2"/>
    <row r="4" spans="1:4" ht="15" x14ac:dyDescent="0.2">
      <c r="A4" s="32" t="s">
        <v>101</v>
      </c>
      <c r="B4" s="98" t="s">
        <v>162</v>
      </c>
      <c r="C4" s="98" t="s">
        <v>161</v>
      </c>
      <c r="D4" s="91"/>
    </row>
    <row r="5" spans="1:4" ht="15" x14ac:dyDescent="0.2">
      <c r="A5" s="101" t="s">
        <v>77</v>
      </c>
      <c r="B5" s="99" t="s">
        <v>154</v>
      </c>
      <c r="C5" s="195"/>
    </row>
    <row r="6" spans="1:4" ht="15" x14ac:dyDescent="0.2">
      <c r="A6" s="101" t="s">
        <v>80</v>
      </c>
      <c r="B6" s="99" t="s">
        <v>203</v>
      </c>
      <c r="C6" s="195"/>
    </row>
    <row r="7" spans="1:4" ht="15" x14ac:dyDescent="0.2">
      <c r="A7" s="101" t="s">
        <v>78</v>
      </c>
      <c r="B7" s="100" t="s">
        <v>0</v>
      </c>
      <c r="C7" s="195"/>
    </row>
    <row r="8" spans="1:4" ht="15" x14ac:dyDescent="0.2">
      <c r="A8" s="101" t="s">
        <v>81</v>
      </c>
      <c r="B8" s="100" t="s">
        <v>1</v>
      </c>
      <c r="C8" s="195"/>
    </row>
    <row r="9" spans="1:4" ht="15" x14ac:dyDescent="0.2">
      <c r="A9" s="101" t="s">
        <v>82</v>
      </c>
      <c r="B9" s="100" t="s">
        <v>2</v>
      </c>
      <c r="C9" s="195"/>
    </row>
    <row r="10" spans="1:4" ht="15" x14ac:dyDescent="0.2">
      <c r="A10" s="101" t="s">
        <v>83</v>
      </c>
      <c r="B10" s="100" t="s">
        <v>76</v>
      </c>
      <c r="C10" s="195"/>
    </row>
    <row r="11" spans="1:4" ht="15" x14ac:dyDescent="0.2">
      <c r="A11" s="101" t="s">
        <v>84</v>
      </c>
      <c r="B11" s="100" t="s">
        <v>1139</v>
      </c>
      <c r="C11" s="195"/>
    </row>
    <row r="12" spans="1:4" ht="15" x14ac:dyDescent="0.2">
      <c r="A12" s="101" t="s">
        <v>85</v>
      </c>
      <c r="B12" s="100" t="s">
        <v>151</v>
      </c>
      <c r="C12" s="195"/>
    </row>
    <row r="13" spans="1:4" ht="15" x14ac:dyDescent="0.2">
      <c r="A13" s="101" t="s">
        <v>86</v>
      </c>
      <c r="B13" s="100" t="s">
        <v>152</v>
      </c>
      <c r="C13" s="195"/>
    </row>
    <row r="14" spans="1:4" ht="15" x14ac:dyDescent="0.2">
      <c r="A14" s="101" t="s">
        <v>87</v>
      </c>
      <c r="B14" s="100" t="s">
        <v>153</v>
      </c>
      <c r="C14" s="195"/>
    </row>
    <row r="15" spans="1:4" x14ac:dyDescent="0.2"/>
  </sheetData>
  <sheetProtection algorithmName="SHA-512" hashValue="+376iAO5oh3vIQILla3gqJE1/xHOEa+lnCXS7brITyO1LHGcRXULKyAtxSxrtkWe9qe3TBzXQoJExpGtshi5Iw==" saltValue="cNquB2ON6cHIgRTCREyEWQ==" spinCount="100000" sheet="1" objects="1" scenarios="1" autoFilter="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ACEB-D501-4793-828F-4EEC039EF167}">
  <sheetPr>
    <tabColor theme="6" tint="0.39997558519241921"/>
  </sheetPr>
  <dimension ref="A1:D23"/>
  <sheetViews>
    <sheetView showGridLines="0" workbookViewId="0"/>
  </sheetViews>
  <sheetFormatPr defaultColWidth="0" defaultRowHeight="14.25" zeroHeight="1" x14ac:dyDescent="0.2"/>
  <cols>
    <col min="1" max="1" width="36" style="17" customWidth="1"/>
    <col min="2" max="2" width="9" style="87" customWidth="1"/>
    <col min="3" max="3" width="129.625" style="4" customWidth="1"/>
    <col min="4" max="4" width="9" customWidth="1"/>
    <col min="5" max="16384" width="8" hidden="1"/>
  </cols>
  <sheetData>
    <row r="1" spans="1:4" ht="24" thickBot="1" x14ac:dyDescent="0.25">
      <c r="A1" s="44" t="s">
        <v>1200</v>
      </c>
      <c r="B1" s="86"/>
      <c r="C1" s="43"/>
      <c r="D1" s="42"/>
    </row>
    <row r="2" spans="1:4" ht="15" thickTop="1" x14ac:dyDescent="0.2"/>
    <row r="3" spans="1:4" ht="20.25" thickBot="1" x14ac:dyDescent="0.25">
      <c r="A3" s="18" t="s">
        <v>748</v>
      </c>
      <c r="B3" s="88"/>
      <c r="C3" s="14"/>
      <c r="D3" s="13"/>
    </row>
    <row r="4" spans="1:4" ht="15" thickTop="1" x14ac:dyDescent="0.2">
      <c r="A4" s="17" t="s">
        <v>1276</v>
      </c>
    </row>
    <row r="5" spans="1:4" x14ac:dyDescent="0.2"/>
    <row r="6" spans="1:4" ht="17.25" thickBot="1" x14ac:dyDescent="0.25">
      <c r="A6" s="25" t="s">
        <v>254</v>
      </c>
      <c r="B6" s="89" t="s">
        <v>255</v>
      </c>
      <c r="C6" s="21" t="s">
        <v>4</v>
      </c>
      <c r="D6" s="21"/>
    </row>
    <row r="7" spans="1:4" ht="15.75" thickTop="1" x14ac:dyDescent="0.2">
      <c r="A7" s="123" t="str">
        <f>TR_2SuppliedPounds[[#Headers],[ID_MS]]</f>
        <v>ID_MS</v>
      </c>
      <c r="B7" s="124" t="s">
        <v>77</v>
      </c>
      <c r="C7" s="125" t="s">
        <v>804</v>
      </c>
    </row>
    <row r="8" spans="1:4" ht="15" x14ac:dyDescent="0.2">
      <c r="A8" s="119" t="str">
        <f>TR_2SuppliedPounds[[#Headers],[Material Reporting Category]]</f>
        <v>Material Reporting Category</v>
      </c>
      <c r="B8" s="126" t="s">
        <v>80</v>
      </c>
      <c r="C8" s="127" t="s">
        <v>1078</v>
      </c>
    </row>
    <row r="9" spans="1:4" ht="30" x14ac:dyDescent="0.2">
      <c r="A9" s="119" t="str">
        <f>TR_2SuppliedPounds[[#Headers],[Gross supply weight into Oregon (2024 pounds)]]</f>
        <v>Gross supply weight into Oregon (2024 pounds)</v>
      </c>
      <c r="B9" s="126" t="s">
        <v>78</v>
      </c>
      <c r="C9" s="127" t="s">
        <v>1043</v>
      </c>
    </row>
    <row r="10" spans="1:4" ht="15" x14ac:dyDescent="0.2">
      <c r="A10" s="119" t="str">
        <f>TR_2SuppliedPounds[[#Headers],[Claim Type]]</f>
        <v>Claim Type</v>
      </c>
      <c r="B10" s="126" t="s">
        <v>81</v>
      </c>
      <c r="C10" s="128" t="s">
        <v>1098</v>
      </c>
    </row>
    <row r="11" spans="1:4" ht="42.75" x14ac:dyDescent="0.2">
      <c r="A11" s="119" t="str">
        <f>TR_2SuppliedPounds[[#Headers],[Gross supply weight (2024 pounds) of printer/copier paper]]</f>
        <v>Gross supply weight (2024 pounds) of printer/copier paper</v>
      </c>
      <c r="B11" s="126" t="s">
        <v>82</v>
      </c>
      <c r="C11" s="127" t="s">
        <v>1220</v>
      </c>
    </row>
    <row r="12" spans="1:4" ht="30" x14ac:dyDescent="0.2">
      <c r="A12" s="119" t="s">
        <v>887</v>
      </c>
      <c r="B12" s="126" t="s">
        <v>1097</v>
      </c>
      <c r="C12" s="127" t="s">
        <v>886</v>
      </c>
    </row>
    <row r="13" spans="1:4" x14ac:dyDescent="0.2">
      <c r="C13" s="28"/>
    </row>
    <row r="14" spans="1:4" ht="20.25" thickBot="1" x14ac:dyDescent="0.25">
      <c r="A14" s="18" t="s">
        <v>1274</v>
      </c>
      <c r="B14" s="88"/>
      <c r="C14" s="14"/>
      <c r="D14" s="13"/>
    </row>
    <row r="15" spans="1:4" ht="15.75" thickTop="1" x14ac:dyDescent="0.2">
      <c r="A15" s="66" t="s">
        <v>1163</v>
      </c>
      <c r="B15" s="129" t="s">
        <v>782</v>
      </c>
      <c r="C15" s="130" t="s">
        <v>234</v>
      </c>
    </row>
    <row r="16" spans="1:4" ht="71.25" x14ac:dyDescent="0.2">
      <c r="A16" s="66" t="s">
        <v>1165</v>
      </c>
      <c r="B16" s="126" t="s">
        <v>1166</v>
      </c>
      <c r="C16" s="127" t="s">
        <v>872</v>
      </c>
    </row>
    <row r="17" spans="1:4" x14ac:dyDescent="0.2"/>
    <row r="18" spans="1:4" ht="20.25" thickBot="1" x14ac:dyDescent="0.25">
      <c r="A18" s="112" t="s">
        <v>1214</v>
      </c>
      <c r="B18" s="88"/>
      <c r="C18" s="14"/>
      <c r="D18" s="13"/>
    </row>
    <row r="19" spans="1:4" ht="15" thickTop="1" x14ac:dyDescent="0.2">
      <c r="A19" s="160" t="s">
        <v>784</v>
      </c>
      <c r="B19" s="161">
        <f>SUM(TR_2SuppliedPounds[Check duplicate materials])</f>
        <v>0</v>
      </c>
      <c r="C19" s="162" t="s">
        <v>877</v>
      </c>
    </row>
    <row r="20" spans="1:4" x14ac:dyDescent="0.2">
      <c r="A20" s="134" t="s">
        <v>785</v>
      </c>
      <c r="B20" s="135">
        <f>SUM(TR_2SuppliedPounds[Check missing info])</f>
        <v>0</v>
      </c>
      <c r="C20" s="128" t="s">
        <v>910</v>
      </c>
    </row>
    <row r="21" spans="1:4" ht="28.5" x14ac:dyDescent="0.2">
      <c r="A21" s="134" t="s">
        <v>786</v>
      </c>
      <c r="B21" s="135">
        <f>SUM(TR_2SuppliedPounds[Check extra info])</f>
        <v>0</v>
      </c>
      <c r="C21" s="127" t="s">
        <v>878</v>
      </c>
    </row>
    <row r="22" spans="1:4" x14ac:dyDescent="0.2">
      <c r="A22" s="134" t="s">
        <v>790</v>
      </c>
      <c r="B22" s="135">
        <f>SUM(TR_2SuppliedPounds[Check: pounds mismatch])</f>
        <v>0</v>
      </c>
      <c r="C22" s="127" t="s">
        <v>914</v>
      </c>
    </row>
    <row r="23" spans="1:4" x14ac:dyDescent="0.2"/>
  </sheetData>
  <sheetProtection algorithmName="SHA-512" hashValue="hBmF+sumOVm+huwsDSoCKIm0UV8tsrpOnUOksJNuZNoEfQzgzNk6fZxG96YTgmoBS5IBY0q0otCokDbAaYCq+g==" saltValue="E27fzjgc5tXnmS/az61n2A==" spinCount="100000" sheet="1" objects="1" scenarios="1"/>
  <conditionalFormatting sqref="B19:B22">
    <cfRule type="expression" dxfId="49" priority="1">
      <formula>B19&gt;0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47A07-F18B-4271-A673-E4B6B043A64B}">
  <sheetPr>
    <tabColor theme="6" tint="-0.249977111117893"/>
  </sheetPr>
  <dimension ref="A1:M31"/>
  <sheetViews>
    <sheetView showGridLines="0" zoomScaleNormal="100" workbookViewId="0"/>
  </sheetViews>
  <sheetFormatPr defaultColWidth="0" defaultRowHeight="14.25" zeroHeight="1" outlineLevelCol="1" x14ac:dyDescent="0.2"/>
  <cols>
    <col min="1" max="1" width="11.25" style="17" customWidth="1"/>
    <col min="2" max="2" width="59.75" customWidth="1"/>
    <col min="3" max="3" width="41.875" customWidth="1"/>
    <col min="4" max="4" width="21.5" customWidth="1"/>
    <col min="5" max="5" width="41.875" customWidth="1"/>
    <col min="6" max="11" width="13.75" hidden="1" customWidth="1" outlineLevel="1"/>
    <col min="12" max="12" width="30.25" hidden="1" customWidth="1" outlineLevel="1"/>
    <col min="13" max="13" width="9" customWidth="1" collapsed="1"/>
    <col min="14" max="16384" width="8" hidden="1"/>
  </cols>
  <sheetData>
    <row r="1" spans="1:13" ht="24" thickBot="1" x14ac:dyDescent="0.25">
      <c r="A1" s="44" t="s">
        <v>1203</v>
      </c>
      <c r="B1" s="42"/>
      <c r="C1" s="42"/>
      <c r="D1" s="42"/>
      <c r="E1" s="42"/>
      <c r="F1" s="42"/>
      <c r="G1" s="42"/>
      <c r="H1" s="42"/>
      <c r="I1" s="42"/>
      <c r="J1" s="42"/>
      <c r="K1" s="42"/>
      <c r="L1" s="42"/>
      <c r="M1" s="42"/>
    </row>
    <row r="2" spans="1:13" ht="15" thickTop="1" x14ac:dyDescent="0.2"/>
    <row r="3" spans="1:13" ht="28.5" x14ac:dyDescent="0.2">
      <c r="A3" s="60" t="s">
        <v>124</v>
      </c>
      <c r="B3" s="96" t="s">
        <v>1079</v>
      </c>
      <c r="C3" s="97" t="s">
        <v>779</v>
      </c>
      <c r="D3" s="97" t="s">
        <v>1077</v>
      </c>
      <c r="E3" s="96" t="s">
        <v>779</v>
      </c>
      <c r="F3" s="59" t="s">
        <v>248</v>
      </c>
      <c r="G3" s="59" t="s">
        <v>248</v>
      </c>
      <c r="H3" s="59" t="s">
        <v>248</v>
      </c>
      <c r="I3" s="59" t="s">
        <v>248</v>
      </c>
      <c r="J3" s="59" t="s">
        <v>248</v>
      </c>
      <c r="K3" s="59" t="s">
        <v>917</v>
      </c>
      <c r="L3" s="59" t="s">
        <v>904</v>
      </c>
    </row>
    <row r="4" spans="1:13" ht="15" x14ac:dyDescent="0.2">
      <c r="A4" s="16" t="s">
        <v>77</v>
      </c>
      <c r="B4" s="16" t="s">
        <v>80</v>
      </c>
      <c r="C4" s="16" t="s">
        <v>78</v>
      </c>
      <c r="D4" s="16" t="s">
        <v>81</v>
      </c>
      <c r="E4" s="16" t="s">
        <v>82</v>
      </c>
      <c r="F4" s="16" t="s">
        <v>83</v>
      </c>
      <c r="G4" s="16" t="s">
        <v>84</v>
      </c>
      <c r="H4" s="16" t="s">
        <v>85</v>
      </c>
      <c r="I4" s="16" t="s">
        <v>86</v>
      </c>
      <c r="J4" s="16" t="s">
        <v>87</v>
      </c>
      <c r="K4" s="16" t="s">
        <v>88</v>
      </c>
      <c r="L4" s="16" t="s">
        <v>89</v>
      </c>
    </row>
    <row r="5" spans="1:13" ht="45.75" thickBot="1" x14ac:dyDescent="0.25">
      <c r="A5" s="29" t="s">
        <v>264</v>
      </c>
      <c r="B5" s="6" t="s">
        <v>105</v>
      </c>
      <c r="C5" s="110" t="s">
        <v>780</v>
      </c>
      <c r="D5" s="6" t="s">
        <v>1074</v>
      </c>
      <c r="E5" s="6" t="s">
        <v>1219</v>
      </c>
      <c r="F5" s="8" t="s">
        <v>165</v>
      </c>
      <c r="G5" s="6" t="s">
        <v>107</v>
      </c>
      <c r="H5" s="6" t="s">
        <v>742</v>
      </c>
      <c r="I5" s="6" t="s">
        <v>741</v>
      </c>
      <c r="J5" s="6" t="s">
        <v>781</v>
      </c>
      <c r="K5" s="6" t="s">
        <v>262</v>
      </c>
      <c r="L5" s="6" t="s">
        <v>1047</v>
      </c>
    </row>
    <row r="6" spans="1:13" ht="16.5" thickTop="1" thickBot="1" x14ac:dyDescent="0.25">
      <c r="A6" s="95" t="s">
        <v>265</v>
      </c>
      <c r="B6" s="51"/>
      <c r="C6" s="52"/>
      <c r="D6" s="52"/>
      <c r="E6" s="52"/>
      <c r="F6" s="92">
        <f>IF(COUNTIFS(TR_2SuppliedPounds[Material Reporting Category],TR_2SuppliedPounds[[#This Row],[Material Reporting Category]])&gt;1,1,0)</f>
        <v>0</v>
      </c>
      <c r="G6"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6"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6" s="92">
        <f>IF(TR_2SuppliedPounds[[#This Row],[Gross supply weight (2024 pounds) of printer/copier paper]]&gt;TR_2SuppliedPounds[[#This Row],[Gross supply weight into Oregon (2024 pounds)]],1,0)</f>
        <v>0</v>
      </c>
      <c r="J6"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6" s="80" t="str">
        <f t="shared" ref="K6:K30" si="0">IF(DR_ProducerID=0,"",DR_ProducerID)</f>
        <v/>
      </c>
      <c r="L6" s="39"/>
    </row>
    <row r="7" spans="1:13" ht="16.5" thickTop="1" thickBot="1" x14ac:dyDescent="0.25">
      <c r="A7" s="95" t="s">
        <v>266</v>
      </c>
      <c r="B7" s="51"/>
      <c r="C7" s="52"/>
      <c r="D7" s="52"/>
      <c r="E7" s="52"/>
      <c r="F7" s="92">
        <f>IF(COUNTIFS(TR_2SuppliedPounds[Material Reporting Category],TR_2SuppliedPounds[[#This Row],[Material Reporting Category]])&gt;1,1,0)</f>
        <v>0</v>
      </c>
      <c r="G7"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7"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7" s="92">
        <f>IF(TR_2SuppliedPounds[[#This Row],[Gross supply weight (2024 pounds) of printer/copier paper]]&gt;TR_2SuppliedPounds[[#This Row],[Gross supply weight into Oregon (2024 pounds)]],1,0)</f>
        <v>0</v>
      </c>
      <c r="J7"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7" s="80" t="str">
        <f t="shared" si="0"/>
        <v/>
      </c>
      <c r="L7" s="39"/>
    </row>
    <row r="8" spans="1:13" ht="16.5" thickTop="1" thickBot="1" x14ac:dyDescent="0.25">
      <c r="A8" s="95" t="s">
        <v>267</v>
      </c>
      <c r="B8" s="51"/>
      <c r="C8" s="52"/>
      <c r="D8" s="52"/>
      <c r="E8" s="52"/>
      <c r="F8" s="92">
        <f>IF(COUNTIFS(TR_2SuppliedPounds[Material Reporting Category],TR_2SuppliedPounds[[#This Row],[Material Reporting Category]])&gt;1,1,0)</f>
        <v>0</v>
      </c>
      <c r="G8"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8"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8" s="92">
        <f>IF(TR_2SuppliedPounds[[#This Row],[Gross supply weight (2024 pounds) of printer/copier paper]]&gt;TR_2SuppliedPounds[[#This Row],[Gross supply weight into Oregon (2024 pounds)]],1,0)</f>
        <v>0</v>
      </c>
      <c r="J8"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8" s="80" t="str">
        <f t="shared" si="0"/>
        <v/>
      </c>
      <c r="L8" s="39"/>
    </row>
    <row r="9" spans="1:13" ht="16.5" thickTop="1" thickBot="1" x14ac:dyDescent="0.25">
      <c r="A9" s="82" t="s">
        <v>268</v>
      </c>
      <c r="B9" s="51"/>
      <c r="C9" s="52"/>
      <c r="D9" s="52"/>
      <c r="E9" s="52"/>
      <c r="F9" s="92">
        <f>IF(COUNTIFS(TR_2SuppliedPounds[Material Reporting Category],TR_2SuppliedPounds[[#This Row],[Material Reporting Category]])&gt;1,1,0)</f>
        <v>0</v>
      </c>
      <c r="G9"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9"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9" s="92">
        <f>IF(TR_2SuppliedPounds[[#This Row],[Gross supply weight (2024 pounds) of printer/copier paper]]&gt;TR_2SuppliedPounds[[#This Row],[Gross supply weight into Oregon (2024 pounds)]],1,0)</f>
        <v>0</v>
      </c>
      <c r="J9"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9" s="80" t="str">
        <f t="shared" si="0"/>
        <v/>
      </c>
      <c r="L9" s="39"/>
    </row>
    <row r="10" spans="1:13" ht="16.5" thickTop="1" thickBot="1" x14ac:dyDescent="0.25">
      <c r="A10" s="82" t="s">
        <v>269</v>
      </c>
      <c r="B10" s="51"/>
      <c r="C10" s="52"/>
      <c r="D10" s="52"/>
      <c r="E10" s="52"/>
      <c r="F10" s="92">
        <f>IF(COUNTIFS(TR_2SuppliedPounds[Material Reporting Category],TR_2SuppliedPounds[[#This Row],[Material Reporting Category]])&gt;1,1,0)</f>
        <v>0</v>
      </c>
      <c r="G10"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0"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0" s="92">
        <f>IF(TR_2SuppliedPounds[[#This Row],[Gross supply weight (2024 pounds) of printer/copier paper]]&gt;TR_2SuppliedPounds[[#This Row],[Gross supply weight into Oregon (2024 pounds)]],1,0)</f>
        <v>0</v>
      </c>
      <c r="J10"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0" s="80" t="str">
        <f t="shared" si="0"/>
        <v/>
      </c>
      <c r="L10" s="39"/>
    </row>
    <row r="11" spans="1:13" ht="16.5" thickTop="1" thickBot="1" x14ac:dyDescent="0.25">
      <c r="A11" s="82" t="s">
        <v>270</v>
      </c>
      <c r="B11" s="51"/>
      <c r="C11" s="52"/>
      <c r="D11" s="52"/>
      <c r="E11" s="52"/>
      <c r="F11" s="92">
        <f>IF(COUNTIFS(TR_2SuppliedPounds[Material Reporting Category],TR_2SuppliedPounds[[#This Row],[Material Reporting Category]])&gt;1,1,0)</f>
        <v>0</v>
      </c>
      <c r="G11"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1"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1" s="92">
        <f>IF(TR_2SuppliedPounds[[#This Row],[Gross supply weight (2024 pounds) of printer/copier paper]]&gt;TR_2SuppliedPounds[[#This Row],[Gross supply weight into Oregon (2024 pounds)]],1,0)</f>
        <v>0</v>
      </c>
      <c r="J11"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1" s="80" t="str">
        <f t="shared" si="0"/>
        <v/>
      </c>
      <c r="L11" s="39"/>
    </row>
    <row r="12" spans="1:13" ht="16.5" thickTop="1" thickBot="1" x14ac:dyDescent="0.25">
      <c r="A12" s="82" t="s">
        <v>271</v>
      </c>
      <c r="B12" s="51"/>
      <c r="C12" s="52"/>
      <c r="D12" s="52"/>
      <c r="E12" s="52"/>
      <c r="F12" s="92">
        <f>IF(COUNTIFS(TR_2SuppliedPounds[Material Reporting Category],TR_2SuppliedPounds[[#This Row],[Material Reporting Category]])&gt;1,1,0)</f>
        <v>0</v>
      </c>
      <c r="G12"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2"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2" s="92">
        <f>IF(TR_2SuppliedPounds[[#This Row],[Gross supply weight (2024 pounds) of printer/copier paper]]&gt;TR_2SuppliedPounds[[#This Row],[Gross supply weight into Oregon (2024 pounds)]],1,0)</f>
        <v>0</v>
      </c>
      <c r="J12"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2" s="80" t="str">
        <f t="shared" si="0"/>
        <v/>
      </c>
      <c r="L12" s="39"/>
    </row>
    <row r="13" spans="1:13" ht="16.5" thickTop="1" thickBot="1" x14ac:dyDescent="0.25">
      <c r="A13" s="82" t="s">
        <v>272</v>
      </c>
      <c r="B13" s="51"/>
      <c r="C13" s="52"/>
      <c r="D13" s="52"/>
      <c r="E13" s="52"/>
      <c r="F13" s="92">
        <f>IF(COUNTIFS(TR_2SuppliedPounds[Material Reporting Category],TR_2SuppliedPounds[[#This Row],[Material Reporting Category]])&gt;1,1,0)</f>
        <v>0</v>
      </c>
      <c r="G13"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3"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3" s="92">
        <f>IF(TR_2SuppliedPounds[[#This Row],[Gross supply weight (2024 pounds) of printer/copier paper]]&gt;TR_2SuppliedPounds[[#This Row],[Gross supply weight into Oregon (2024 pounds)]],1,0)</f>
        <v>0</v>
      </c>
      <c r="J13"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3" s="80" t="str">
        <f t="shared" si="0"/>
        <v/>
      </c>
      <c r="L13" s="39"/>
    </row>
    <row r="14" spans="1:13" ht="16.5" thickTop="1" thickBot="1" x14ac:dyDescent="0.25">
      <c r="A14" s="82" t="s">
        <v>273</v>
      </c>
      <c r="B14" s="51"/>
      <c r="C14" s="52"/>
      <c r="D14" s="52"/>
      <c r="E14" s="52"/>
      <c r="F14" s="92">
        <f>IF(COUNTIFS(TR_2SuppliedPounds[Material Reporting Category],TR_2SuppliedPounds[[#This Row],[Material Reporting Category]])&gt;1,1,0)</f>
        <v>0</v>
      </c>
      <c r="G14"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4"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4" s="92">
        <f>IF(TR_2SuppliedPounds[[#This Row],[Gross supply weight (2024 pounds) of printer/copier paper]]&gt;TR_2SuppliedPounds[[#This Row],[Gross supply weight into Oregon (2024 pounds)]],1,0)</f>
        <v>0</v>
      </c>
      <c r="J14"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4" s="80" t="str">
        <f t="shared" si="0"/>
        <v/>
      </c>
      <c r="L14" s="39"/>
    </row>
    <row r="15" spans="1:13" ht="16.5" thickTop="1" thickBot="1" x14ac:dyDescent="0.25">
      <c r="A15" s="82" t="s">
        <v>274</v>
      </c>
      <c r="B15" s="51"/>
      <c r="C15" s="52"/>
      <c r="D15" s="52"/>
      <c r="E15" s="52"/>
      <c r="F15" s="92">
        <f>IF(COUNTIFS(TR_2SuppliedPounds[Material Reporting Category],TR_2SuppliedPounds[[#This Row],[Material Reporting Category]])&gt;1,1,0)</f>
        <v>0</v>
      </c>
      <c r="G15"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5"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5" s="92">
        <f>IF(TR_2SuppliedPounds[[#This Row],[Gross supply weight (2024 pounds) of printer/copier paper]]&gt;TR_2SuppliedPounds[[#This Row],[Gross supply weight into Oregon (2024 pounds)]],1,0)</f>
        <v>0</v>
      </c>
      <c r="J15"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5" s="80" t="str">
        <f t="shared" si="0"/>
        <v/>
      </c>
      <c r="L15" s="39"/>
    </row>
    <row r="16" spans="1:13" ht="16.5" thickTop="1" thickBot="1" x14ac:dyDescent="0.25">
      <c r="A16" s="82" t="s">
        <v>275</v>
      </c>
      <c r="B16" s="51"/>
      <c r="C16" s="52"/>
      <c r="D16" s="52"/>
      <c r="E16" s="52"/>
      <c r="F16" s="92">
        <f>IF(COUNTIFS(TR_2SuppliedPounds[Material Reporting Category],TR_2SuppliedPounds[[#This Row],[Material Reporting Category]])&gt;1,1,0)</f>
        <v>0</v>
      </c>
      <c r="G16"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6"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6" s="92">
        <f>IF(TR_2SuppliedPounds[[#This Row],[Gross supply weight (2024 pounds) of printer/copier paper]]&gt;TR_2SuppliedPounds[[#This Row],[Gross supply weight into Oregon (2024 pounds)]],1,0)</f>
        <v>0</v>
      </c>
      <c r="J16"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6" s="80" t="str">
        <f t="shared" si="0"/>
        <v/>
      </c>
      <c r="L16" s="39"/>
    </row>
    <row r="17" spans="1:12" ht="16.5" thickTop="1" thickBot="1" x14ac:dyDescent="0.25">
      <c r="A17" s="82" t="s">
        <v>276</v>
      </c>
      <c r="B17" s="51"/>
      <c r="C17" s="52"/>
      <c r="D17" s="52"/>
      <c r="E17" s="52"/>
      <c r="F17" s="92">
        <f>IF(COUNTIFS(TR_2SuppliedPounds[Material Reporting Category],TR_2SuppliedPounds[[#This Row],[Material Reporting Category]])&gt;1,1,0)</f>
        <v>0</v>
      </c>
      <c r="G17"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7"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7" s="92">
        <f>IF(TR_2SuppliedPounds[[#This Row],[Gross supply weight (2024 pounds) of printer/copier paper]]&gt;TR_2SuppliedPounds[[#This Row],[Gross supply weight into Oregon (2024 pounds)]],1,0)</f>
        <v>0</v>
      </c>
      <c r="J17"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7" s="80" t="str">
        <f t="shared" si="0"/>
        <v/>
      </c>
      <c r="L17" s="39"/>
    </row>
    <row r="18" spans="1:12" ht="16.5" thickTop="1" thickBot="1" x14ac:dyDescent="0.25">
      <c r="A18" s="82" t="s">
        <v>277</v>
      </c>
      <c r="B18" s="51"/>
      <c r="C18" s="52"/>
      <c r="D18" s="52"/>
      <c r="E18" s="52"/>
      <c r="F18" s="92">
        <f>IF(COUNTIFS(TR_2SuppliedPounds[Material Reporting Category],TR_2SuppliedPounds[[#This Row],[Material Reporting Category]])&gt;1,1,0)</f>
        <v>0</v>
      </c>
      <c r="G18"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8"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8" s="92">
        <f>IF(TR_2SuppliedPounds[[#This Row],[Gross supply weight (2024 pounds) of printer/copier paper]]&gt;TR_2SuppliedPounds[[#This Row],[Gross supply weight into Oregon (2024 pounds)]],1,0)</f>
        <v>0</v>
      </c>
      <c r="J18"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8" s="80" t="str">
        <f t="shared" si="0"/>
        <v/>
      </c>
      <c r="L18" s="39"/>
    </row>
    <row r="19" spans="1:12" ht="16.5" thickTop="1" thickBot="1" x14ac:dyDescent="0.25">
      <c r="A19" s="82" t="s">
        <v>278</v>
      </c>
      <c r="B19" s="51"/>
      <c r="C19" s="52"/>
      <c r="D19" s="52"/>
      <c r="E19" s="52"/>
      <c r="F19" s="92">
        <f>IF(COUNTIFS(TR_2SuppliedPounds[Material Reporting Category],TR_2SuppliedPounds[[#This Row],[Material Reporting Category]])&gt;1,1,0)</f>
        <v>0</v>
      </c>
      <c r="G19"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19"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19" s="92">
        <f>IF(TR_2SuppliedPounds[[#This Row],[Gross supply weight (2024 pounds) of printer/copier paper]]&gt;TR_2SuppliedPounds[[#This Row],[Gross supply weight into Oregon (2024 pounds)]],1,0)</f>
        <v>0</v>
      </c>
      <c r="J19"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19" s="80" t="str">
        <f t="shared" si="0"/>
        <v/>
      </c>
      <c r="L19" s="39"/>
    </row>
    <row r="20" spans="1:12" ht="16.5" thickTop="1" thickBot="1" x14ac:dyDescent="0.25">
      <c r="A20" s="95" t="s">
        <v>279</v>
      </c>
      <c r="B20" s="51"/>
      <c r="C20" s="52"/>
      <c r="D20" s="52"/>
      <c r="E20" s="52"/>
      <c r="F20" s="92">
        <f>IF(COUNTIFS(TR_2SuppliedPounds[Material Reporting Category],TR_2SuppliedPounds[[#This Row],[Material Reporting Category]])&gt;1,1,0)</f>
        <v>0</v>
      </c>
      <c r="G20"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0"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0" s="92">
        <f>IF(TR_2SuppliedPounds[[#This Row],[Gross supply weight (2024 pounds) of printer/copier paper]]&gt;TR_2SuppliedPounds[[#This Row],[Gross supply weight into Oregon (2024 pounds)]],1,0)</f>
        <v>0</v>
      </c>
      <c r="J20"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0" s="80" t="str">
        <f t="shared" si="0"/>
        <v/>
      </c>
      <c r="L20" s="39"/>
    </row>
    <row r="21" spans="1:12" ht="16.5" thickTop="1" thickBot="1" x14ac:dyDescent="0.25">
      <c r="A21" s="82" t="s">
        <v>280</v>
      </c>
      <c r="B21" s="51"/>
      <c r="C21" s="52"/>
      <c r="D21" s="52"/>
      <c r="E21" s="52"/>
      <c r="F21" s="92">
        <f>IF(COUNTIFS(TR_2SuppliedPounds[Material Reporting Category],TR_2SuppliedPounds[[#This Row],[Material Reporting Category]])&gt;1,1,0)</f>
        <v>0</v>
      </c>
      <c r="G21"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1"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1" s="92">
        <f>IF(TR_2SuppliedPounds[[#This Row],[Gross supply weight (2024 pounds) of printer/copier paper]]&gt;TR_2SuppliedPounds[[#This Row],[Gross supply weight into Oregon (2024 pounds)]],1,0)</f>
        <v>0</v>
      </c>
      <c r="J21"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1" s="80" t="str">
        <f t="shared" si="0"/>
        <v/>
      </c>
      <c r="L21" s="39"/>
    </row>
    <row r="22" spans="1:12" ht="16.5" thickTop="1" thickBot="1" x14ac:dyDescent="0.25">
      <c r="A22" s="82" t="s">
        <v>281</v>
      </c>
      <c r="B22" s="51"/>
      <c r="C22" s="52"/>
      <c r="D22" s="52"/>
      <c r="E22" s="52"/>
      <c r="F22" s="92">
        <f>IF(COUNTIFS(TR_2SuppliedPounds[Material Reporting Category],TR_2SuppliedPounds[[#This Row],[Material Reporting Category]])&gt;1,1,0)</f>
        <v>0</v>
      </c>
      <c r="G22"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2"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2" s="92">
        <f>IF(TR_2SuppliedPounds[[#This Row],[Gross supply weight (2024 pounds) of printer/copier paper]]&gt;TR_2SuppliedPounds[[#This Row],[Gross supply weight into Oregon (2024 pounds)]],1,0)</f>
        <v>0</v>
      </c>
      <c r="J22"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2" s="80" t="str">
        <f t="shared" si="0"/>
        <v/>
      </c>
      <c r="L22" s="39"/>
    </row>
    <row r="23" spans="1:12" ht="16.5" thickTop="1" thickBot="1" x14ac:dyDescent="0.25">
      <c r="A23" s="82" t="s">
        <v>282</v>
      </c>
      <c r="B23" s="51"/>
      <c r="C23" s="52"/>
      <c r="D23" s="52"/>
      <c r="E23" s="52"/>
      <c r="F23" s="92">
        <f>IF(COUNTIFS(TR_2SuppliedPounds[Material Reporting Category],TR_2SuppliedPounds[[#This Row],[Material Reporting Category]])&gt;1,1,0)</f>
        <v>0</v>
      </c>
      <c r="G23"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3"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3" s="92">
        <f>IF(TR_2SuppliedPounds[[#This Row],[Gross supply weight (2024 pounds) of printer/copier paper]]&gt;TR_2SuppliedPounds[[#This Row],[Gross supply weight into Oregon (2024 pounds)]],1,0)</f>
        <v>0</v>
      </c>
      <c r="J23"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3" s="80" t="str">
        <f t="shared" si="0"/>
        <v/>
      </c>
      <c r="L23" s="39"/>
    </row>
    <row r="24" spans="1:12" ht="16.5" thickTop="1" thickBot="1" x14ac:dyDescent="0.25">
      <c r="A24" s="82" t="s">
        <v>283</v>
      </c>
      <c r="B24" s="51"/>
      <c r="C24" s="52"/>
      <c r="D24" s="52"/>
      <c r="E24" s="52"/>
      <c r="F24" s="92">
        <f>IF(COUNTIFS(TR_2SuppliedPounds[Material Reporting Category],TR_2SuppliedPounds[[#This Row],[Material Reporting Category]])&gt;1,1,0)</f>
        <v>0</v>
      </c>
      <c r="G24"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4"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4" s="92">
        <f>IF(TR_2SuppliedPounds[[#This Row],[Gross supply weight (2024 pounds) of printer/copier paper]]&gt;TR_2SuppliedPounds[[#This Row],[Gross supply weight into Oregon (2024 pounds)]],1,0)</f>
        <v>0</v>
      </c>
      <c r="J24"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4" s="80" t="str">
        <f t="shared" si="0"/>
        <v/>
      </c>
      <c r="L24" s="39"/>
    </row>
    <row r="25" spans="1:12" ht="16.5" thickTop="1" thickBot="1" x14ac:dyDescent="0.25">
      <c r="A25" s="95" t="s">
        <v>284</v>
      </c>
      <c r="B25" s="51"/>
      <c r="C25" s="52"/>
      <c r="D25" s="52"/>
      <c r="E25" s="52"/>
      <c r="F25" s="92">
        <f>IF(COUNTIFS(TR_2SuppliedPounds[Material Reporting Category],TR_2SuppliedPounds[[#This Row],[Material Reporting Category]])&gt;1,1,0)</f>
        <v>0</v>
      </c>
      <c r="G25"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5"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5" s="92">
        <f>IF(TR_2SuppliedPounds[[#This Row],[Gross supply weight (2024 pounds) of printer/copier paper]]&gt;TR_2SuppliedPounds[[#This Row],[Gross supply weight into Oregon (2024 pounds)]],1,0)</f>
        <v>0</v>
      </c>
      <c r="J25"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5" s="80" t="str">
        <f t="shared" si="0"/>
        <v/>
      </c>
      <c r="L25" s="39"/>
    </row>
    <row r="26" spans="1:12" ht="16.5" thickTop="1" thickBot="1" x14ac:dyDescent="0.25">
      <c r="A26" s="82" t="s">
        <v>285</v>
      </c>
      <c r="B26" s="51"/>
      <c r="C26" s="52"/>
      <c r="D26" s="52"/>
      <c r="E26" s="52"/>
      <c r="F26" s="92">
        <f>IF(COUNTIFS(TR_2SuppliedPounds[Material Reporting Category],TR_2SuppliedPounds[[#This Row],[Material Reporting Category]])&gt;1,1,0)</f>
        <v>0</v>
      </c>
      <c r="G26"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6"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6" s="92">
        <f>IF(TR_2SuppliedPounds[[#This Row],[Gross supply weight (2024 pounds) of printer/copier paper]]&gt;TR_2SuppliedPounds[[#This Row],[Gross supply weight into Oregon (2024 pounds)]],1,0)</f>
        <v>0</v>
      </c>
      <c r="J26"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6" s="80" t="str">
        <f t="shared" si="0"/>
        <v/>
      </c>
      <c r="L26" s="39"/>
    </row>
    <row r="27" spans="1:12" ht="16.5" thickTop="1" thickBot="1" x14ac:dyDescent="0.25">
      <c r="A27" s="82" t="s">
        <v>286</v>
      </c>
      <c r="B27" s="51"/>
      <c r="C27" s="52"/>
      <c r="D27" s="52"/>
      <c r="E27" s="52"/>
      <c r="F27" s="92">
        <f>IF(COUNTIFS(TR_2SuppliedPounds[Material Reporting Category],TR_2SuppliedPounds[[#This Row],[Material Reporting Category]])&gt;1,1,0)</f>
        <v>0</v>
      </c>
      <c r="G27"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7"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7" s="92">
        <f>IF(TR_2SuppliedPounds[[#This Row],[Gross supply weight (2024 pounds) of printer/copier paper]]&gt;TR_2SuppliedPounds[[#This Row],[Gross supply weight into Oregon (2024 pounds)]],1,0)</f>
        <v>0</v>
      </c>
      <c r="J27"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7" s="80" t="str">
        <f t="shared" si="0"/>
        <v/>
      </c>
      <c r="L27" s="39"/>
    </row>
    <row r="28" spans="1:12" ht="16.5" thickTop="1" thickBot="1" x14ac:dyDescent="0.25">
      <c r="A28" s="82" t="s">
        <v>287</v>
      </c>
      <c r="B28" s="51"/>
      <c r="C28" s="52"/>
      <c r="D28" s="52"/>
      <c r="E28" s="52"/>
      <c r="F28" s="92">
        <f>IF(COUNTIFS(TR_2SuppliedPounds[Material Reporting Category],TR_2SuppliedPounds[[#This Row],[Material Reporting Category]])&gt;1,1,0)</f>
        <v>0</v>
      </c>
      <c r="G28"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8"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8" s="92">
        <f>IF(TR_2SuppliedPounds[[#This Row],[Gross supply weight (2024 pounds) of printer/copier paper]]&gt;TR_2SuppliedPounds[[#This Row],[Gross supply weight into Oregon (2024 pounds)]],1,0)</f>
        <v>0</v>
      </c>
      <c r="J28"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8" s="80" t="str">
        <f t="shared" si="0"/>
        <v/>
      </c>
      <c r="L28" s="39"/>
    </row>
    <row r="29" spans="1:12" ht="16.5" thickTop="1" thickBot="1" x14ac:dyDescent="0.25">
      <c r="A29" s="82" t="s">
        <v>288</v>
      </c>
      <c r="B29" s="51"/>
      <c r="C29" s="52"/>
      <c r="D29" s="52"/>
      <c r="E29" s="52"/>
      <c r="F29" s="92">
        <f>IF(COUNTIFS(TR_2SuppliedPounds[Material Reporting Category],TR_2SuppliedPounds[[#This Row],[Material Reporting Category]])&gt;1,1,0)</f>
        <v>0</v>
      </c>
      <c r="G29"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29"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29" s="92">
        <f>IF(TR_2SuppliedPounds[[#This Row],[Gross supply weight (2024 pounds) of printer/copier paper]]&gt;TR_2SuppliedPounds[[#This Row],[Gross supply weight into Oregon (2024 pounds)]],1,0)</f>
        <v>0</v>
      </c>
      <c r="J29"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29" s="80" t="str">
        <f t="shared" si="0"/>
        <v/>
      </c>
      <c r="L29" s="39"/>
    </row>
    <row r="30" spans="1:12" ht="16.5" thickTop="1" thickBot="1" x14ac:dyDescent="0.25">
      <c r="A30" s="82" t="s">
        <v>289</v>
      </c>
      <c r="B30" s="51"/>
      <c r="C30" s="52"/>
      <c r="D30" s="52"/>
      <c r="E30" s="52"/>
      <c r="F30" s="92">
        <f>IF(COUNTIFS(TR_2SuppliedPounds[Material Reporting Category],TR_2SuppliedPounds[[#This Row],[Material Reporting Category]])&gt;1,1,0)</f>
        <v>0</v>
      </c>
      <c r="G30" s="92">
        <f>IF(TR_2SuppliedPounds[[#This Row],[Material Reporting Category]]="",0,IF(TR_2SuppliedPounds[[#This Row],[Gross supply weight into Oregon (2024 pounds)]]&lt;=0,1,IF(TR_2SuppliedPounds[[#This Row],[Gross supply weight (2024 pounds) of printer/copier paper]]&gt;0,0,IF(OR(TR_2SuppliedPounds[[#This Row],[Material Reporting Category]]=Lookups!$I$12,TR_2SuppliedPounds[[#This Row],[Material Reporting Category]]=Lookups!$I$13),1,0))))</f>
        <v>0</v>
      </c>
      <c r="H30" s="92">
        <f>IF(AND(TR_2SuppliedPounds[[#This Row],[Material Reporting Category]]="",OR(TR_2SuppliedPounds[[#This Row],[Gross supply weight into Oregon (2024 pounds)]]&gt;0,TR_2SuppliedPounds[[#This Row],[Gross supply weight (2024 pounds) of printer/copier paper]]&gt;0)),1,IF(AND(TR_2SuppliedPounds[[#This Row],[Gross supply weight (2024 pounds) of printer/copier paper]]&gt;0,TR_2SuppliedPounds[[#This Row],[Material Reporting Category]]&lt;&gt;Lookups!$I$12,TR_2SuppliedPounds[[#This Row],[Material Reporting Category]]&lt;&gt;Lookups!$I$13),1,0))</f>
        <v>0</v>
      </c>
      <c r="I30" s="92">
        <f>IF(TR_2SuppliedPounds[[#This Row],[Gross supply weight (2024 pounds) of printer/copier paper]]&gt;TR_2SuppliedPounds[[#This Row],[Gross supply weight into Oregon (2024 pounds)]],1,0)</f>
        <v>0</v>
      </c>
      <c r="J30" s="93" t="str">
        <f>IF(TR_2SuppliedPounds[[#This Row],[Material Reporting Category]]="","",IF(TR_2SuppliedPounds[[#This Row],[Gross supply weight (2024 pounds) of printer/copier paper]]&gt;0,TR_2SuppliedPounds[[#This Row],[Gross supply weight (2024 pounds) of printer/copier paper]],TR_2SuppliedPounds[[#This Row],[Gross supply weight into Oregon (2024 pounds)]]))</f>
        <v/>
      </c>
      <c r="K30" s="80" t="str">
        <f t="shared" si="0"/>
        <v/>
      </c>
      <c r="L30" s="39"/>
    </row>
    <row r="31" spans="1:12" ht="15" thickTop="1" x14ac:dyDescent="0.2">
      <c r="C31" s="94"/>
      <c r="D31" s="94"/>
    </row>
  </sheetData>
  <sheetProtection algorithmName="SHA-512" hashValue="2z5n5UAju7LTh5d4ERQ761wIaKGkfXZeZrhEsd+T1Wk5tMh/fWo1x66IdH4KfXn8hTkLlil5A5z+eyeXXKIofg==" saltValue="tPtCtJ5f0PVx0cC+H8F+nQ==" spinCount="100000" sheet="1" objects="1" scenarios="1" autoFilter="0"/>
  <conditionalFormatting sqref="A6:A30">
    <cfRule type="expression" dxfId="48" priority="1" stopIfTrue="1">
      <formula>$F6=1</formula>
    </cfRule>
  </conditionalFormatting>
  <conditionalFormatting sqref="B6:B30">
    <cfRule type="expression" dxfId="47" priority="2">
      <formula>$F6=1</formula>
    </cfRule>
  </conditionalFormatting>
  <conditionalFormatting sqref="C6:D30">
    <cfRule type="expression" dxfId="46" priority="4">
      <formula>AND($C6&gt;0,$B6="")</formula>
    </cfRule>
    <cfRule type="expression" dxfId="45" priority="6">
      <formula>$B6&lt;&gt;""</formula>
    </cfRule>
  </conditionalFormatting>
  <conditionalFormatting sqref="E6:E30">
    <cfRule type="expression" dxfId="44" priority="5">
      <formula>AND(E6&gt;0,OR($H6=1,$I6=1))</formula>
    </cfRule>
  </conditionalFormatting>
  <dataValidations count="3">
    <dataValidation type="list" allowBlank="1" showInputMessage="1" showErrorMessage="1" errorTitle="Invalid entry" error="Select from dropdown list" sqref="B6:B30" xr:uid="{FA63C266-5659-4881-8BB4-8F87DE56B4AE}">
      <formula1>DL_ReportingCategory</formula1>
    </dataValidation>
    <dataValidation type="custom" allowBlank="1" showInputMessage="1" showErrorMessage="1" error="Please enter a number that is greater than zero and uses no more than two decimal places." sqref="C6:C30 E6:E30" xr:uid="{EE93F7D6-FAB1-4372-8C78-BA71C927679B}">
      <formula1>AND(C6=ROUND(C6,2),C6&gt;0)</formula1>
    </dataValidation>
    <dataValidation type="list" allowBlank="1" showInputMessage="1" showErrorMessage="1" sqref="D6:D30" xr:uid="{2AEDD5B9-679D-4C5C-8190-7010D7E57E45}">
      <formula1>DL_ClaimType</formula1>
    </dataValidation>
  </dataValidation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7" id="{00000000-000E-0000-0200-000001000000}">
            <xm:f>OR($B6=Lookups!$I$12,$B6=Lookups!$I$13)</xm:f>
            <x14:dxf>
              <fill>
                <patternFill>
                  <bgColor theme="8" tint="0.79998168889431442"/>
                </patternFill>
              </fill>
            </x14:dxf>
          </x14:cfRule>
          <xm:sqref>E6:E30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FF82-7C18-4192-822C-45C436789C54}">
  <sheetPr>
    <tabColor theme="5" tint="0.39997558519241921"/>
  </sheetPr>
  <dimension ref="A1:D31"/>
  <sheetViews>
    <sheetView showGridLines="0" workbookViewId="0"/>
  </sheetViews>
  <sheetFormatPr defaultColWidth="0" defaultRowHeight="14.25" zeroHeight="1" x14ac:dyDescent="0.2"/>
  <cols>
    <col min="1" max="1" width="43.5" style="17" customWidth="1"/>
    <col min="2" max="2" width="10" style="87" customWidth="1"/>
    <col min="3" max="3" width="110.625" customWidth="1"/>
    <col min="4" max="4" width="9" customWidth="1"/>
    <col min="5" max="16384" width="8" hidden="1"/>
  </cols>
  <sheetData>
    <row r="1" spans="1:4" ht="24" thickBot="1" x14ac:dyDescent="0.25">
      <c r="A1" s="44" t="s">
        <v>1204</v>
      </c>
      <c r="B1" s="86"/>
      <c r="C1" s="42"/>
      <c r="D1" s="42"/>
    </row>
    <row r="2" spans="1:4" ht="15" thickTop="1" x14ac:dyDescent="0.2"/>
    <row r="3" spans="1:4" ht="20.25" thickBot="1" x14ac:dyDescent="0.25">
      <c r="A3" s="18" t="s">
        <v>163</v>
      </c>
      <c r="B3" s="88"/>
      <c r="C3" s="13"/>
      <c r="D3" s="13"/>
    </row>
    <row r="4" spans="1:4" ht="15" thickTop="1" x14ac:dyDescent="0.2">
      <c r="A4" s="17" t="s">
        <v>1277</v>
      </c>
    </row>
    <row r="5" spans="1:4" x14ac:dyDescent="0.2"/>
    <row r="6" spans="1:4" ht="17.25" thickBot="1" x14ac:dyDescent="0.25">
      <c r="A6" s="25" t="s">
        <v>254</v>
      </c>
      <c r="B6" s="89" t="s">
        <v>255</v>
      </c>
      <c r="C6" s="21" t="s">
        <v>4</v>
      </c>
      <c r="D6" s="21"/>
    </row>
    <row r="7" spans="1:4" ht="15.75" thickTop="1" x14ac:dyDescent="0.2">
      <c r="A7" s="123" t="str">
        <f>TR_3Collectors[[#Headers],[ID_CT]]</f>
        <v>ID_CT</v>
      </c>
      <c r="B7" s="124" t="s">
        <v>77</v>
      </c>
      <c r="C7" s="131" t="s">
        <v>100</v>
      </c>
    </row>
    <row r="8" spans="1:4" ht="30" x14ac:dyDescent="0.2">
      <c r="A8" s="140" t="str">
        <f>TR_3Collectors[[#Headers],[Collection or Transportation Service Provider Name]]</f>
        <v>Collection or Transportation Service Provider Name</v>
      </c>
      <c r="B8" s="141" t="s">
        <v>80</v>
      </c>
      <c r="C8" s="142" t="s">
        <v>176</v>
      </c>
    </row>
    <row r="9" spans="1:4" ht="30" x14ac:dyDescent="0.2">
      <c r="A9" s="150" t="str">
        <f>TR_3Collectors[[#Headers],[Collection or Transportation Service Provider Name]]</f>
        <v>Collection or Transportation Service Provider Name</v>
      </c>
      <c r="B9" s="144" t="s">
        <v>80</v>
      </c>
      <c r="C9" s="15" t="s">
        <v>225</v>
      </c>
    </row>
    <row r="10" spans="1:4" ht="30" x14ac:dyDescent="0.2">
      <c r="A10" s="151" t="str">
        <f>TR_3Collectors[[#Headers],[Collection or Transportation Service Provider Name]]</f>
        <v>Collection or Transportation Service Provider Name</v>
      </c>
      <c r="B10" s="146" t="s">
        <v>80</v>
      </c>
      <c r="C10" s="152" t="s">
        <v>1143</v>
      </c>
    </row>
    <row r="11" spans="1:4" ht="15" x14ac:dyDescent="0.2">
      <c r="A11" s="140" t="str">
        <f>TR_3Collectors[[#Headers],[Collector or Transporter Type]]</f>
        <v>Collector or Transporter Type</v>
      </c>
      <c r="B11" s="141" t="s">
        <v>78</v>
      </c>
      <c r="C11" s="142" t="s">
        <v>1080</v>
      </c>
    </row>
    <row r="12" spans="1:4" ht="28.5" x14ac:dyDescent="0.2">
      <c r="A12" s="150" t="str">
        <f>TR_3Collectors[[#Headers],[Collector or Transporter Type]]</f>
        <v>Collector or Transporter Type</v>
      </c>
      <c r="B12" s="144" t="s">
        <v>78</v>
      </c>
      <c r="C12" s="15" t="s">
        <v>1231</v>
      </c>
    </row>
    <row r="13" spans="1:4" ht="28.5" x14ac:dyDescent="0.2">
      <c r="A13" s="150" t="str">
        <f>TR_3Collectors[[#Headers],[Collector or Transporter Type]]</f>
        <v>Collector or Transporter Type</v>
      </c>
      <c r="B13" s="144" t="s">
        <v>78</v>
      </c>
      <c r="C13" s="4" t="s">
        <v>1157</v>
      </c>
    </row>
    <row r="14" spans="1:4" ht="28.5" x14ac:dyDescent="0.2">
      <c r="A14" s="151" t="str">
        <f>TR_3Collectors[[#Headers],[Collector or Transporter Type]]</f>
        <v>Collector or Transporter Type</v>
      </c>
      <c r="B14" s="146" t="s">
        <v>78</v>
      </c>
      <c r="C14" s="147" t="s">
        <v>1158</v>
      </c>
    </row>
    <row r="15" spans="1:4" ht="30" x14ac:dyDescent="0.2">
      <c r="A15" s="119" t="str">
        <f>TR_3Collectors[[#Headers],[Collector Note]]</f>
        <v>Collector Note</v>
      </c>
      <c r="B15" s="126" t="s">
        <v>81</v>
      </c>
      <c r="C15" s="132" t="s">
        <v>1031</v>
      </c>
    </row>
    <row r="16" spans="1:4" ht="30" x14ac:dyDescent="0.2">
      <c r="A16" s="119" t="str">
        <f>TR_3Collectors[[#Headers],[Collection or Transportation Provider Website]]</f>
        <v>Collection or Transportation Provider Website</v>
      </c>
      <c r="B16" s="126" t="s">
        <v>82</v>
      </c>
      <c r="C16" s="132" t="s">
        <v>244</v>
      </c>
    </row>
    <row r="17" spans="1:4" ht="30" x14ac:dyDescent="0.2">
      <c r="A17" s="119" t="str">
        <f>TR_3Collectors[[#Headers],[Collection or Transportation Contact Name]]</f>
        <v>Collection or Transportation Contact Name</v>
      </c>
      <c r="B17" s="126" t="s">
        <v>83</v>
      </c>
      <c r="C17" s="132" t="s">
        <v>805</v>
      </c>
    </row>
    <row r="18" spans="1:4" ht="15" x14ac:dyDescent="0.2">
      <c r="A18" s="119" t="str">
        <f>TR_3Collectors[[#Headers],[Collection or Transportation Contact Phone]]</f>
        <v>Collection or Transportation Contact Phone</v>
      </c>
      <c r="B18" s="126" t="s">
        <v>84</v>
      </c>
      <c r="C18" s="132" t="s">
        <v>245</v>
      </c>
    </row>
    <row r="19" spans="1:4" ht="15" x14ac:dyDescent="0.2">
      <c r="A19" s="119" t="str">
        <f>TR_3Collectors[[#Headers],[Collection or Transportation Contact Email]]</f>
        <v>Collection or Transportation Contact Email</v>
      </c>
      <c r="B19" s="126" t="s">
        <v>85</v>
      </c>
      <c r="C19" s="132" t="s">
        <v>173</v>
      </c>
    </row>
    <row r="20" spans="1:4" ht="15" x14ac:dyDescent="0.2">
      <c r="A20" s="119" t="s">
        <v>887</v>
      </c>
      <c r="B20" s="126" t="s">
        <v>787</v>
      </c>
      <c r="C20" s="132" t="s">
        <v>886</v>
      </c>
    </row>
    <row r="21" spans="1:4" x14ac:dyDescent="0.2"/>
    <row r="22" spans="1:4" x14ac:dyDescent="0.2"/>
    <row r="23" spans="1:4" ht="20.25" thickBot="1" x14ac:dyDescent="0.25">
      <c r="A23" s="18" t="s">
        <v>1274</v>
      </c>
      <c r="B23" s="88"/>
      <c r="C23" s="13"/>
      <c r="D23" s="13"/>
    </row>
    <row r="24" spans="1:4" ht="15.75" thickTop="1" x14ac:dyDescent="0.2">
      <c r="A24" s="66" t="s">
        <v>1163</v>
      </c>
      <c r="B24" s="129" t="s">
        <v>782</v>
      </c>
      <c r="C24" s="133" t="s">
        <v>234</v>
      </c>
    </row>
    <row r="25" spans="1:4" ht="15" x14ac:dyDescent="0.2">
      <c r="A25" s="66" t="s">
        <v>1164</v>
      </c>
      <c r="B25" s="126" t="s">
        <v>1166</v>
      </c>
      <c r="C25" s="122" t="s">
        <v>235</v>
      </c>
    </row>
    <row r="26" spans="1:4" x14ac:dyDescent="0.2"/>
    <row r="27" spans="1:4" ht="20.25" thickBot="1" x14ac:dyDescent="0.25">
      <c r="A27" s="18" t="s">
        <v>1215</v>
      </c>
      <c r="B27" s="88"/>
      <c r="C27" s="13"/>
      <c r="D27" s="13"/>
    </row>
    <row r="28" spans="1:4" ht="43.5" thickTop="1" x14ac:dyDescent="0.2">
      <c r="A28" s="160" t="s">
        <v>784</v>
      </c>
      <c r="B28" s="161">
        <f>SUM(TR_3Collectors[Check: duplicate provider names])</f>
        <v>0</v>
      </c>
      <c r="C28" s="164" t="s">
        <v>879</v>
      </c>
    </row>
    <row r="29" spans="1:4" x14ac:dyDescent="0.2">
      <c r="A29" s="134" t="s">
        <v>785</v>
      </c>
      <c r="B29" s="135">
        <f>SUM(TR_3Collectors[Check: missing info])</f>
        <v>0</v>
      </c>
      <c r="C29" s="127" t="s">
        <v>911</v>
      </c>
    </row>
    <row r="30" spans="1:4" ht="28.5" x14ac:dyDescent="0.2">
      <c r="A30" s="134" t="s">
        <v>786</v>
      </c>
      <c r="B30" s="135">
        <f>SUM(TR_3Collectors[Check: extra info])</f>
        <v>0</v>
      </c>
      <c r="C30" s="127" t="s">
        <v>880</v>
      </c>
    </row>
    <row r="31" spans="1:4" x14ac:dyDescent="0.2"/>
  </sheetData>
  <sheetProtection algorithmName="SHA-512" hashValue="23N2ClYnpFfAkQjbo0YTtIpxtJ0nxJYhz1MlnDQbV6UoDCTpene96NSR533ktb3Bbdueand64PX8sz3qurj+0g==" saltValue="6hJDsoaIkHANgGUM8URTVA==" spinCount="100000" sheet="1" objects="1" scenarios="1"/>
  <conditionalFormatting sqref="B28:B30">
    <cfRule type="expression" dxfId="42" priority="1">
      <formula>B28&gt;0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0DEC-9A4C-4B00-819B-FE3B25BD86F3}">
  <sheetPr>
    <tabColor theme="5" tint="-0.249977111117893"/>
  </sheetPr>
  <dimension ref="A1:N56"/>
  <sheetViews>
    <sheetView showGridLines="0" zoomScaleNormal="100" workbookViewId="0"/>
  </sheetViews>
  <sheetFormatPr defaultColWidth="0" defaultRowHeight="14.25" zeroHeight="1" outlineLevelCol="1" x14ac:dyDescent="0.2"/>
  <cols>
    <col min="1" max="1" width="10.5" style="17" customWidth="1"/>
    <col min="2" max="2" width="58.875" customWidth="1"/>
    <col min="3" max="3" width="38.875" customWidth="1"/>
    <col min="4" max="4" width="72.5" customWidth="1"/>
    <col min="5" max="5" width="44.625" customWidth="1"/>
    <col min="6" max="6" width="32.375" customWidth="1"/>
    <col min="7" max="7" width="27.375" customWidth="1"/>
    <col min="8" max="8" width="31" customWidth="1"/>
    <col min="9" max="9" width="25.625" hidden="1" customWidth="1" outlineLevel="1"/>
    <col min="10" max="11" width="26.375" hidden="1" customWidth="1" outlineLevel="1"/>
    <col min="12" max="12" width="25.625" hidden="1" customWidth="1" outlineLevel="1"/>
    <col min="13" max="13" width="33.5" hidden="1" customWidth="1" outlineLevel="1"/>
    <col min="14" max="14" width="9" customWidth="1" collapsed="1"/>
    <col min="15" max="16384" width="8" hidden="1"/>
  </cols>
  <sheetData>
    <row r="1" spans="1:14" ht="24" thickBot="1" x14ac:dyDescent="0.25">
      <c r="A1" s="44" t="s">
        <v>1205</v>
      </c>
      <c r="B1" s="42"/>
      <c r="C1" s="42"/>
      <c r="D1" s="42"/>
      <c r="E1" s="42"/>
      <c r="F1" s="42"/>
      <c r="G1" s="42"/>
      <c r="H1" s="42"/>
      <c r="I1" s="42"/>
      <c r="J1" s="42"/>
      <c r="K1" s="42"/>
      <c r="L1" s="42"/>
      <c r="M1" s="42"/>
      <c r="N1" s="42"/>
    </row>
    <row r="2" spans="1:14" ht="15" thickTop="1" x14ac:dyDescent="0.2"/>
    <row r="3" spans="1:14" x14ac:dyDescent="0.2">
      <c r="A3" s="22" t="s">
        <v>124</v>
      </c>
      <c r="B3" s="236" t="s">
        <v>167</v>
      </c>
      <c r="C3" s="236" t="s">
        <v>1081</v>
      </c>
      <c r="D3" s="236" t="s">
        <v>175</v>
      </c>
      <c r="E3" s="236" t="s">
        <v>177</v>
      </c>
      <c r="F3" s="236" t="s">
        <v>179</v>
      </c>
      <c r="G3" s="236" t="s">
        <v>178</v>
      </c>
      <c r="H3" s="236" t="s">
        <v>180</v>
      </c>
      <c r="I3" s="30" t="s">
        <v>248</v>
      </c>
      <c r="J3" s="30" t="s">
        <v>248</v>
      </c>
      <c r="K3" s="30" t="s">
        <v>248</v>
      </c>
      <c r="L3" s="30" t="s">
        <v>917</v>
      </c>
      <c r="M3" s="30" t="s">
        <v>904</v>
      </c>
    </row>
    <row r="4" spans="1:14" ht="15" x14ac:dyDescent="0.2">
      <c r="A4" s="16" t="s">
        <v>77</v>
      </c>
      <c r="B4" s="16" t="s">
        <v>80</v>
      </c>
      <c r="C4" s="16" t="s">
        <v>78</v>
      </c>
      <c r="D4" s="16" t="s">
        <v>81</v>
      </c>
      <c r="E4" s="16" t="s">
        <v>82</v>
      </c>
      <c r="F4" s="16" t="s">
        <v>83</v>
      </c>
      <c r="G4" s="16" t="s">
        <v>84</v>
      </c>
      <c r="H4" s="16" t="s">
        <v>85</v>
      </c>
      <c r="I4" s="16" t="s">
        <v>86</v>
      </c>
      <c r="J4" s="16" t="s">
        <v>87</v>
      </c>
      <c r="K4" s="16" t="s">
        <v>88</v>
      </c>
      <c r="L4" s="16" t="s">
        <v>89</v>
      </c>
      <c r="M4" s="16" t="s">
        <v>90</v>
      </c>
    </row>
    <row r="5" spans="1:14" ht="30" x14ac:dyDescent="0.2">
      <c r="A5" s="27" t="s">
        <v>754</v>
      </c>
      <c r="B5" s="4" t="s">
        <v>168</v>
      </c>
      <c r="C5" s="4" t="s">
        <v>169</v>
      </c>
      <c r="D5" s="4" t="s">
        <v>119</v>
      </c>
      <c r="E5" s="4" t="s">
        <v>170</v>
      </c>
      <c r="F5" s="4" t="s">
        <v>246</v>
      </c>
      <c r="G5" s="4" t="s">
        <v>171</v>
      </c>
      <c r="H5" s="4" t="s">
        <v>172</v>
      </c>
      <c r="I5" s="8" t="s">
        <v>757</v>
      </c>
      <c r="J5" s="8" t="s">
        <v>758</v>
      </c>
      <c r="K5" s="8" t="s">
        <v>759</v>
      </c>
      <c r="L5" s="4" t="s">
        <v>262</v>
      </c>
      <c r="M5" s="4" t="s">
        <v>1048</v>
      </c>
    </row>
    <row r="6" spans="1:14" ht="15" x14ac:dyDescent="0.2">
      <c r="A6" s="82" t="s">
        <v>290</v>
      </c>
      <c r="B6" s="49"/>
      <c r="C6" s="103"/>
      <c r="D6" s="104" t="str">
        <f>IF(TR_3Collectors[[#This Row],[Collector or Transporter Type]]=A_OTR_Service_Provider,"Note: this collector is eligible only if material is not collected under OTR service.","")</f>
        <v/>
      </c>
      <c r="E6" s="103"/>
      <c r="F6" s="103"/>
      <c r="G6" s="105"/>
      <c r="H6" s="103"/>
      <c r="I6" s="102">
        <f>IF(COUNTIFS(TR_3Collectors[Collection or Transportation Service Provider Name],TR_3Collectors[[#This Row],[Collection or Transportation Service Provider Name]])&gt;1,1,0)</f>
        <v>0</v>
      </c>
      <c r="J6"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6" s="85">
        <f>IF(TR_3Collectors[[#This Row],[Collection or Transportation Service Provider Name]]&lt;&gt;"",0,IF(COUNTA(TR_3Collectors[[#This Row],[Collector or Transporter Type]],TR_3Collectors[[#This Row],[Collection or Transportation Provider Website]:[Collection or Transportation Contact Email]])&gt;0,1,0))</f>
        <v>0</v>
      </c>
      <c r="L6" s="63" t="str">
        <f t="shared" ref="L6:L37" si="0">IF(DR_ProducerID=0,"",DR_ProducerID)</f>
        <v/>
      </c>
      <c r="M6" s="64" t="s">
        <v>1051</v>
      </c>
    </row>
    <row r="7" spans="1:14" ht="15" x14ac:dyDescent="0.2">
      <c r="A7" s="82" t="s">
        <v>291</v>
      </c>
      <c r="B7" s="49"/>
      <c r="C7" s="103"/>
      <c r="D7" s="104" t="str">
        <f>IF(TR_3Collectors[[#This Row],[Collector or Transporter Type]]=A_OTR_Service_Provider,"Note: this collector is eligible only if material is not collected under OTR service.","")</f>
        <v/>
      </c>
      <c r="E7" s="103"/>
      <c r="F7" s="103"/>
      <c r="G7" s="105"/>
      <c r="H7" s="103"/>
      <c r="I7" s="102">
        <f>IF(COUNTIFS(TR_3Collectors[Collection or Transportation Service Provider Name],TR_3Collectors[[#This Row],[Collection or Transportation Service Provider Name]])&gt;1,1,0)</f>
        <v>0</v>
      </c>
      <c r="J7"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7" s="85">
        <f>IF(TR_3Collectors[[#This Row],[Collection or Transportation Service Provider Name]]&lt;&gt;"",0,IF(COUNTA(TR_3Collectors[[#This Row],[Collector or Transporter Type]],TR_3Collectors[[#This Row],[Collection or Transportation Provider Website]:[Collection or Transportation Contact Email]])&gt;0,1,0))</f>
        <v>0</v>
      </c>
      <c r="L7" s="63" t="str">
        <f t="shared" si="0"/>
        <v/>
      </c>
      <c r="M7" s="64"/>
    </row>
    <row r="8" spans="1:14" ht="15" x14ac:dyDescent="0.2">
      <c r="A8" s="82" t="s">
        <v>292</v>
      </c>
      <c r="B8" s="49"/>
      <c r="C8" s="103"/>
      <c r="D8" s="104" t="str">
        <f>IF(TR_3Collectors[[#This Row],[Collector or Transporter Type]]=A_OTR_Service_Provider,"Note: this collector is eligible only if material is not collected under OTR service.","")</f>
        <v/>
      </c>
      <c r="E8" s="103"/>
      <c r="F8" s="103"/>
      <c r="G8" s="103"/>
      <c r="H8" s="103"/>
      <c r="I8" s="102">
        <f>IF(COUNTIFS(TR_3Collectors[Collection or Transportation Service Provider Name],TR_3Collectors[[#This Row],[Collection or Transportation Service Provider Name]])&gt;1,1,0)</f>
        <v>0</v>
      </c>
      <c r="J8"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8" s="85">
        <f>IF(TR_3Collectors[[#This Row],[Collection or Transportation Service Provider Name]]&lt;&gt;"",0,IF(COUNTA(TR_3Collectors[[#This Row],[Collector or Transporter Type]],TR_3Collectors[[#This Row],[Collection or Transportation Provider Website]:[Collection or Transportation Contact Email]])&gt;0,1,0))</f>
        <v>0</v>
      </c>
      <c r="L8" s="63" t="str">
        <f t="shared" si="0"/>
        <v/>
      </c>
      <c r="M8" s="64"/>
    </row>
    <row r="9" spans="1:14" ht="15" x14ac:dyDescent="0.2">
      <c r="A9" s="82" t="s">
        <v>293</v>
      </c>
      <c r="B9" s="49"/>
      <c r="C9" s="103"/>
      <c r="D9" s="104" t="str">
        <f>IF(TR_3Collectors[[#This Row],[Collector or Transporter Type]]=A_OTR_Service_Provider,"Note: this collector is eligible only if material is not collected under OTR service.","")</f>
        <v/>
      </c>
      <c r="E9" s="103"/>
      <c r="F9" s="103"/>
      <c r="G9" s="103"/>
      <c r="H9" s="103"/>
      <c r="I9" s="102">
        <f>IF(COUNTIFS(TR_3Collectors[Collection or Transportation Service Provider Name],TR_3Collectors[[#This Row],[Collection or Transportation Service Provider Name]])&gt;1,1,0)</f>
        <v>0</v>
      </c>
      <c r="J9"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9" s="85">
        <f>IF(TR_3Collectors[[#This Row],[Collection or Transportation Service Provider Name]]&lt;&gt;"",0,IF(COUNTA(TR_3Collectors[[#This Row],[Collector or Transporter Type]],TR_3Collectors[[#This Row],[Collection or Transportation Provider Website]:[Collection or Transportation Contact Email]])&gt;0,1,0))</f>
        <v>0</v>
      </c>
      <c r="L9" s="63" t="str">
        <f t="shared" si="0"/>
        <v/>
      </c>
      <c r="M9" s="64"/>
    </row>
    <row r="10" spans="1:14" ht="15" x14ac:dyDescent="0.2">
      <c r="A10" s="82" t="s">
        <v>294</v>
      </c>
      <c r="B10" s="49"/>
      <c r="C10" s="103"/>
      <c r="D10" s="104" t="str">
        <f>IF(TR_3Collectors[[#This Row],[Collector or Transporter Type]]=A_OTR_Service_Provider,"Note: this collector is eligible only if material is not collected under OTR service.","")</f>
        <v/>
      </c>
      <c r="E10" s="103"/>
      <c r="F10" s="103"/>
      <c r="G10" s="103"/>
      <c r="H10" s="103"/>
      <c r="I10" s="102">
        <f>IF(COUNTIFS(TR_3Collectors[Collection or Transportation Service Provider Name],TR_3Collectors[[#This Row],[Collection or Transportation Service Provider Name]])&gt;1,1,0)</f>
        <v>0</v>
      </c>
      <c r="J10"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0" s="85">
        <f>IF(TR_3Collectors[[#This Row],[Collection or Transportation Service Provider Name]]&lt;&gt;"",0,IF(COUNTA(TR_3Collectors[[#This Row],[Collector or Transporter Type]],TR_3Collectors[[#This Row],[Collection or Transportation Provider Website]:[Collection or Transportation Contact Email]])&gt;0,1,0))</f>
        <v>0</v>
      </c>
      <c r="L10" s="63" t="str">
        <f t="shared" si="0"/>
        <v/>
      </c>
      <c r="M10" s="64"/>
    </row>
    <row r="11" spans="1:14" ht="15" x14ac:dyDescent="0.2">
      <c r="A11" s="82" t="s">
        <v>295</v>
      </c>
      <c r="B11" s="49"/>
      <c r="C11" s="103"/>
      <c r="D11" s="104" t="str">
        <f>IF(TR_3Collectors[[#This Row],[Collector or Transporter Type]]=A_OTR_Service_Provider,"Note: this collector is eligible only if material is not collected under OTR service.","")</f>
        <v/>
      </c>
      <c r="E11" s="103"/>
      <c r="F11" s="103"/>
      <c r="G11" s="105"/>
      <c r="H11" s="103"/>
      <c r="I11" s="102">
        <f>IF(COUNTIFS(TR_3Collectors[Collection or Transportation Service Provider Name],TR_3Collectors[[#This Row],[Collection or Transportation Service Provider Name]])&gt;1,1,0)</f>
        <v>0</v>
      </c>
      <c r="J11"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1" s="85">
        <f>IF(TR_3Collectors[[#This Row],[Collection or Transportation Service Provider Name]]&lt;&gt;"",0,IF(COUNTA(TR_3Collectors[[#This Row],[Collector or Transporter Type]],TR_3Collectors[[#This Row],[Collection or Transportation Provider Website]:[Collection or Transportation Contact Email]])&gt;0,1,0))</f>
        <v>0</v>
      </c>
      <c r="L11" s="63" t="str">
        <f t="shared" si="0"/>
        <v/>
      </c>
      <c r="M11" s="64"/>
    </row>
    <row r="12" spans="1:14" ht="15" x14ac:dyDescent="0.2">
      <c r="A12" s="82" t="s">
        <v>296</v>
      </c>
      <c r="B12" s="49"/>
      <c r="C12" s="103"/>
      <c r="D12" s="104" t="str">
        <f>IF(TR_3Collectors[[#This Row],[Collector or Transporter Type]]=A_OTR_Service_Provider,"Note: this collector is eligible only if material is not collected under OTR service.","")</f>
        <v/>
      </c>
      <c r="E12" s="103"/>
      <c r="F12" s="103"/>
      <c r="G12" s="105"/>
      <c r="H12" s="103"/>
      <c r="I12" s="102">
        <f>IF(COUNTIFS(TR_3Collectors[Collection or Transportation Service Provider Name],TR_3Collectors[[#This Row],[Collection or Transportation Service Provider Name]])&gt;1,1,0)</f>
        <v>0</v>
      </c>
      <c r="J12"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2" s="85">
        <f>IF(TR_3Collectors[[#This Row],[Collection or Transportation Service Provider Name]]&lt;&gt;"",0,IF(COUNTA(TR_3Collectors[[#This Row],[Collector or Transporter Type]],TR_3Collectors[[#This Row],[Collection or Transportation Provider Website]:[Collection or Transportation Contact Email]])&gt;0,1,0))</f>
        <v>0</v>
      </c>
      <c r="L12" s="63" t="str">
        <f t="shared" si="0"/>
        <v/>
      </c>
      <c r="M12" s="64"/>
    </row>
    <row r="13" spans="1:14" ht="15" x14ac:dyDescent="0.2">
      <c r="A13" s="82" t="s">
        <v>297</v>
      </c>
      <c r="B13" s="49"/>
      <c r="C13" s="103"/>
      <c r="D13" s="104" t="str">
        <f>IF(TR_3Collectors[[#This Row],[Collector or Transporter Type]]=A_OTR_Service_Provider,"Note: this collector is eligible only if material is not collected under OTR service.","")</f>
        <v/>
      </c>
      <c r="E13" s="103"/>
      <c r="F13" s="103"/>
      <c r="G13" s="105"/>
      <c r="H13" s="103"/>
      <c r="I13" s="102">
        <f>IF(COUNTIFS(TR_3Collectors[Collection or Transportation Service Provider Name],TR_3Collectors[[#This Row],[Collection or Transportation Service Provider Name]])&gt;1,1,0)</f>
        <v>0</v>
      </c>
      <c r="J13"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3" s="85">
        <f>IF(TR_3Collectors[[#This Row],[Collection or Transportation Service Provider Name]]&lt;&gt;"",0,IF(COUNTA(TR_3Collectors[[#This Row],[Collector or Transporter Type]],TR_3Collectors[[#This Row],[Collection or Transportation Provider Website]:[Collection or Transportation Contact Email]])&gt;0,1,0))</f>
        <v>0</v>
      </c>
      <c r="L13" s="63" t="str">
        <f t="shared" si="0"/>
        <v/>
      </c>
      <c r="M13" s="64"/>
    </row>
    <row r="14" spans="1:14" ht="15" x14ac:dyDescent="0.2">
      <c r="A14" s="82" t="s">
        <v>298</v>
      </c>
      <c r="B14" s="49"/>
      <c r="C14" s="103"/>
      <c r="D14" s="104" t="str">
        <f>IF(TR_3Collectors[[#This Row],[Collector or Transporter Type]]=A_OTR_Service_Provider,"Note: this collector is eligible only if material is not collected under OTR service.","")</f>
        <v/>
      </c>
      <c r="E14" s="103"/>
      <c r="F14" s="103"/>
      <c r="G14" s="105"/>
      <c r="H14" s="103"/>
      <c r="I14" s="102">
        <f>IF(COUNTIFS(TR_3Collectors[Collection or Transportation Service Provider Name],TR_3Collectors[[#This Row],[Collection or Transportation Service Provider Name]])&gt;1,1,0)</f>
        <v>0</v>
      </c>
      <c r="J14"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4" s="85">
        <f>IF(TR_3Collectors[[#This Row],[Collection or Transportation Service Provider Name]]&lt;&gt;"",0,IF(COUNTA(TR_3Collectors[[#This Row],[Collector or Transporter Type]],TR_3Collectors[[#This Row],[Collection or Transportation Provider Website]:[Collection or Transportation Contact Email]])&gt;0,1,0))</f>
        <v>0</v>
      </c>
      <c r="L14" s="63" t="str">
        <f t="shared" si="0"/>
        <v/>
      </c>
      <c r="M14" s="64"/>
    </row>
    <row r="15" spans="1:14" ht="15" x14ac:dyDescent="0.2">
      <c r="A15" s="82" t="s">
        <v>299</v>
      </c>
      <c r="B15" s="49"/>
      <c r="C15" s="103"/>
      <c r="D15" s="104" t="str">
        <f>IF(TR_3Collectors[[#This Row],[Collector or Transporter Type]]=A_OTR_Service_Provider,"Note: this collector is eligible only if material is not collected under OTR service.","")</f>
        <v/>
      </c>
      <c r="E15" s="103"/>
      <c r="F15" s="103"/>
      <c r="G15" s="105"/>
      <c r="H15" s="103"/>
      <c r="I15" s="102">
        <f>IF(COUNTIFS(TR_3Collectors[Collection or Transportation Service Provider Name],TR_3Collectors[[#This Row],[Collection or Transportation Service Provider Name]])&gt;1,1,0)</f>
        <v>0</v>
      </c>
      <c r="J15"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5" s="85">
        <f>IF(TR_3Collectors[[#This Row],[Collection or Transportation Service Provider Name]]&lt;&gt;"",0,IF(COUNTA(TR_3Collectors[[#This Row],[Collector or Transporter Type]],TR_3Collectors[[#This Row],[Collection or Transportation Provider Website]:[Collection or Transportation Contact Email]])&gt;0,1,0))</f>
        <v>0</v>
      </c>
      <c r="L15" s="63" t="str">
        <f t="shared" si="0"/>
        <v/>
      </c>
      <c r="M15" s="64"/>
    </row>
    <row r="16" spans="1:14" ht="15" x14ac:dyDescent="0.2">
      <c r="A16" s="82" t="s">
        <v>300</v>
      </c>
      <c r="B16" s="49"/>
      <c r="C16" s="103"/>
      <c r="D16" s="104" t="str">
        <f>IF(TR_3Collectors[[#This Row],[Collector or Transporter Type]]=A_OTR_Service_Provider,"Note: this collector is eligible only if material is not collected under OTR service.","")</f>
        <v/>
      </c>
      <c r="E16" s="103"/>
      <c r="F16" s="103"/>
      <c r="G16" s="105"/>
      <c r="H16" s="103"/>
      <c r="I16" s="102">
        <f>IF(COUNTIFS(TR_3Collectors[Collection or Transportation Service Provider Name],TR_3Collectors[[#This Row],[Collection or Transportation Service Provider Name]])&gt;1,1,0)</f>
        <v>0</v>
      </c>
      <c r="J16"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6" s="85">
        <f>IF(TR_3Collectors[[#This Row],[Collection or Transportation Service Provider Name]]&lt;&gt;"",0,IF(COUNTA(TR_3Collectors[[#This Row],[Collector or Transporter Type]],TR_3Collectors[[#This Row],[Collection or Transportation Provider Website]:[Collection or Transportation Contact Email]])&gt;0,1,0))</f>
        <v>0</v>
      </c>
      <c r="L16" s="63" t="str">
        <f t="shared" si="0"/>
        <v/>
      </c>
      <c r="M16" s="64"/>
    </row>
    <row r="17" spans="1:13" ht="15" x14ac:dyDescent="0.2">
      <c r="A17" s="82" t="s">
        <v>301</v>
      </c>
      <c r="B17" s="49"/>
      <c r="C17" s="103"/>
      <c r="D17" s="104" t="str">
        <f>IF(TR_3Collectors[[#This Row],[Collector or Transporter Type]]=A_OTR_Service_Provider,"Note: this collector is eligible only if material is not collected under OTR service.","")</f>
        <v/>
      </c>
      <c r="E17" s="103"/>
      <c r="F17" s="103"/>
      <c r="G17" s="105"/>
      <c r="H17" s="103"/>
      <c r="I17" s="102">
        <f>IF(COUNTIFS(TR_3Collectors[Collection or Transportation Service Provider Name],TR_3Collectors[[#This Row],[Collection or Transportation Service Provider Name]])&gt;1,1,0)</f>
        <v>0</v>
      </c>
      <c r="J17"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7" s="85">
        <f>IF(TR_3Collectors[[#This Row],[Collection or Transportation Service Provider Name]]&lt;&gt;"",0,IF(COUNTA(TR_3Collectors[[#This Row],[Collector or Transporter Type]],TR_3Collectors[[#This Row],[Collection or Transportation Provider Website]:[Collection or Transportation Contact Email]])&gt;0,1,0))</f>
        <v>0</v>
      </c>
      <c r="L17" s="63" t="str">
        <f t="shared" si="0"/>
        <v/>
      </c>
      <c r="M17" s="64"/>
    </row>
    <row r="18" spans="1:13" ht="15" x14ac:dyDescent="0.2">
      <c r="A18" s="82" t="s">
        <v>302</v>
      </c>
      <c r="B18" s="49"/>
      <c r="C18" s="103"/>
      <c r="D18" s="104" t="str">
        <f>IF(TR_3Collectors[[#This Row],[Collector or Transporter Type]]=A_OTR_Service_Provider,"Note: this collector is eligible only if material is not collected under OTR service.","")</f>
        <v/>
      </c>
      <c r="E18" s="103"/>
      <c r="F18" s="103"/>
      <c r="G18" s="105"/>
      <c r="H18" s="103"/>
      <c r="I18" s="102">
        <f>IF(COUNTIFS(TR_3Collectors[Collection or Transportation Service Provider Name],TR_3Collectors[[#This Row],[Collection or Transportation Service Provider Name]])&gt;1,1,0)</f>
        <v>0</v>
      </c>
      <c r="J18"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8" s="85">
        <f>IF(TR_3Collectors[[#This Row],[Collection or Transportation Service Provider Name]]&lt;&gt;"",0,IF(COUNTA(TR_3Collectors[[#This Row],[Collector or Transporter Type]],TR_3Collectors[[#This Row],[Collection or Transportation Provider Website]:[Collection or Transportation Contact Email]])&gt;0,1,0))</f>
        <v>0</v>
      </c>
      <c r="L18" s="63" t="str">
        <f t="shared" si="0"/>
        <v/>
      </c>
      <c r="M18" s="64"/>
    </row>
    <row r="19" spans="1:13" ht="15" x14ac:dyDescent="0.2">
      <c r="A19" s="82" t="s">
        <v>303</v>
      </c>
      <c r="B19" s="49"/>
      <c r="C19" s="103"/>
      <c r="D19" s="104" t="str">
        <f>IF(TR_3Collectors[[#This Row],[Collector or Transporter Type]]=A_OTR_Service_Provider,"Note: this collector is eligible only if material is not collected under OTR service.","")</f>
        <v/>
      </c>
      <c r="E19" s="103"/>
      <c r="F19" s="103"/>
      <c r="G19" s="105"/>
      <c r="H19" s="103"/>
      <c r="I19" s="102">
        <f>IF(COUNTIFS(TR_3Collectors[Collection or Transportation Service Provider Name],TR_3Collectors[[#This Row],[Collection or Transportation Service Provider Name]])&gt;1,1,0)</f>
        <v>0</v>
      </c>
      <c r="J19"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19" s="85">
        <f>IF(TR_3Collectors[[#This Row],[Collection or Transportation Service Provider Name]]&lt;&gt;"",0,IF(COUNTA(TR_3Collectors[[#This Row],[Collector or Transporter Type]],TR_3Collectors[[#This Row],[Collection or Transportation Provider Website]:[Collection or Transportation Contact Email]])&gt;0,1,0))</f>
        <v>0</v>
      </c>
      <c r="L19" s="63" t="str">
        <f t="shared" si="0"/>
        <v/>
      </c>
      <c r="M19" s="64"/>
    </row>
    <row r="20" spans="1:13" ht="15" x14ac:dyDescent="0.2">
      <c r="A20" s="82" t="s">
        <v>304</v>
      </c>
      <c r="B20" s="49"/>
      <c r="C20" s="103"/>
      <c r="D20" s="104" t="str">
        <f>IF(TR_3Collectors[[#This Row],[Collector or Transporter Type]]=A_OTR_Service_Provider,"Note: this collector is eligible only if material is not collected under OTR service.","")</f>
        <v/>
      </c>
      <c r="E20" s="103"/>
      <c r="F20" s="103"/>
      <c r="G20" s="105"/>
      <c r="H20" s="103"/>
      <c r="I20" s="102">
        <f>IF(COUNTIFS(TR_3Collectors[Collection or Transportation Service Provider Name],TR_3Collectors[[#This Row],[Collection or Transportation Service Provider Name]])&gt;1,1,0)</f>
        <v>0</v>
      </c>
      <c r="J20"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0" s="85">
        <f>IF(TR_3Collectors[[#This Row],[Collection or Transportation Service Provider Name]]&lt;&gt;"",0,IF(COUNTA(TR_3Collectors[[#This Row],[Collector or Transporter Type]],TR_3Collectors[[#This Row],[Collection or Transportation Provider Website]:[Collection or Transportation Contact Email]])&gt;0,1,0))</f>
        <v>0</v>
      </c>
      <c r="L20" s="63" t="str">
        <f t="shared" si="0"/>
        <v/>
      </c>
      <c r="M20" s="64"/>
    </row>
    <row r="21" spans="1:13" ht="15" x14ac:dyDescent="0.2">
      <c r="A21" s="82" t="s">
        <v>305</v>
      </c>
      <c r="B21" s="49"/>
      <c r="C21" s="103"/>
      <c r="D21" s="104" t="str">
        <f>IF(TR_3Collectors[[#This Row],[Collector or Transporter Type]]=A_OTR_Service_Provider,"Note: this collector is eligible only if material is not collected under OTR service.","")</f>
        <v/>
      </c>
      <c r="E21" s="103"/>
      <c r="F21" s="103"/>
      <c r="G21" s="105"/>
      <c r="H21" s="103"/>
      <c r="I21" s="102">
        <f>IF(COUNTIFS(TR_3Collectors[Collection or Transportation Service Provider Name],TR_3Collectors[[#This Row],[Collection or Transportation Service Provider Name]])&gt;1,1,0)</f>
        <v>0</v>
      </c>
      <c r="J21"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1" s="85">
        <f>IF(TR_3Collectors[[#This Row],[Collection or Transportation Service Provider Name]]&lt;&gt;"",0,IF(COUNTA(TR_3Collectors[[#This Row],[Collector or Transporter Type]],TR_3Collectors[[#This Row],[Collection or Transportation Provider Website]:[Collection or Transportation Contact Email]])&gt;0,1,0))</f>
        <v>0</v>
      </c>
      <c r="L21" s="63" t="str">
        <f t="shared" si="0"/>
        <v/>
      </c>
      <c r="M21" s="64"/>
    </row>
    <row r="22" spans="1:13" ht="15" x14ac:dyDescent="0.2">
      <c r="A22" s="82" t="s">
        <v>306</v>
      </c>
      <c r="B22" s="49"/>
      <c r="C22" s="103"/>
      <c r="D22" s="104" t="str">
        <f>IF(TR_3Collectors[[#This Row],[Collector or Transporter Type]]=A_OTR_Service_Provider,"Note: this collector is eligible only if material is not collected under OTR service.","")</f>
        <v/>
      </c>
      <c r="E22" s="103"/>
      <c r="F22" s="103"/>
      <c r="G22" s="105"/>
      <c r="H22" s="103"/>
      <c r="I22" s="102">
        <f>IF(COUNTIFS(TR_3Collectors[Collection or Transportation Service Provider Name],TR_3Collectors[[#This Row],[Collection or Transportation Service Provider Name]])&gt;1,1,0)</f>
        <v>0</v>
      </c>
      <c r="J22"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2" s="85">
        <f>IF(TR_3Collectors[[#This Row],[Collection or Transportation Service Provider Name]]&lt;&gt;"",0,IF(COUNTA(TR_3Collectors[[#This Row],[Collector or Transporter Type]],TR_3Collectors[[#This Row],[Collection or Transportation Provider Website]:[Collection or Transportation Contact Email]])&gt;0,1,0))</f>
        <v>0</v>
      </c>
      <c r="L22" s="63" t="str">
        <f t="shared" si="0"/>
        <v/>
      </c>
      <c r="M22" s="64"/>
    </row>
    <row r="23" spans="1:13" ht="15" x14ac:dyDescent="0.2">
      <c r="A23" s="82" t="s">
        <v>307</v>
      </c>
      <c r="B23" s="49"/>
      <c r="C23" s="103"/>
      <c r="D23" s="104" t="str">
        <f>IF(TR_3Collectors[[#This Row],[Collector or Transporter Type]]=A_OTR_Service_Provider,"Note: this collector is eligible only if material is not collected under OTR service.","")</f>
        <v/>
      </c>
      <c r="E23" s="103"/>
      <c r="F23" s="103"/>
      <c r="G23" s="105"/>
      <c r="H23" s="103"/>
      <c r="I23" s="102">
        <f>IF(COUNTIFS(TR_3Collectors[Collection or Transportation Service Provider Name],TR_3Collectors[[#This Row],[Collection or Transportation Service Provider Name]])&gt;1,1,0)</f>
        <v>0</v>
      </c>
      <c r="J23"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3" s="85">
        <f>IF(TR_3Collectors[[#This Row],[Collection or Transportation Service Provider Name]]&lt;&gt;"",0,IF(COUNTA(TR_3Collectors[[#This Row],[Collector or Transporter Type]],TR_3Collectors[[#This Row],[Collection or Transportation Provider Website]:[Collection or Transportation Contact Email]])&gt;0,1,0))</f>
        <v>0</v>
      </c>
      <c r="L23" s="63" t="str">
        <f t="shared" si="0"/>
        <v/>
      </c>
      <c r="M23" s="64"/>
    </row>
    <row r="24" spans="1:13" ht="15" x14ac:dyDescent="0.2">
      <c r="A24" s="82" t="s">
        <v>308</v>
      </c>
      <c r="B24" s="49"/>
      <c r="C24" s="103"/>
      <c r="D24" s="104" t="str">
        <f>IF(TR_3Collectors[[#This Row],[Collector or Transporter Type]]=A_OTR_Service_Provider,"Note: this collector is eligible only if material is not collected under OTR service.","")</f>
        <v/>
      </c>
      <c r="E24" s="103"/>
      <c r="F24" s="103"/>
      <c r="G24" s="105"/>
      <c r="H24" s="103"/>
      <c r="I24" s="102">
        <f>IF(COUNTIFS(TR_3Collectors[Collection or Transportation Service Provider Name],TR_3Collectors[[#This Row],[Collection or Transportation Service Provider Name]])&gt;1,1,0)</f>
        <v>0</v>
      </c>
      <c r="J24"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4" s="85">
        <f>IF(TR_3Collectors[[#This Row],[Collection or Transportation Service Provider Name]]&lt;&gt;"",0,IF(COUNTA(TR_3Collectors[[#This Row],[Collector or Transporter Type]],TR_3Collectors[[#This Row],[Collection or Transportation Provider Website]:[Collection or Transportation Contact Email]])&gt;0,1,0))</f>
        <v>0</v>
      </c>
      <c r="L24" s="63" t="str">
        <f t="shared" si="0"/>
        <v/>
      </c>
      <c r="M24" s="64"/>
    </row>
    <row r="25" spans="1:13" ht="15" x14ac:dyDescent="0.2">
      <c r="A25" s="82" t="s">
        <v>309</v>
      </c>
      <c r="B25" s="49"/>
      <c r="C25" s="103"/>
      <c r="D25" s="104" t="str">
        <f>IF(TR_3Collectors[[#This Row],[Collector or Transporter Type]]=A_OTR_Service_Provider,"Note: this collector is eligible only if material is not collected under OTR service.","")</f>
        <v/>
      </c>
      <c r="E25" s="103"/>
      <c r="F25" s="103"/>
      <c r="G25" s="105"/>
      <c r="H25" s="103"/>
      <c r="I25" s="102">
        <f>IF(COUNTIFS(TR_3Collectors[Collection or Transportation Service Provider Name],TR_3Collectors[[#This Row],[Collection or Transportation Service Provider Name]])&gt;1,1,0)</f>
        <v>0</v>
      </c>
      <c r="J25"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5" s="85">
        <f>IF(TR_3Collectors[[#This Row],[Collection or Transportation Service Provider Name]]&lt;&gt;"",0,IF(COUNTA(TR_3Collectors[[#This Row],[Collector or Transporter Type]],TR_3Collectors[[#This Row],[Collection or Transportation Provider Website]:[Collection or Transportation Contact Email]])&gt;0,1,0))</f>
        <v>0</v>
      </c>
      <c r="L25" s="63" t="str">
        <f t="shared" si="0"/>
        <v/>
      </c>
      <c r="M25" s="64"/>
    </row>
    <row r="26" spans="1:13" ht="15" x14ac:dyDescent="0.2">
      <c r="A26" s="82" t="s">
        <v>310</v>
      </c>
      <c r="B26" s="49"/>
      <c r="C26" s="103"/>
      <c r="D26" s="104" t="str">
        <f>IF(TR_3Collectors[[#This Row],[Collector or Transporter Type]]=A_OTR_Service_Provider,"Note: this collector is eligible only if material is not collected under OTR service.","")</f>
        <v/>
      </c>
      <c r="E26" s="103"/>
      <c r="F26" s="103"/>
      <c r="G26" s="105"/>
      <c r="H26" s="103"/>
      <c r="I26" s="102">
        <f>IF(COUNTIFS(TR_3Collectors[Collection or Transportation Service Provider Name],TR_3Collectors[[#This Row],[Collection or Transportation Service Provider Name]])&gt;1,1,0)</f>
        <v>0</v>
      </c>
      <c r="J26"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6" s="85">
        <f>IF(TR_3Collectors[[#This Row],[Collection or Transportation Service Provider Name]]&lt;&gt;"",0,IF(COUNTA(TR_3Collectors[[#This Row],[Collector or Transporter Type]],TR_3Collectors[[#This Row],[Collection or Transportation Provider Website]:[Collection or Transportation Contact Email]])&gt;0,1,0))</f>
        <v>0</v>
      </c>
      <c r="L26" s="63" t="str">
        <f t="shared" si="0"/>
        <v/>
      </c>
      <c r="M26" s="64"/>
    </row>
    <row r="27" spans="1:13" ht="15" x14ac:dyDescent="0.2">
      <c r="A27" s="82" t="s">
        <v>311</v>
      </c>
      <c r="B27" s="49"/>
      <c r="C27" s="103"/>
      <c r="D27" s="104" t="str">
        <f>IF(TR_3Collectors[[#This Row],[Collector or Transporter Type]]=A_OTR_Service_Provider,"Note: this collector is eligible only if material is not collected under OTR service.","")</f>
        <v/>
      </c>
      <c r="E27" s="103"/>
      <c r="F27" s="103"/>
      <c r="G27" s="105"/>
      <c r="H27" s="103"/>
      <c r="I27" s="102">
        <f>IF(COUNTIFS(TR_3Collectors[Collection or Transportation Service Provider Name],TR_3Collectors[[#This Row],[Collection or Transportation Service Provider Name]])&gt;1,1,0)</f>
        <v>0</v>
      </c>
      <c r="J27"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7" s="85">
        <f>IF(TR_3Collectors[[#This Row],[Collection or Transportation Service Provider Name]]&lt;&gt;"",0,IF(COUNTA(TR_3Collectors[[#This Row],[Collector or Transporter Type]],TR_3Collectors[[#This Row],[Collection or Transportation Provider Website]:[Collection or Transportation Contact Email]])&gt;0,1,0))</f>
        <v>0</v>
      </c>
      <c r="L27" s="63" t="str">
        <f t="shared" si="0"/>
        <v/>
      </c>
      <c r="M27" s="64"/>
    </row>
    <row r="28" spans="1:13" ht="15" x14ac:dyDescent="0.2">
      <c r="A28" s="82" t="s">
        <v>312</v>
      </c>
      <c r="B28" s="49"/>
      <c r="C28" s="103"/>
      <c r="D28" s="104" t="str">
        <f>IF(TR_3Collectors[[#This Row],[Collector or Transporter Type]]=A_OTR_Service_Provider,"Note: this collector is eligible only if material is not collected under OTR service.","")</f>
        <v/>
      </c>
      <c r="E28" s="103"/>
      <c r="F28" s="103"/>
      <c r="G28" s="105"/>
      <c r="H28" s="103"/>
      <c r="I28" s="102">
        <f>IF(COUNTIFS(TR_3Collectors[Collection or Transportation Service Provider Name],TR_3Collectors[[#This Row],[Collection or Transportation Service Provider Name]])&gt;1,1,0)</f>
        <v>0</v>
      </c>
      <c r="J28"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8" s="85">
        <f>IF(TR_3Collectors[[#This Row],[Collection or Transportation Service Provider Name]]&lt;&gt;"",0,IF(COUNTA(TR_3Collectors[[#This Row],[Collector or Transporter Type]],TR_3Collectors[[#This Row],[Collection or Transportation Provider Website]:[Collection or Transportation Contact Email]])&gt;0,1,0))</f>
        <v>0</v>
      </c>
      <c r="L28" s="63" t="str">
        <f t="shared" si="0"/>
        <v/>
      </c>
      <c r="M28" s="64"/>
    </row>
    <row r="29" spans="1:13" ht="15" x14ac:dyDescent="0.2">
      <c r="A29" s="82" t="s">
        <v>313</v>
      </c>
      <c r="B29" s="49"/>
      <c r="C29" s="103"/>
      <c r="D29" s="104" t="str">
        <f>IF(TR_3Collectors[[#This Row],[Collector or Transporter Type]]=A_OTR_Service_Provider,"Note: this collector is eligible only if material is not collected under OTR service.","")</f>
        <v/>
      </c>
      <c r="E29" s="103"/>
      <c r="F29" s="103"/>
      <c r="G29" s="105"/>
      <c r="H29" s="103"/>
      <c r="I29" s="102">
        <f>IF(COUNTIFS(TR_3Collectors[Collection or Transportation Service Provider Name],TR_3Collectors[[#This Row],[Collection or Transportation Service Provider Name]])&gt;1,1,0)</f>
        <v>0</v>
      </c>
      <c r="J29"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29" s="85">
        <f>IF(TR_3Collectors[[#This Row],[Collection or Transportation Service Provider Name]]&lt;&gt;"",0,IF(COUNTA(TR_3Collectors[[#This Row],[Collector or Transporter Type]],TR_3Collectors[[#This Row],[Collection or Transportation Provider Website]:[Collection or Transportation Contact Email]])&gt;0,1,0))</f>
        <v>0</v>
      </c>
      <c r="L29" s="63" t="str">
        <f t="shared" si="0"/>
        <v/>
      </c>
      <c r="M29" s="64"/>
    </row>
    <row r="30" spans="1:13" ht="15" x14ac:dyDescent="0.2">
      <c r="A30" s="82" t="s">
        <v>314</v>
      </c>
      <c r="B30" s="49"/>
      <c r="C30" s="103"/>
      <c r="D30" s="104" t="str">
        <f>IF(TR_3Collectors[[#This Row],[Collector or Transporter Type]]=A_OTR_Service_Provider,"Note: this collector is eligible only if material is not collected under OTR service.","")</f>
        <v/>
      </c>
      <c r="E30" s="103"/>
      <c r="F30" s="103"/>
      <c r="G30" s="105"/>
      <c r="H30" s="103"/>
      <c r="I30" s="102">
        <f>IF(COUNTIFS(TR_3Collectors[Collection or Transportation Service Provider Name],TR_3Collectors[[#This Row],[Collection or Transportation Service Provider Name]])&gt;1,1,0)</f>
        <v>0</v>
      </c>
      <c r="J30"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0" s="85">
        <f>IF(TR_3Collectors[[#This Row],[Collection or Transportation Service Provider Name]]&lt;&gt;"",0,IF(COUNTA(TR_3Collectors[[#This Row],[Collector or Transporter Type]],TR_3Collectors[[#This Row],[Collection or Transportation Provider Website]:[Collection or Transportation Contact Email]])&gt;0,1,0))</f>
        <v>0</v>
      </c>
      <c r="L30" s="63" t="str">
        <f t="shared" si="0"/>
        <v/>
      </c>
      <c r="M30" s="64"/>
    </row>
    <row r="31" spans="1:13" ht="15" x14ac:dyDescent="0.2">
      <c r="A31" s="82" t="s">
        <v>315</v>
      </c>
      <c r="B31" s="49"/>
      <c r="C31" s="103"/>
      <c r="D31" s="104" t="str">
        <f>IF(TR_3Collectors[[#This Row],[Collector or Transporter Type]]=A_OTR_Service_Provider,"Note: this collector is eligible only if material is not collected under OTR service.","")</f>
        <v/>
      </c>
      <c r="E31" s="103"/>
      <c r="F31" s="103"/>
      <c r="G31" s="105"/>
      <c r="H31" s="103"/>
      <c r="I31" s="102">
        <f>IF(COUNTIFS(TR_3Collectors[Collection or Transportation Service Provider Name],TR_3Collectors[[#This Row],[Collection or Transportation Service Provider Name]])&gt;1,1,0)</f>
        <v>0</v>
      </c>
      <c r="J31"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1" s="85">
        <f>IF(TR_3Collectors[[#This Row],[Collection or Transportation Service Provider Name]]&lt;&gt;"",0,IF(COUNTA(TR_3Collectors[[#This Row],[Collector or Transporter Type]],TR_3Collectors[[#This Row],[Collection or Transportation Provider Website]:[Collection or Transportation Contact Email]])&gt;0,1,0))</f>
        <v>0</v>
      </c>
      <c r="L31" s="63" t="str">
        <f t="shared" si="0"/>
        <v/>
      </c>
      <c r="M31" s="64"/>
    </row>
    <row r="32" spans="1:13" ht="15" x14ac:dyDescent="0.2">
      <c r="A32" s="82" t="s">
        <v>316</v>
      </c>
      <c r="B32" s="49"/>
      <c r="C32" s="103"/>
      <c r="D32" s="104" t="str">
        <f>IF(TR_3Collectors[[#This Row],[Collector or Transporter Type]]=A_OTR_Service_Provider,"Note: this collector is eligible only if material is not collected under OTR service.","")</f>
        <v/>
      </c>
      <c r="E32" s="103"/>
      <c r="F32" s="103"/>
      <c r="G32" s="105"/>
      <c r="H32" s="103"/>
      <c r="I32" s="102">
        <f>IF(COUNTIFS(TR_3Collectors[Collection or Transportation Service Provider Name],TR_3Collectors[[#This Row],[Collection or Transportation Service Provider Name]])&gt;1,1,0)</f>
        <v>0</v>
      </c>
      <c r="J32"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2" s="85">
        <f>IF(TR_3Collectors[[#This Row],[Collection or Transportation Service Provider Name]]&lt;&gt;"",0,IF(COUNTA(TR_3Collectors[[#This Row],[Collector or Transporter Type]],TR_3Collectors[[#This Row],[Collection or Transportation Provider Website]:[Collection or Transportation Contact Email]])&gt;0,1,0))</f>
        <v>0</v>
      </c>
      <c r="L32" s="63" t="str">
        <f t="shared" si="0"/>
        <v/>
      </c>
      <c r="M32" s="64"/>
    </row>
    <row r="33" spans="1:13" ht="15" x14ac:dyDescent="0.2">
      <c r="A33" s="82" t="s">
        <v>317</v>
      </c>
      <c r="B33" s="49"/>
      <c r="C33" s="103"/>
      <c r="D33" s="104" t="str">
        <f>IF(TR_3Collectors[[#This Row],[Collector or Transporter Type]]=A_OTR_Service_Provider,"Note: this collector is eligible only if material is not collected under OTR service.","")</f>
        <v/>
      </c>
      <c r="E33" s="103"/>
      <c r="F33" s="103"/>
      <c r="G33" s="105"/>
      <c r="H33" s="103"/>
      <c r="I33" s="102">
        <f>IF(COUNTIFS(TR_3Collectors[Collection or Transportation Service Provider Name],TR_3Collectors[[#This Row],[Collection or Transportation Service Provider Name]])&gt;1,1,0)</f>
        <v>0</v>
      </c>
      <c r="J33"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3" s="85">
        <f>IF(TR_3Collectors[[#This Row],[Collection or Transportation Service Provider Name]]&lt;&gt;"",0,IF(COUNTA(TR_3Collectors[[#This Row],[Collector or Transporter Type]],TR_3Collectors[[#This Row],[Collection or Transportation Provider Website]:[Collection or Transportation Contact Email]])&gt;0,1,0))</f>
        <v>0</v>
      </c>
      <c r="L33" s="63" t="str">
        <f t="shared" si="0"/>
        <v/>
      </c>
      <c r="M33" s="64"/>
    </row>
    <row r="34" spans="1:13" ht="15" x14ac:dyDescent="0.2">
      <c r="A34" s="82" t="s">
        <v>318</v>
      </c>
      <c r="B34" s="49"/>
      <c r="C34" s="103"/>
      <c r="D34" s="104" t="str">
        <f>IF(TR_3Collectors[[#This Row],[Collector or Transporter Type]]=A_OTR_Service_Provider,"Note: this collector is eligible only if material is not collected under OTR service.","")</f>
        <v/>
      </c>
      <c r="E34" s="103"/>
      <c r="F34" s="103"/>
      <c r="G34" s="105"/>
      <c r="H34" s="103"/>
      <c r="I34" s="102">
        <f>IF(COUNTIFS(TR_3Collectors[Collection or Transportation Service Provider Name],TR_3Collectors[[#This Row],[Collection or Transportation Service Provider Name]])&gt;1,1,0)</f>
        <v>0</v>
      </c>
      <c r="J34"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4" s="85">
        <f>IF(TR_3Collectors[[#This Row],[Collection or Transportation Service Provider Name]]&lt;&gt;"",0,IF(COUNTA(TR_3Collectors[[#This Row],[Collector or Transporter Type]],TR_3Collectors[[#This Row],[Collection or Transportation Provider Website]:[Collection or Transportation Contact Email]])&gt;0,1,0))</f>
        <v>0</v>
      </c>
      <c r="L34" s="63" t="str">
        <f t="shared" si="0"/>
        <v/>
      </c>
      <c r="M34" s="64"/>
    </row>
    <row r="35" spans="1:13" ht="15" x14ac:dyDescent="0.2">
      <c r="A35" s="82" t="s">
        <v>319</v>
      </c>
      <c r="B35" s="49"/>
      <c r="C35" s="103"/>
      <c r="D35" s="104" t="str">
        <f>IF(TR_3Collectors[[#This Row],[Collector or Transporter Type]]=A_OTR_Service_Provider,"Note: this collector is eligible only if material is not collected under OTR service.","")</f>
        <v/>
      </c>
      <c r="E35" s="103"/>
      <c r="F35" s="103"/>
      <c r="G35" s="105"/>
      <c r="H35" s="103"/>
      <c r="I35" s="102">
        <f>IF(COUNTIFS(TR_3Collectors[Collection or Transportation Service Provider Name],TR_3Collectors[[#This Row],[Collection or Transportation Service Provider Name]])&gt;1,1,0)</f>
        <v>0</v>
      </c>
      <c r="J35"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5" s="85">
        <f>IF(TR_3Collectors[[#This Row],[Collection or Transportation Service Provider Name]]&lt;&gt;"",0,IF(COUNTA(TR_3Collectors[[#This Row],[Collector or Transporter Type]],TR_3Collectors[[#This Row],[Collection or Transportation Provider Website]:[Collection or Transportation Contact Email]])&gt;0,1,0))</f>
        <v>0</v>
      </c>
      <c r="L35" s="63" t="str">
        <f t="shared" si="0"/>
        <v/>
      </c>
      <c r="M35" s="64"/>
    </row>
    <row r="36" spans="1:13" ht="15" x14ac:dyDescent="0.2">
      <c r="A36" s="82" t="s">
        <v>320</v>
      </c>
      <c r="B36" s="49"/>
      <c r="C36" s="103"/>
      <c r="D36" s="104" t="str">
        <f>IF(TR_3Collectors[[#This Row],[Collector or Transporter Type]]=A_OTR_Service_Provider,"Note: this collector is eligible only if material is not collected under OTR service.","")</f>
        <v/>
      </c>
      <c r="E36" s="103"/>
      <c r="F36" s="103"/>
      <c r="G36" s="105"/>
      <c r="H36" s="103"/>
      <c r="I36" s="102">
        <f>IF(COUNTIFS(TR_3Collectors[Collection or Transportation Service Provider Name],TR_3Collectors[[#This Row],[Collection or Transportation Service Provider Name]])&gt;1,1,0)</f>
        <v>0</v>
      </c>
      <c r="J36"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6" s="85">
        <f>IF(TR_3Collectors[[#This Row],[Collection or Transportation Service Provider Name]]&lt;&gt;"",0,IF(COUNTA(TR_3Collectors[[#This Row],[Collector or Transporter Type]],TR_3Collectors[[#This Row],[Collection or Transportation Provider Website]:[Collection or Transportation Contact Email]])&gt;0,1,0))</f>
        <v>0</v>
      </c>
      <c r="L36" s="63" t="str">
        <f t="shared" si="0"/>
        <v/>
      </c>
      <c r="M36" s="64"/>
    </row>
    <row r="37" spans="1:13" ht="15" x14ac:dyDescent="0.2">
      <c r="A37" s="82" t="s">
        <v>321</v>
      </c>
      <c r="B37" s="49"/>
      <c r="C37" s="103"/>
      <c r="D37" s="104" t="str">
        <f>IF(TR_3Collectors[[#This Row],[Collector or Transporter Type]]=A_OTR_Service_Provider,"Note: this collector is eligible only if material is not collected under OTR service.","")</f>
        <v/>
      </c>
      <c r="E37" s="103"/>
      <c r="F37" s="103"/>
      <c r="G37" s="105"/>
      <c r="H37" s="103"/>
      <c r="I37" s="102">
        <f>IF(COUNTIFS(TR_3Collectors[Collection or Transportation Service Provider Name],TR_3Collectors[[#This Row],[Collection or Transportation Service Provider Name]])&gt;1,1,0)</f>
        <v>0</v>
      </c>
      <c r="J37"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7" s="85">
        <f>IF(TR_3Collectors[[#This Row],[Collection or Transportation Service Provider Name]]&lt;&gt;"",0,IF(COUNTA(TR_3Collectors[[#This Row],[Collector or Transporter Type]],TR_3Collectors[[#This Row],[Collection or Transportation Provider Website]:[Collection or Transportation Contact Email]])&gt;0,1,0))</f>
        <v>0</v>
      </c>
      <c r="L37" s="63" t="str">
        <f t="shared" si="0"/>
        <v/>
      </c>
      <c r="M37" s="64"/>
    </row>
    <row r="38" spans="1:13" ht="15" x14ac:dyDescent="0.2">
      <c r="A38" s="82" t="s">
        <v>322</v>
      </c>
      <c r="B38" s="49"/>
      <c r="C38" s="103"/>
      <c r="D38" s="104" t="str">
        <f>IF(TR_3Collectors[[#This Row],[Collector or Transporter Type]]=A_OTR_Service_Provider,"Note: this collector is eligible only if material is not collected under OTR service.","")</f>
        <v/>
      </c>
      <c r="E38" s="103"/>
      <c r="F38" s="103"/>
      <c r="G38" s="105"/>
      <c r="H38" s="103"/>
      <c r="I38" s="102">
        <f>IF(COUNTIFS(TR_3Collectors[Collection or Transportation Service Provider Name],TR_3Collectors[[#This Row],[Collection or Transportation Service Provider Name]])&gt;1,1,0)</f>
        <v>0</v>
      </c>
      <c r="J38"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8" s="85">
        <f>IF(TR_3Collectors[[#This Row],[Collection or Transportation Service Provider Name]]&lt;&gt;"",0,IF(COUNTA(TR_3Collectors[[#This Row],[Collector or Transporter Type]],TR_3Collectors[[#This Row],[Collection or Transportation Provider Website]:[Collection or Transportation Contact Email]])&gt;0,1,0))</f>
        <v>0</v>
      </c>
      <c r="L38" s="63" t="str">
        <f t="shared" ref="L38:L55" si="1">IF(DR_ProducerID=0,"",DR_ProducerID)</f>
        <v/>
      </c>
      <c r="M38" s="64"/>
    </row>
    <row r="39" spans="1:13" ht="15" x14ac:dyDescent="0.2">
      <c r="A39" s="82" t="s">
        <v>323</v>
      </c>
      <c r="B39" s="49"/>
      <c r="C39" s="103"/>
      <c r="D39" s="104" t="str">
        <f>IF(TR_3Collectors[[#This Row],[Collector or Transporter Type]]=A_OTR_Service_Provider,"Note: this collector is eligible only if material is not collected under OTR service.","")</f>
        <v/>
      </c>
      <c r="E39" s="103"/>
      <c r="F39" s="103"/>
      <c r="G39" s="105"/>
      <c r="H39" s="103"/>
      <c r="I39" s="102">
        <f>IF(COUNTIFS(TR_3Collectors[Collection or Transportation Service Provider Name],TR_3Collectors[[#This Row],[Collection or Transportation Service Provider Name]])&gt;1,1,0)</f>
        <v>0</v>
      </c>
      <c r="J39"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39" s="85">
        <f>IF(TR_3Collectors[[#This Row],[Collection or Transportation Service Provider Name]]&lt;&gt;"",0,IF(COUNTA(TR_3Collectors[[#This Row],[Collector or Transporter Type]],TR_3Collectors[[#This Row],[Collection or Transportation Provider Website]:[Collection or Transportation Contact Email]])&gt;0,1,0))</f>
        <v>0</v>
      </c>
      <c r="L39" s="63" t="str">
        <f t="shared" si="1"/>
        <v/>
      </c>
      <c r="M39" s="64"/>
    </row>
    <row r="40" spans="1:13" ht="15" x14ac:dyDescent="0.2">
      <c r="A40" s="82" t="s">
        <v>324</v>
      </c>
      <c r="B40" s="49"/>
      <c r="C40" s="103"/>
      <c r="D40" s="104" t="str">
        <f>IF(TR_3Collectors[[#This Row],[Collector or Transporter Type]]=A_OTR_Service_Provider,"Note: this collector is eligible only if material is not collected under OTR service.","")</f>
        <v/>
      </c>
      <c r="E40" s="103"/>
      <c r="F40" s="103"/>
      <c r="G40" s="105"/>
      <c r="H40" s="103"/>
      <c r="I40" s="102">
        <f>IF(COUNTIFS(TR_3Collectors[Collection or Transportation Service Provider Name],TR_3Collectors[[#This Row],[Collection or Transportation Service Provider Name]])&gt;1,1,0)</f>
        <v>0</v>
      </c>
      <c r="J40"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0" s="85">
        <f>IF(TR_3Collectors[[#This Row],[Collection or Transportation Service Provider Name]]&lt;&gt;"",0,IF(COUNTA(TR_3Collectors[[#This Row],[Collector or Transporter Type]],TR_3Collectors[[#This Row],[Collection or Transportation Provider Website]:[Collection or Transportation Contact Email]])&gt;0,1,0))</f>
        <v>0</v>
      </c>
      <c r="L40" s="63" t="str">
        <f t="shared" si="1"/>
        <v/>
      </c>
      <c r="M40" s="64"/>
    </row>
    <row r="41" spans="1:13" ht="15" x14ac:dyDescent="0.2">
      <c r="A41" s="82" t="s">
        <v>325</v>
      </c>
      <c r="B41" s="49"/>
      <c r="C41" s="103"/>
      <c r="D41" s="104" t="str">
        <f>IF(TR_3Collectors[[#This Row],[Collector or Transporter Type]]=A_OTR_Service_Provider,"Note: this collector is eligible only if material is not collected under OTR service.","")</f>
        <v/>
      </c>
      <c r="E41" s="103"/>
      <c r="F41" s="103"/>
      <c r="G41" s="105"/>
      <c r="H41" s="103"/>
      <c r="I41" s="102">
        <f>IF(COUNTIFS(TR_3Collectors[Collection or Transportation Service Provider Name],TR_3Collectors[[#This Row],[Collection or Transportation Service Provider Name]])&gt;1,1,0)</f>
        <v>0</v>
      </c>
      <c r="J41"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1" s="85">
        <f>IF(TR_3Collectors[[#This Row],[Collection or Transportation Service Provider Name]]&lt;&gt;"",0,IF(COUNTA(TR_3Collectors[[#This Row],[Collector or Transporter Type]],TR_3Collectors[[#This Row],[Collection or Transportation Provider Website]:[Collection or Transportation Contact Email]])&gt;0,1,0))</f>
        <v>0</v>
      </c>
      <c r="L41" s="63" t="str">
        <f t="shared" si="1"/>
        <v/>
      </c>
      <c r="M41" s="64"/>
    </row>
    <row r="42" spans="1:13" ht="15" x14ac:dyDescent="0.2">
      <c r="A42" s="82" t="s">
        <v>326</v>
      </c>
      <c r="B42" s="49"/>
      <c r="C42" s="103"/>
      <c r="D42" s="104" t="str">
        <f>IF(TR_3Collectors[[#This Row],[Collector or Transporter Type]]=A_OTR_Service_Provider,"Note: this collector is eligible only if material is not collected under OTR service.","")</f>
        <v/>
      </c>
      <c r="E42" s="103"/>
      <c r="F42" s="103"/>
      <c r="G42" s="105"/>
      <c r="H42" s="103"/>
      <c r="I42" s="102">
        <f>IF(COUNTIFS(TR_3Collectors[Collection or Transportation Service Provider Name],TR_3Collectors[[#This Row],[Collection or Transportation Service Provider Name]])&gt;1,1,0)</f>
        <v>0</v>
      </c>
      <c r="J42"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2" s="85">
        <f>IF(TR_3Collectors[[#This Row],[Collection or Transportation Service Provider Name]]&lt;&gt;"",0,IF(COUNTA(TR_3Collectors[[#This Row],[Collector or Transporter Type]],TR_3Collectors[[#This Row],[Collection or Transportation Provider Website]:[Collection or Transportation Contact Email]])&gt;0,1,0))</f>
        <v>0</v>
      </c>
      <c r="L42" s="63" t="str">
        <f t="shared" si="1"/>
        <v/>
      </c>
      <c r="M42" s="64"/>
    </row>
    <row r="43" spans="1:13" ht="15" x14ac:dyDescent="0.2">
      <c r="A43" s="82" t="s">
        <v>327</v>
      </c>
      <c r="B43" s="49"/>
      <c r="C43" s="103"/>
      <c r="D43" s="104" t="str">
        <f>IF(TR_3Collectors[[#This Row],[Collector or Transporter Type]]=A_OTR_Service_Provider,"Note: this collector is eligible only if material is not collected under OTR service.","")</f>
        <v/>
      </c>
      <c r="E43" s="103"/>
      <c r="F43" s="103"/>
      <c r="G43" s="105"/>
      <c r="H43" s="103"/>
      <c r="I43" s="102">
        <f>IF(COUNTIFS(TR_3Collectors[Collection or Transportation Service Provider Name],TR_3Collectors[[#This Row],[Collection or Transportation Service Provider Name]])&gt;1,1,0)</f>
        <v>0</v>
      </c>
      <c r="J43"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3" s="85">
        <f>IF(TR_3Collectors[[#This Row],[Collection or Transportation Service Provider Name]]&lt;&gt;"",0,IF(COUNTA(TR_3Collectors[[#This Row],[Collector or Transporter Type]],TR_3Collectors[[#This Row],[Collection or Transportation Provider Website]:[Collection or Transportation Contact Email]])&gt;0,1,0))</f>
        <v>0</v>
      </c>
      <c r="L43" s="63" t="str">
        <f t="shared" si="1"/>
        <v/>
      </c>
      <c r="M43" s="64"/>
    </row>
    <row r="44" spans="1:13" ht="15" x14ac:dyDescent="0.2">
      <c r="A44" s="82" t="s">
        <v>328</v>
      </c>
      <c r="B44" s="49"/>
      <c r="C44" s="103"/>
      <c r="D44" s="104" t="str">
        <f>IF(TR_3Collectors[[#This Row],[Collector or Transporter Type]]=A_OTR_Service_Provider,"Note: this collector is eligible only if material is not collected under OTR service.","")</f>
        <v/>
      </c>
      <c r="E44" s="103"/>
      <c r="F44" s="103"/>
      <c r="G44" s="105"/>
      <c r="H44" s="103"/>
      <c r="I44" s="102">
        <f>IF(COUNTIFS(TR_3Collectors[Collection or Transportation Service Provider Name],TR_3Collectors[[#This Row],[Collection or Transportation Service Provider Name]])&gt;1,1,0)</f>
        <v>0</v>
      </c>
      <c r="J44"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4" s="85">
        <f>IF(TR_3Collectors[[#This Row],[Collection or Transportation Service Provider Name]]&lt;&gt;"",0,IF(COUNTA(TR_3Collectors[[#This Row],[Collector or Transporter Type]],TR_3Collectors[[#This Row],[Collection or Transportation Provider Website]:[Collection or Transportation Contact Email]])&gt;0,1,0))</f>
        <v>0</v>
      </c>
      <c r="L44" s="63" t="str">
        <f t="shared" si="1"/>
        <v/>
      </c>
      <c r="M44" s="64"/>
    </row>
    <row r="45" spans="1:13" ht="15" x14ac:dyDescent="0.2">
      <c r="A45" s="82" t="s">
        <v>329</v>
      </c>
      <c r="B45" s="49"/>
      <c r="C45" s="103"/>
      <c r="D45" s="104" t="str">
        <f>IF(TR_3Collectors[[#This Row],[Collector or Transporter Type]]=A_OTR_Service_Provider,"Note: this collector is eligible only if material is not collected under OTR service.","")</f>
        <v/>
      </c>
      <c r="E45" s="103"/>
      <c r="F45" s="103"/>
      <c r="G45" s="105"/>
      <c r="H45" s="103"/>
      <c r="I45" s="102">
        <f>IF(COUNTIFS(TR_3Collectors[Collection or Transportation Service Provider Name],TR_3Collectors[[#This Row],[Collection or Transportation Service Provider Name]])&gt;1,1,0)</f>
        <v>0</v>
      </c>
      <c r="J45"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5" s="85">
        <f>IF(TR_3Collectors[[#This Row],[Collection or Transportation Service Provider Name]]&lt;&gt;"",0,IF(COUNTA(TR_3Collectors[[#This Row],[Collector or Transporter Type]],TR_3Collectors[[#This Row],[Collection or Transportation Provider Website]:[Collection or Transportation Contact Email]])&gt;0,1,0))</f>
        <v>0</v>
      </c>
      <c r="L45" s="63" t="str">
        <f t="shared" si="1"/>
        <v/>
      </c>
      <c r="M45" s="64"/>
    </row>
    <row r="46" spans="1:13" ht="15" x14ac:dyDescent="0.2">
      <c r="A46" s="82" t="s">
        <v>330</v>
      </c>
      <c r="B46" s="49"/>
      <c r="C46" s="103"/>
      <c r="D46" s="104" t="str">
        <f>IF(TR_3Collectors[[#This Row],[Collector or Transporter Type]]=A_OTR_Service_Provider,"Note: this collector is eligible only if material is not collected under OTR service.","")</f>
        <v/>
      </c>
      <c r="E46" s="103"/>
      <c r="F46" s="103"/>
      <c r="G46" s="105"/>
      <c r="H46" s="103"/>
      <c r="I46" s="102">
        <f>IF(COUNTIFS(TR_3Collectors[Collection or Transportation Service Provider Name],TR_3Collectors[[#This Row],[Collection or Transportation Service Provider Name]])&gt;1,1,0)</f>
        <v>0</v>
      </c>
      <c r="J46"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6" s="85">
        <f>IF(TR_3Collectors[[#This Row],[Collection or Transportation Service Provider Name]]&lt;&gt;"",0,IF(COUNTA(TR_3Collectors[[#This Row],[Collector or Transporter Type]],TR_3Collectors[[#This Row],[Collection or Transportation Provider Website]:[Collection or Transportation Contact Email]])&gt;0,1,0))</f>
        <v>0</v>
      </c>
      <c r="L46" s="63" t="str">
        <f t="shared" si="1"/>
        <v/>
      </c>
      <c r="M46" s="64"/>
    </row>
    <row r="47" spans="1:13" ht="15" x14ac:dyDescent="0.2">
      <c r="A47" s="82" t="s">
        <v>331</v>
      </c>
      <c r="B47" s="49"/>
      <c r="C47" s="103"/>
      <c r="D47" s="104" t="str">
        <f>IF(TR_3Collectors[[#This Row],[Collector or Transporter Type]]=A_OTR_Service_Provider,"Note: this collector is eligible only if material is not collected under OTR service.","")</f>
        <v/>
      </c>
      <c r="E47" s="103"/>
      <c r="F47" s="103"/>
      <c r="G47" s="105"/>
      <c r="H47" s="103"/>
      <c r="I47" s="102">
        <f>IF(COUNTIFS(TR_3Collectors[Collection or Transportation Service Provider Name],TR_3Collectors[[#This Row],[Collection or Transportation Service Provider Name]])&gt;1,1,0)</f>
        <v>0</v>
      </c>
      <c r="J47"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7" s="85">
        <f>IF(TR_3Collectors[[#This Row],[Collection or Transportation Service Provider Name]]&lt;&gt;"",0,IF(COUNTA(TR_3Collectors[[#This Row],[Collector or Transporter Type]],TR_3Collectors[[#This Row],[Collection or Transportation Provider Website]:[Collection or Transportation Contact Email]])&gt;0,1,0))</f>
        <v>0</v>
      </c>
      <c r="L47" s="63" t="str">
        <f t="shared" si="1"/>
        <v/>
      </c>
      <c r="M47" s="64"/>
    </row>
    <row r="48" spans="1:13" ht="15" x14ac:dyDescent="0.2">
      <c r="A48" s="82" t="s">
        <v>332</v>
      </c>
      <c r="B48" s="49"/>
      <c r="C48" s="103"/>
      <c r="D48" s="104" t="str">
        <f>IF(TR_3Collectors[[#This Row],[Collector or Transporter Type]]=A_OTR_Service_Provider,"Note: this collector is eligible only if material is not collected under OTR service.","")</f>
        <v/>
      </c>
      <c r="E48" s="103"/>
      <c r="F48" s="103"/>
      <c r="G48" s="105"/>
      <c r="H48" s="103"/>
      <c r="I48" s="102">
        <f>IF(COUNTIFS(TR_3Collectors[Collection or Transportation Service Provider Name],TR_3Collectors[[#This Row],[Collection or Transportation Service Provider Name]])&gt;1,1,0)</f>
        <v>0</v>
      </c>
      <c r="J48"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8" s="85">
        <f>IF(TR_3Collectors[[#This Row],[Collection or Transportation Service Provider Name]]&lt;&gt;"",0,IF(COUNTA(TR_3Collectors[[#This Row],[Collector or Transporter Type]],TR_3Collectors[[#This Row],[Collection or Transportation Provider Website]:[Collection or Transportation Contact Email]])&gt;0,1,0))</f>
        <v>0</v>
      </c>
      <c r="L48" s="63" t="str">
        <f t="shared" si="1"/>
        <v/>
      </c>
      <c r="M48" s="64"/>
    </row>
    <row r="49" spans="1:13" ht="15" x14ac:dyDescent="0.2">
      <c r="A49" s="82" t="s">
        <v>333</v>
      </c>
      <c r="B49" s="49"/>
      <c r="C49" s="103"/>
      <c r="D49" s="104" t="str">
        <f>IF(TR_3Collectors[[#This Row],[Collector or Transporter Type]]=A_OTR_Service_Provider,"Note: this collector is eligible only if material is not collected under OTR service.","")</f>
        <v/>
      </c>
      <c r="E49" s="103"/>
      <c r="F49" s="103"/>
      <c r="G49" s="105"/>
      <c r="H49" s="103"/>
      <c r="I49" s="102">
        <f>IF(COUNTIFS(TR_3Collectors[Collection or Transportation Service Provider Name],TR_3Collectors[[#This Row],[Collection or Transportation Service Provider Name]])&gt;1,1,0)</f>
        <v>0</v>
      </c>
      <c r="J49"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49" s="85">
        <f>IF(TR_3Collectors[[#This Row],[Collection or Transportation Service Provider Name]]&lt;&gt;"",0,IF(COUNTA(TR_3Collectors[[#This Row],[Collector or Transporter Type]],TR_3Collectors[[#This Row],[Collection or Transportation Provider Website]:[Collection or Transportation Contact Email]])&gt;0,1,0))</f>
        <v>0</v>
      </c>
      <c r="L49" s="63" t="str">
        <f t="shared" si="1"/>
        <v/>
      </c>
      <c r="M49" s="64"/>
    </row>
    <row r="50" spans="1:13" ht="15" x14ac:dyDescent="0.2">
      <c r="A50" s="82" t="s">
        <v>334</v>
      </c>
      <c r="B50" s="49"/>
      <c r="C50" s="103"/>
      <c r="D50" s="104" t="str">
        <f>IF(TR_3Collectors[[#This Row],[Collector or Transporter Type]]=A_OTR_Service_Provider,"Note: this collector is eligible only if material is not collected under OTR service.","")</f>
        <v/>
      </c>
      <c r="E50" s="103"/>
      <c r="F50" s="103"/>
      <c r="G50" s="105"/>
      <c r="H50" s="103"/>
      <c r="I50" s="102">
        <f>IF(COUNTIFS(TR_3Collectors[Collection or Transportation Service Provider Name],TR_3Collectors[[#This Row],[Collection or Transportation Service Provider Name]])&gt;1,1,0)</f>
        <v>0</v>
      </c>
      <c r="J50"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50" s="85">
        <f>IF(TR_3Collectors[[#This Row],[Collection or Transportation Service Provider Name]]&lt;&gt;"",0,IF(COUNTA(TR_3Collectors[[#This Row],[Collector or Transporter Type]],TR_3Collectors[[#This Row],[Collection or Transportation Provider Website]:[Collection or Transportation Contact Email]])&gt;0,1,0))</f>
        <v>0</v>
      </c>
      <c r="L50" s="63" t="str">
        <f t="shared" si="1"/>
        <v/>
      </c>
      <c r="M50" s="64"/>
    </row>
    <row r="51" spans="1:13" ht="15" x14ac:dyDescent="0.2">
      <c r="A51" s="82" t="s">
        <v>335</v>
      </c>
      <c r="B51" s="49"/>
      <c r="C51" s="103"/>
      <c r="D51" s="104" t="str">
        <f>IF(TR_3Collectors[[#This Row],[Collector or Transporter Type]]=A_OTR_Service_Provider,"Note: this collector is eligible only if material is not collected under OTR service.","")</f>
        <v/>
      </c>
      <c r="E51" s="103"/>
      <c r="F51" s="103"/>
      <c r="G51" s="105"/>
      <c r="H51" s="103"/>
      <c r="I51" s="102">
        <f>IF(COUNTIFS(TR_3Collectors[Collection or Transportation Service Provider Name],TR_3Collectors[[#This Row],[Collection or Transportation Service Provider Name]])&gt;1,1,0)</f>
        <v>0</v>
      </c>
      <c r="J51"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51" s="85">
        <f>IF(TR_3Collectors[[#This Row],[Collection or Transportation Service Provider Name]]&lt;&gt;"",0,IF(COUNTA(TR_3Collectors[[#This Row],[Collector or Transporter Type]],TR_3Collectors[[#This Row],[Collection or Transportation Provider Website]:[Collection or Transportation Contact Email]])&gt;0,1,0))</f>
        <v>0</v>
      </c>
      <c r="L51" s="63" t="str">
        <f t="shared" si="1"/>
        <v/>
      </c>
      <c r="M51" s="64"/>
    </row>
    <row r="52" spans="1:13" ht="15" x14ac:dyDescent="0.2">
      <c r="A52" s="82" t="s">
        <v>336</v>
      </c>
      <c r="B52" s="49"/>
      <c r="C52" s="103"/>
      <c r="D52" s="104" t="str">
        <f>IF(TR_3Collectors[[#This Row],[Collector or Transporter Type]]=A_OTR_Service_Provider,"Note: this collector is eligible only if material is not collected under OTR service.","")</f>
        <v/>
      </c>
      <c r="E52" s="103"/>
      <c r="F52" s="103"/>
      <c r="G52" s="105"/>
      <c r="H52" s="103"/>
      <c r="I52" s="102">
        <f>IF(COUNTIFS(TR_3Collectors[Collection or Transportation Service Provider Name],TR_3Collectors[[#This Row],[Collection or Transportation Service Provider Name]])&gt;1,1,0)</f>
        <v>0</v>
      </c>
      <c r="J52"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52" s="85">
        <f>IF(TR_3Collectors[[#This Row],[Collection or Transportation Service Provider Name]]&lt;&gt;"",0,IF(COUNTA(TR_3Collectors[[#This Row],[Collector or Transporter Type]],TR_3Collectors[[#This Row],[Collection or Transportation Provider Website]:[Collection or Transportation Contact Email]])&gt;0,1,0))</f>
        <v>0</v>
      </c>
      <c r="L52" s="63" t="str">
        <f t="shared" si="1"/>
        <v/>
      </c>
      <c r="M52" s="64"/>
    </row>
    <row r="53" spans="1:13" ht="15" x14ac:dyDescent="0.2">
      <c r="A53" s="82" t="s">
        <v>337</v>
      </c>
      <c r="B53" s="49"/>
      <c r="C53" s="103"/>
      <c r="D53" s="104" t="str">
        <f>IF(TR_3Collectors[[#This Row],[Collector or Transporter Type]]=A_OTR_Service_Provider,"Note: this collector is eligible only if material is not collected under OTR service.","")</f>
        <v/>
      </c>
      <c r="E53" s="103"/>
      <c r="F53" s="103"/>
      <c r="G53" s="105"/>
      <c r="H53" s="103"/>
      <c r="I53" s="102">
        <f>IF(COUNTIFS(TR_3Collectors[Collection or Transportation Service Provider Name],TR_3Collectors[[#This Row],[Collection or Transportation Service Provider Name]])&gt;1,1,0)</f>
        <v>0</v>
      </c>
      <c r="J53"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53" s="85">
        <f>IF(TR_3Collectors[[#This Row],[Collection or Transportation Service Provider Name]]&lt;&gt;"",0,IF(COUNTA(TR_3Collectors[[#This Row],[Collector or Transporter Type]],TR_3Collectors[[#This Row],[Collection or Transportation Provider Website]:[Collection or Transportation Contact Email]])&gt;0,1,0))</f>
        <v>0</v>
      </c>
      <c r="L53" s="63" t="str">
        <f t="shared" si="1"/>
        <v/>
      </c>
      <c r="M53" s="64"/>
    </row>
    <row r="54" spans="1:13" ht="15" x14ac:dyDescent="0.2">
      <c r="A54" s="82" t="s">
        <v>338</v>
      </c>
      <c r="B54" s="49"/>
      <c r="C54" s="103"/>
      <c r="D54" s="104" t="str">
        <f>IF(TR_3Collectors[[#This Row],[Collector or Transporter Type]]=A_OTR_Service_Provider,"Note: this collector is eligible only if material is not collected under OTR service.","")</f>
        <v/>
      </c>
      <c r="E54" s="103"/>
      <c r="F54" s="103"/>
      <c r="G54" s="105"/>
      <c r="H54" s="103"/>
      <c r="I54" s="102">
        <f>IF(COUNTIFS(TR_3Collectors[Collection or Transportation Service Provider Name],TR_3Collectors[[#This Row],[Collection or Transportation Service Provider Name]])&gt;1,1,0)</f>
        <v>0</v>
      </c>
      <c r="J54"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54" s="85">
        <f>IF(TR_3Collectors[[#This Row],[Collection or Transportation Service Provider Name]]&lt;&gt;"",0,IF(COUNTA(TR_3Collectors[[#This Row],[Collector or Transporter Type]],TR_3Collectors[[#This Row],[Collection or Transportation Provider Website]:[Collection or Transportation Contact Email]])&gt;0,1,0))</f>
        <v>0</v>
      </c>
      <c r="L54" s="63" t="str">
        <f t="shared" si="1"/>
        <v/>
      </c>
      <c r="M54" s="64"/>
    </row>
    <row r="55" spans="1:13" ht="15" x14ac:dyDescent="0.2">
      <c r="A55" s="82" t="s">
        <v>339</v>
      </c>
      <c r="B55" s="49"/>
      <c r="C55" s="103"/>
      <c r="D55" s="104" t="str">
        <f>IF(TR_3Collectors[[#This Row],[Collector or Transporter Type]]=A_OTR_Service_Provider,"Note: this collector is eligible only if material is not collected under OTR service.","")</f>
        <v/>
      </c>
      <c r="E55" s="103"/>
      <c r="F55" s="103"/>
      <c r="G55" s="105"/>
      <c r="H55" s="103"/>
      <c r="I55" s="102">
        <f>IF(COUNTIFS(TR_3Collectors[Collection or Transportation Service Provider Name],TR_3Collectors[[#This Row],[Collection or Transportation Service Provider Name]])&gt;1,1,0)</f>
        <v>0</v>
      </c>
      <c r="J55" s="85">
        <f>IF(TR_3Collectors[[#This Row],[Collection or Transportation Service Provider Name]]=0,0,IF(AND(TR_3Collectors[[#This Row],[Collection or Transportation Service Provider Name]]=0,TR_3Collectors[[#This Row],[Collector or Transporter Type]]=0),0,IF(COUNTA(TR_3Collectors[[#This Row],[Collection or Transportation Service Provider Name]:[Collector or Transporter Type]])=1,1,IF(TR_3Collectors[[#This Row],[Collector or Transporter Type]]=Lookups!$K$12,0,IF(COUNTA(TR_3Collectors[[#This Row],[Collection or Transportation Provider Website]:[Collection or Transportation Contact Email]])=4,0,1)))))</f>
        <v>0</v>
      </c>
      <c r="K55" s="85">
        <f>IF(TR_3Collectors[[#This Row],[Collection or Transportation Service Provider Name]]&lt;&gt;"",0,IF(COUNTA(TR_3Collectors[[#This Row],[Collector or Transporter Type]],TR_3Collectors[[#This Row],[Collection or Transportation Provider Website]:[Collection or Transportation Contact Email]])&gt;0,1,0))</f>
        <v>0</v>
      </c>
      <c r="L55" s="63" t="str">
        <f t="shared" si="1"/>
        <v/>
      </c>
      <c r="M55" s="64"/>
    </row>
    <row r="56" spans="1:13" x14ac:dyDescent="0.2"/>
  </sheetData>
  <sheetProtection algorithmName="SHA-512" hashValue="0cbmwH4h7oH9NWvwU6ufpLpt9P9piLCqP0+wN0y5X+xpOW9UjULHR7KI2gZHsIPC76KW7VbwPg6i7cVWsRCTow==" saltValue="og23DdSAwIFRkCR2WCO4tA==" spinCount="100000" sheet="1" objects="1" scenarios="1" autoFilter="0"/>
  <conditionalFormatting sqref="A6:A55">
    <cfRule type="expression" dxfId="41" priority="1">
      <formula>$I6=1</formula>
    </cfRule>
  </conditionalFormatting>
  <conditionalFormatting sqref="B6:B55">
    <cfRule type="expression" dxfId="40" priority="3">
      <formula>$I6=1</formula>
    </cfRule>
  </conditionalFormatting>
  <conditionalFormatting sqref="C6:C55">
    <cfRule type="expression" dxfId="39" priority="5">
      <formula>AND(C6&lt;&gt;"",$B6="")</formula>
    </cfRule>
    <cfRule type="expression" dxfId="38" priority="11">
      <formula>B6&lt;&gt;""</formula>
    </cfRule>
  </conditionalFormatting>
  <conditionalFormatting sqref="D6:D55">
    <cfRule type="expression" dxfId="37" priority="6">
      <formula>D6&lt;&gt;""</formula>
    </cfRule>
  </conditionalFormatting>
  <conditionalFormatting sqref="E6:H55">
    <cfRule type="expression" dxfId="36" priority="4">
      <formula>AND(E6&lt;&gt;"",$B6="")</formula>
    </cfRule>
    <cfRule type="expression" dxfId="35" priority="20">
      <formula>OR($C6=A_Non_OTR_Service_Provider,$C6=A_OTR_Service_Provider)</formula>
    </cfRule>
  </conditionalFormatting>
  <dataValidations count="1">
    <dataValidation type="list" allowBlank="1" showInputMessage="1" showErrorMessage="1" sqref="C6:C55" xr:uid="{089C434A-24DB-4DF0-B821-5534DF7B24A0}">
      <formula1>DL_CollectorType</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EDAA8-DB5E-491F-8560-084E42F5B11F}">
  <sheetPr>
    <tabColor theme="4" tint="0.39997558519241921"/>
  </sheetPr>
  <dimension ref="A1:D34"/>
  <sheetViews>
    <sheetView showGridLines="0" workbookViewId="0"/>
  </sheetViews>
  <sheetFormatPr defaultColWidth="0" defaultRowHeight="14.25" zeroHeight="1" x14ac:dyDescent="0.2"/>
  <cols>
    <col min="1" max="1" width="33.375" style="17" customWidth="1"/>
    <col min="2" max="2" width="9" style="87" customWidth="1"/>
    <col min="3" max="3" width="152.375" customWidth="1"/>
    <col min="4" max="4" width="9" customWidth="1"/>
    <col min="5" max="16384" width="9" hidden="1"/>
  </cols>
  <sheetData>
    <row r="1" spans="1:4" ht="24" thickBot="1" x14ac:dyDescent="0.25">
      <c r="A1" s="44" t="s">
        <v>1206</v>
      </c>
      <c r="B1" s="86"/>
      <c r="C1" s="43"/>
      <c r="D1" s="42"/>
    </row>
    <row r="2" spans="1:4" ht="15" thickTop="1" x14ac:dyDescent="0.2">
      <c r="C2" s="4"/>
    </row>
    <row r="3" spans="1:4" ht="20.25" thickBot="1" x14ac:dyDescent="0.25">
      <c r="A3" s="18" t="s">
        <v>166</v>
      </c>
      <c r="B3" s="88"/>
      <c r="C3" s="14"/>
      <c r="D3" s="13"/>
    </row>
    <row r="4" spans="1:4" ht="15" thickTop="1" x14ac:dyDescent="0.2">
      <c r="A4" s="17" t="s">
        <v>1232</v>
      </c>
      <c r="C4" s="4"/>
    </row>
    <row r="5" spans="1:4" x14ac:dyDescent="0.2">
      <c r="A5" s="17" t="s">
        <v>1233</v>
      </c>
      <c r="C5" s="4"/>
    </row>
    <row r="6" spans="1:4" x14ac:dyDescent="0.2">
      <c r="C6" s="4"/>
    </row>
    <row r="7" spans="1:4" ht="17.25" thickBot="1" x14ac:dyDescent="0.25">
      <c r="A7" s="25" t="s">
        <v>254</v>
      </c>
      <c r="B7" s="89" t="s">
        <v>255</v>
      </c>
      <c r="C7" s="21" t="s">
        <v>4</v>
      </c>
      <c r="D7" s="20"/>
    </row>
    <row r="8" spans="1:4" ht="15.75" thickTop="1" x14ac:dyDescent="0.2">
      <c r="A8" s="123" t="str">
        <f>TR_4EndMarkets[[#Headers],[ID_EM]]</f>
        <v>ID_EM</v>
      </c>
      <c r="B8" s="124" t="s">
        <v>77</v>
      </c>
      <c r="C8" s="131" t="s">
        <v>100</v>
      </c>
    </row>
    <row r="9" spans="1:4" ht="30" x14ac:dyDescent="0.2">
      <c r="A9" s="119" t="str">
        <f>TR_4EndMarkets[[#Headers],[Material Reporting Category (End Market)]]</f>
        <v>Material Reporting Category (End Market)</v>
      </c>
      <c r="B9" s="126" t="s">
        <v>80</v>
      </c>
      <c r="C9" s="136" t="s">
        <v>1082</v>
      </c>
    </row>
    <row r="10" spans="1:4" ht="15" x14ac:dyDescent="0.2">
      <c r="A10" s="140" t="str">
        <f>TR_4EndMarkets[[#Headers],[End Market Name]]</f>
        <v>End Market Name</v>
      </c>
      <c r="B10" s="141" t="s">
        <v>78</v>
      </c>
      <c r="C10" s="142" t="s">
        <v>1083</v>
      </c>
    </row>
    <row r="11" spans="1:4" ht="28.5" x14ac:dyDescent="0.2">
      <c r="A11" s="143" t="str">
        <f>TR_4EndMarkets[[#Headers],[End Market Name]]</f>
        <v>End Market Name</v>
      </c>
      <c r="B11" s="144" t="s">
        <v>78</v>
      </c>
      <c r="C11" s="4" t="s">
        <v>1084</v>
      </c>
    </row>
    <row r="12" spans="1:4" ht="42.75" x14ac:dyDescent="0.2">
      <c r="A12" s="143" t="str">
        <f>TR_4EndMarkets[[#Headers],[End Market Name]]</f>
        <v>End Market Name</v>
      </c>
      <c r="B12" s="144" t="s">
        <v>78</v>
      </c>
      <c r="C12" s="4" t="s">
        <v>1234</v>
      </c>
    </row>
    <row r="13" spans="1:4" ht="15" x14ac:dyDescent="0.2">
      <c r="A13" s="145" t="str">
        <f>TR_4EndMarkets[[#Headers],[End Market Name]]</f>
        <v>End Market Name</v>
      </c>
      <c r="B13" s="146" t="s">
        <v>78</v>
      </c>
      <c r="C13" s="147" t="s">
        <v>224</v>
      </c>
    </row>
    <row r="14" spans="1:4" ht="15" x14ac:dyDescent="0.2">
      <c r="A14" s="119" t="str">
        <f>TR_4EndMarkets[[#Headers],[Other End Market Name]]</f>
        <v>Other End Market Name</v>
      </c>
      <c r="B14" s="126" t="s">
        <v>81</v>
      </c>
      <c r="C14" s="132" t="s">
        <v>230</v>
      </c>
    </row>
    <row r="15" spans="1:4" ht="15" x14ac:dyDescent="0.2">
      <c r="A15" s="119" t="str">
        <f>TR_4EndMarkets[[#Headers],[End Market Website]]</f>
        <v>End Market Website</v>
      </c>
      <c r="B15" s="126" t="s">
        <v>82</v>
      </c>
      <c r="C15" s="132" t="s">
        <v>229</v>
      </c>
    </row>
    <row r="16" spans="1:4" ht="15" x14ac:dyDescent="0.2">
      <c r="A16" s="119" t="str">
        <f>TR_4EndMarkets[[#Headers],[End Market Contact Name]]</f>
        <v>End Market Contact Name</v>
      </c>
      <c r="B16" s="126" t="s">
        <v>83</v>
      </c>
      <c r="C16" s="132" t="s">
        <v>874</v>
      </c>
    </row>
    <row r="17" spans="1:4" ht="15" x14ac:dyDescent="0.2">
      <c r="A17" s="119" t="str">
        <f>TR_4EndMarkets[[#Headers],[End Market Contact Phone]]</f>
        <v>End Market Contact Phone</v>
      </c>
      <c r="B17" s="126" t="s">
        <v>84</v>
      </c>
      <c r="C17" s="132" t="s">
        <v>231</v>
      </c>
    </row>
    <row r="18" spans="1:4" ht="15" x14ac:dyDescent="0.2">
      <c r="A18" s="119" t="str">
        <f>TR_4EndMarkets[[#Headers],[End Market Contact Email]]</f>
        <v>End Market Contact Email</v>
      </c>
      <c r="B18" s="126" t="s">
        <v>85</v>
      </c>
      <c r="C18" s="132" t="s">
        <v>232</v>
      </c>
    </row>
    <row r="19" spans="1:4" ht="30" x14ac:dyDescent="0.2">
      <c r="A19" s="140" t="str">
        <f>TR_4EndMarkets[[#Headers],[End Market Documentation (Attestation Form)]]</f>
        <v>End Market Documentation (Attestation Form)</v>
      </c>
      <c r="B19" s="141" t="s">
        <v>86</v>
      </c>
      <c r="C19" s="148" t="s">
        <v>233</v>
      </c>
    </row>
    <row r="20" spans="1:4" ht="28.5" x14ac:dyDescent="0.2">
      <c r="A20" s="143" t="str">
        <f>TR_4EndMarkets[[#Headers],[End Market Documentation (Attestation Form)]]</f>
        <v>End Market Documentation (Attestation Form)</v>
      </c>
      <c r="B20" s="144" t="s">
        <v>86</v>
      </c>
      <c r="C20" s="15" t="s">
        <v>1153</v>
      </c>
    </row>
    <row r="21" spans="1:4" ht="15" x14ac:dyDescent="0.2">
      <c r="A21" s="145" t="str">
        <f>TR_4EndMarkets[[#Headers],[End Market Documentation (Attestation Form)]]</f>
        <v>End Market Documentation (Attestation Form)</v>
      </c>
      <c r="B21" s="146" t="s">
        <v>86</v>
      </c>
      <c r="C21" s="149" t="s">
        <v>1121</v>
      </c>
    </row>
    <row r="22" spans="1:4" ht="30" x14ac:dyDescent="0.2">
      <c r="A22" s="119" t="s">
        <v>887</v>
      </c>
      <c r="B22" s="126" t="s">
        <v>1112</v>
      </c>
      <c r="C22" s="132" t="s">
        <v>886</v>
      </c>
    </row>
    <row r="23" spans="1:4" ht="15" x14ac:dyDescent="0.2">
      <c r="A23" s="24"/>
      <c r="B23" s="90"/>
      <c r="C23" s="4"/>
    </row>
    <row r="24" spans="1:4" ht="20.25" thickBot="1" x14ac:dyDescent="0.25">
      <c r="A24" s="18" t="s">
        <v>1274</v>
      </c>
      <c r="B24" s="88"/>
      <c r="C24" s="14"/>
      <c r="D24" s="13"/>
    </row>
    <row r="25" spans="1:4" ht="15.75" thickTop="1" x14ac:dyDescent="0.2">
      <c r="A25" s="66" t="s">
        <v>1163</v>
      </c>
      <c r="B25" s="129" t="s">
        <v>782</v>
      </c>
      <c r="C25" s="130" t="s">
        <v>234</v>
      </c>
    </row>
    <row r="26" spans="1:4" ht="15" x14ac:dyDescent="0.2">
      <c r="A26" s="66" t="s">
        <v>1167</v>
      </c>
      <c r="B26" s="137" t="s">
        <v>1166</v>
      </c>
      <c r="C26" s="128" t="s">
        <v>181</v>
      </c>
    </row>
    <row r="27" spans="1:4" x14ac:dyDescent="0.2">
      <c r="C27" s="4"/>
    </row>
    <row r="28" spans="1:4" ht="20.25" thickBot="1" x14ac:dyDescent="0.25">
      <c r="A28" s="18" t="s">
        <v>1216</v>
      </c>
      <c r="B28" s="88"/>
      <c r="C28" s="14"/>
      <c r="D28" s="13"/>
    </row>
    <row r="29" spans="1:4" ht="29.25" thickTop="1" x14ac:dyDescent="0.2">
      <c r="A29" s="160" t="s">
        <v>784</v>
      </c>
      <c r="B29" s="161">
        <f>SUM(TR_4EndMarkets[Check: duplicate markets])</f>
        <v>0</v>
      </c>
      <c r="C29" s="162" t="s">
        <v>881</v>
      </c>
    </row>
    <row r="30" spans="1:4" x14ac:dyDescent="0.2">
      <c r="A30" s="134" t="s">
        <v>1110</v>
      </c>
      <c r="B30" s="163">
        <f>SUM(TR_4EndMarkets[Check: material not supplied])</f>
        <v>0</v>
      </c>
      <c r="C30" s="128" t="s">
        <v>1111</v>
      </c>
    </row>
    <row r="31" spans="1:4" ht="28.5" x14ac:dyDescent="0.2">
      <c r="A31" s="134" t="s">
        <v>789</v>
      </c>
      <c r="B31" s="135">
        <f>SUM(TR_4EndMarkets[Check: material+market mismatch])</f>
        <v>0</v>
      </c>
      <c r="C31" s="128" t="s">
        <v>883</v>
      </c>
    </row>
    <row r="32" spans="1:4" x14ac:dyDescent="0.2">
      <c r="A32" s="134" t="s">
        <v>785</v>
      </c>
      <c r="B32" s="135">
        <f>SUM(TR_4EndMarkets[Check: missing info])</f>
        <v>0</v>
      </c>
      <c r="C32" s="128" t="s">
        <v>912</v>
      </c>
    </row>
    <row r="33" spans="1:3" ht="28.5" x14ac:dyDescent="0.2">
      <c r="A33" s="134" t="s">
        <v>786</v>
      </c>
      <c r="B33" s="135">
        <f>SUM(TR_4EndMarkets[Check: extra info])</f>
        <v>0</v>
      </c>
      <c r="C33" s="128" t="s">
        <v>882</v>
      </c>
    </row>
    <row r="34" spans="1:3" x14ac:dyDescent="0.2">
      <c r="C34" s="4"/>
    </row>
  </sheetData>
  <sheetProtection algorithmName="SHA-512" hashValue="vBFvbWP6TjrKrdM/8qkxHU4yff2Z9ntwvRND9EFjxQs3HYIbCweHTARtG8jWamvKFcQAaNSRj9c+h28isDdwdg==" saltValue="p+SOLT3rg2Rq3gvZiVheiQ==" spinCount="100000" sheet="1" objects="1" scenarios="1"/>
  <conditionalFormatting sqref="B29:B33">
    <cfRule type="expression" dxfId="34" priority="1">
      <formula>B29&lt;&gt;0</formula>
    </cfRule>
  </conditionalFormatting>
  <hyperlinks>
    <hyperlink ref="C21" r:id="rId1" xr:uid="{72BC7BD0-4A5D-4BA9-A44B-129A23532CF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B33FB-8B77-414A-AC86-0214DDBD4B7A}">
  <sheetPr>
    <tabColor theme="4" tint="-0.249977111117893"/>
  </sheetPr>
  <dimension ref="A1:R56"/>
  <sheetViews>
    <sheetView showGridLines="0" zoomScaleNormal="100" workbookViewId="0"/>
  </sheetViews>
  <sheetFormatPr defaultColWidth="0" defaultRowHeight="14.25" zeroHeight="1" outlineLevelCol="1" x14ac:dyDescent="0.2"/>
  <cols>
    <col min="1" max="1" width="11.5" style="17" customWidth="1"/>
    <col min="2" max="2" width="57" customWidth="1"/>
    <col min="3" max="3" width="44.625" customWidth="1"/>
    <col min="4" max="4" width="36.625" customWidth="1"/>
    <col min="5" max="5" width="37.75" customWidth="1"/>
    <col min="6" max="6" width="33.625" customWidth="1"/>
    <col min="7" max="7" width="27.5" customWidth="1"/>
    <col min="8" max="8" width="34.5" customWidth="1"/>
    <col min="9" max="9" width="23.75" customWidth="1"/>
    <col min="10" max="14" width="13.25" hidden="1" customWidth="1" outlineLevel="1"/>
    <col min="15" max="15" width="30" hidden="1" customWidth="1" outlineLevel="1"/>
    <col min="16" max="16" width="30.5" hidden="1" customWidth="1" outlineLevel="1"/>
    <col min="17" max="17" width="27.5" hidden="1" customWidth="1" outlineLevel="1"/>
    <col min="18" max="18" width="9" customWidth="1" collapsed="1"/>
    <col min="19" max="16384" width="8" hidden="1"/>
  </cols>
  <sheetData>
    <row r="1" spans="1:18" ht="24" thickBot="1" x14ac:dyDescent="0.25">
      <c r="A1" s="44" t="s">
        <v>1207</v>
      </c>
      <c r="B1" s="42"/>
      <c r="C1" s="42"/>
      <c r="D1" s="42"/>
      <c r="E1" s="42"/>
      <c r="F1" s="42"/>
      <c r="G1" s="42"/>
      <c r="H1" s="42"/>
      <c r="I1" s="42"/>
      <c r="J1" s="42"/>
      <c r="K1" s="42"/>
      <c r="L1" s="42"/>
      <c r="M1" s="42"/>
      <c r="N1" s="42"/>
      <c r="O1" s="42"/>
      <c r="P1" s="42"/>
      <c r="Q1" s="42"/>
      <c r="R1" s="42"/>
    </row>
    <row r="2" spans="1:18" ht="15" thickTop="1" x14ac:dyDescent="0.2"/>
    <row r="3" spans="1:18" ht="28.5" x14ac:dyDescent="0.2">
      <c r="A3" s="60" t="s">
        <v>124</v>
      </c>
      <c r="B3" s="59" t="s">
        <v>1079</v>
      </c>
      <c r="C3" s="59" t="s">
        <v>1085</v>
      </c>
      <c r="D3" s="59" t="s">
        <v>247</v>
      </c>
      <c r="E3" s="59" t="s">
        <v>177</v>
      </c>
      <c r="F3" s="59" t="s">
        <v>179</v>
      </c>
      <c r="G3" s="59" t="s">
        <v>178</v>
      </c>
      <c r="H3" s="59" t="s">
        <v>180</v>
      </c>
      <c r="I3" s="72" t="s">
        <v>236</v>
      </c>
      <c r="J3" s="59" t="s">
        <v>248</v>
      </c>
      <c r="K3" s="59" t="s">
        <v>248</v>
      </c>
      <c r="L3" s="59" t="s">
        <v>248</v>
      </c>
      <c r="M3" s="59" t="s">
        <v>248</v>
      </c>
      <c r="N3" s="59" t="s">
        <v>248</v>
      </c>
      <c r="O3" s="59" t="s">
        <v>248</v>
      </c>
      <c r="P3" s="59" t="s">
        <v>917</v>
      </c>
      <c r="Q3" s="59" t="s">
        <v>904</v>
      </c>
    </row>
    <row r="4" spans="1:18" ht="15" x14ac:dyDescent="0.2">
      <c r="A4" s="16" t="s">
        <v>77</v>
      </c>
      <c r="B4" s="16" t="s">
        <v>80</v>
      </c>
      <c r="C4" s="16" t="s">
        <v>78</v>
      </c>
      <c r="D4" s="16" t="s">
        <v>81</v>
      </c>
      <c r="E4" s="16" t="s">
        <v>82</v>
      </c>
      <c r="F4" s="16" t="s">
        <v>83</v>
      </c>
      <c r="G4" s="16" t="s">
        <v>84</v>
      </c>
      <c r="H4" s="16" t="s">
        <v>85</v>
      </c>
      <c r="I4" s="16" t="s">
        <v>86</v>
      </c>
      <c r="J4" s="16" t="s">
        <v>87</v>
      </c>
      <c r="K4" s="16" t="s">
        <v>88</v>
      </c>
      <c r="L4" s="16" t="s">
        <v>89</v>
      </c>
      <c r="M4" s="16" t="s">
        <v>90</v>
      </c>
      <c r="N4" s="16" t="s">
        <v>91</v>
      </c>
      <c r="O4" s="16" t="s">
        <v>99</v>
      </c>
      <c r="P4" s="16" t="s">
        <v>185</v>
      </c>
      <c r="Q4" s="16" t="s">
        <v>186</v>
      </c>
    </row>
    <row r="5" spans="1:18" ht="45" x14ac:dyDescent="0.2">
      <c r="A5" s="27" t="s">
        <v>755</v>
      </c>
      <c r="B5" s="4" t="s">
        <v>760</v>
      </c>
      <c r="C5" s="4" t="s">
        <v>200</v>
      </c>
      <c r="D5" s="4" t="s">
        <v>227</v>
      </c>
      <c r="E5" s="4" t="s">
        <v>95</v>
      </c>
      <c r="F5" s="4" t="s">
        <v>96</v>
      </c>
      <c r="G5" s="4" t="s">
        <v>97</v>
      </c>
      <c r="H5" s="4" t="s">
        <v>98</v>
      </c>
      <c r="I5" s="4" t="s">
        <v>228</v>
      </c>
      <c r="J5" s="8" t="s">
        <v>761</v>
      </c>
      <c r="K5" s="8" t="s">
        <v>763</v>
      </c>
      <c r="L5" s="8" t="s">
        <v>1116</v>
      </c>
      <c r="M5" s="8" t="s">
        <v>758</v>
      </c>
      <c r="N5" s="8" t="s">
        <v>759</v>
      </c>
      <c r="O5" s="8" t="s">
        <v>762</v>
      </c>
      <c r="P5" s="4" t="s">
        <v>262</v>
      </c>
      <c r="Q5" s="4" t="s">
        <v>1049</v>
      </c>
    </row>
    <row r="6" spans="1:18" ht="15" x14ac:dyDescent="0.2">
      <c r="A6" s="82" t="s">
        <v>340</v>
      </c>
      <c r="B6" s="49"/>
      <c r="C6" s="47"/>
      <c r="D6" s="47"/>
      <c r="E6" s="47"/>
      <c r="F6" s="47"/>
      <c r="G6" s="47"/>
      <c r="H6" s="47"/>
      <c r="I6" s="47"/>
      <c r="J6" s="79">
        <f>IF(TR_4EndMarkets[[#This Row],[Lookup: material+market]]="",0,IF(COUNTIFS(TR_4EndMarkets[Lookup: material+market],TR_4EndMarkets[[#This Row],[Lookup: material+market]])&gt;1,1,0))</f>
        <v>0</v>
      </c>
      <c r="K6"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6" s="79" t="str">
        <f>IF(TR_4EndMarkets[[#This Row],[Material Reporting Category (End Market)]]="","",(IFERROR(0*INDEX(TR_2SuppliedPounds[Supply Pounds To Use],MATCH(TR_4EndMarkets[[#This Row],[Material Reporting Category (End Market)]],TR_2SuppliedPounds[Material Reporting Category],0)),1)))</f>
        <v/>
      </c>
      <c r="M6"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6" s="79">
        <f>IF(TR_4EndMarkets[[#This Row],[Material Reporting Category (End Market)]]&lt;&gt;"",0,IF(COUNTA(TR_4EndMarkets[[#This Row],[End Market Name]:[End Market Documentation (Attestation Form)]])&gt;0,1,0))</f>
        <v>0</v>
      </c>
      <c r="O6"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6" s="80" t="str">
        <f t="shared" ref="P6:P37" si="0">IF(DR_ProducerID=0,"",DR_ProducerID)</f>
        <v/>
      </c>
      <c r="Q6" s="40"/>
    </row>
    <row r="7" spans="1:18" ht="15" x14ac:dyDescent="0.2">
      <c r="A7" s="82" t="s">
        <v>341</v>
      </c>
      <c r="B7" s="49"/>
      <c r="C7" s="47"/>
      <c r="D7" s="47"/>
      <c r="E7" s="47"/>
      <c r="F7" s="47"/>
      <c r="G7" s="48"/>
      <c r="H7" s="50"/>
      <c r="I7" s="47"/>
      <c r="J7" s="79">
        <f>IF(TR_4EndMarkets[[#This Row],[Lookup: material+market]]="",0,IF(COUNTIFS(TR_4EndMarkets[Lookup: material+market],TR_4EndMarkets[[#This Row],[Lookup: material+market]])&gt;1,1,0))</f>
        <v>0</v>
      </c>
      <c r="K7"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7" s="79" t="str">
        <f>IF(TR_4EndMarkets[[#This Row],[Material Reporting Category (End Market)]]="","",(IFERROR(0*INDEX(TR_2SuppliedPounds[Supply Pounds To Use],MATCH(TR_4EndMarkets[[#This Row],[Material Reporting Category (End Market)]],TR_2SuppliedPounds[Material Reporting Category],0)),1)))</f>
        <v/>
      </c>
      <c r="M7"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7" s="79">
        <f>IF(TR_4EndMarkets[[#This Row],[Material Reporting Category (End Market)]]&lt;&gt;"",0,IF(COUNTA(TR_4EndMarkets[[#This Row],[End Market Name]:[End Market Documentation (Attestation Form)]])&gt;0,1,0))</f>
        <v>0</v>
      </c>
      <c r="O7"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7" s="80" t="str">
        <f t="shared" si="0"/>
        <v/>
      </c>
      <c r="Q7" s="40"/>
    </row>
    <row r="8" spans="1:18" ht="15" x14ac:dyDescent="0.2">
      <c r="A8" s="82" t="s">
        <v>342</v>
      </c>
      <c r="B8" s="49"/>
      <c r="C8" s="47"/>
      <c r="D8" s="47"/>
      <c r="E8" s="47"/>
      <c r="F8" s="47"/>
      <c r="G8" s="48"/>
      <c r="H8" s="50"/>
      <c r="I8" s="47"/>
      <c r="J8" s="79">
        <f>IF(TR_4EndMarkets[[#This Row],[Lookup: material+market]]="",0,IF(COUNTIFS(TR_4EndMarkets[Lookup: material+market],TR_4EndMarkets[[#This Row],[Lookup: material+market]])&gt;1,1,0))</f>
        <v>0</v>
      </c>
      <c r="K8"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8" s="79" t="str">
        <f>IF(TR_4EndMarkets[[#This Row],[Material Reporting Category (End Market)]]="","",(IFERROR(0*INDEX(TR_2SuppliedPounds[Supply Pounds To Use],MATCH(TR_4EndMarkets[[#This Row],[Material Reporting Category (End Market)]],TR_2SuppliedPounds[Material Reporting Category],0)),1)))</f>
        <v/>
      </c>
      <c r="M8"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8" s="79">
        <f>IF(TR_4EndMarkets[[#This Row],[Material Reporting Category (End Market)]]&lt;&gt;"",0,IF(COUNTA(TR_4EndMarkets[[#This Row],[End Market Name]:[End Market Documentation (Attestation Form)]])&gt;0,1,0))</f>
        <v>0</v>
      </c>
      <c r="O8"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8" s="80" t="str">
        <f t="shared" si="0"/>
        <v/>
      </c>
      <c r="Q8" s="40"/>
    </row>
    <row r="9" spans="1:18" ht="15" x14ac:dyDescent="0.2">
      <c r="A9" s="82" t="s">
        <v>343</v>
      </c>
      <c r="B9" s="49"/>
      <c r="C9" s="47"/>
      <c r="D9" s="47"/>
      <c r="E9" s="47"/>
      <c r="F9" s="47"/>
      <c r="G9" s="48"/>
      <c r="H9" s="50"/>
      <c r="I9" s="47"/>
      <c r="J9" s="79">
        <f>IF(TR_4EndMarkets[[#This Row],[Lookup: material+market]]="",0,IF(COUNTIFS(TR_4EndMarkets[Lookup: material+market],TR_4EndMarkets[[#This Row],[Lookup: material+market]])&gt;1,1,0))</f>
        <v>0</v>
      </c>
      <c r="K9"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9" s="79" t="str">
        <f>IF(TR_4EndMarkets[[#This Row],[Material Reporting Category (End Market)]]="","",(IFERROR(0*INDEX(TR_2SuppliedPounds[Supply Pounds To Use],MATCH(TR_4EndMarkets[[#This Row],[Material Reporting Category (End Market)]],TR_2SuppliedPounds[Material Reporting Category],0)),1)))</f>
        <v/>
      </c>
      <c r="M9"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9" s="79">
        <f>IF(TR_4EndMarkets[[#This Row],[Material Reporting Category (End Market)]]&lt;&gt;"",0,IF(COUNTA(TR_4EndMarkets[[#This Row],[End Market Name]:[End Market Documentation (Attestation Form)]])&gt;0,1,0))</f>
        <v>0</v>
      </c>
      <c r="O9"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9" s="80" t="str">
        <f t="shared" si="0"/>
        <v/>
      </c>
      <c r="Q9" s="40"/>
    </row>
    <row r="10" spans="1:18" ht="15" x14ac:dyDescent="0.2">
      <c r="A10" s="82" t="s">
        <v>344</v>
      </c>
      <c r="B10" s="49"/>
      <c r="C10" s="47"/>
      <c r="D10" s="47"/>
      <c r="E10" s="47"/>
      <c r="F10" s="47"/>
      <c r="G10" s="47"/>
      <c r="H10" s="47"/>
      <c r="I10" s="47"/>
      <c r="J10" s="79">
        <f>IF(TR_4EndMarkets[[#This Row],[Lookup: material+market]]="",0,IF(COUNTIFS(TR_4EndMarkets[Lookup: material+market],TR_4EndMarkets[[#This Row],[Lookup: material+market]])&gt;1,1,0))</f>
        <v>0</v>
      </c>
      <c r="K10"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0" s="79" t="str">
        <f>IF(TR_4EndMarkets[[#This Row],[Material Reporting Category (End Market)]]="","",(IFERROR(0*INDEX(TR_2SuppliedPounds[Supply Pounds To Use],MATCH(TR_4EndMarkets[[#This Row],[Material Reporting Category (End Market)]],TR_2SuppliedPounds[Material Reporting Category],0)),1)))</f>
        <v/>
      </c>
      <c r="M10"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0" s="79">
        <f>IF(TR_4EndMarkets[[#This Row],[Material Reporting Category (End Market)]]&lt;&gt;"",0,IF(COUNTA(TR_4EndMarkets[[#This Row],[End Market Name]:[End Market Documentation (Attestation Form)]])&gt;0,1,0))</f>
        <v>0</v>
      </c>
      <c r="O10"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0" s="80" t="str">
        <f t="shared" si="0"/>
        <v/>
      </c>
      <c r="Q10" s="40"/>
    </row>
    <row r="11" spans="1:18" ht="15" x14ac:dyDescent="0.2">
      <c r="A11" s="82" t="s">
        <v>345</v>
      </c>
      <c r="B11" s="49"/>
      <c r="C11" s="47"/>
      <c r="D11" s="47"/>
      <c r="E11" s="47"/>
      <c r="F11" s="47"/>
      <c r="G11" s="48"/>
      <c r="H11" s="50"/>
      <c r="I11" s="47"/>
      <c r="J11" s="79">
        <f>IF(TR_4EndMarkets[[#This Row],[Lookup: material+market]]="",0,IF(COUNTIFS(TR_4EndMarkets[Lookup: material+market],TR_4EndMarkets[[#This Row],[Lookup: material+market]])&gt;1,1,0))</f>
        <v>0</v>
      </c>
      <c r="K11"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1" s="79" t="str">
        <f>IF(TR_4EndMarkets[[#This Row],[Material Reporting Category (End Market)]]="","",(IFERROR(0*INDEX(TR_2SuppliedPounds[Supply Pounds To Use],MATCH(TR_4EndMarkets[[#This Row],[Material Reporting Category (End Market)]],TR_2SuppliedPounds[Material Reporting Category],0)),1)))</f>
        <v/>
      </c>
      <c r="M11"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1" s="79">
        <f>IF(TR_4EndMarkets[[#This Row],[Material Reporting Category (End Market)]]&lt;&gt;"",0,IF(COUNTA(TR_4EndMarkets[[#This Row],[End Market Name]:[End Market Documentation (Attestation Form)]])&gt;0,1,0))</f>
        <v>0</v>
      </c>
      <c r="O11"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1" s="80" t="str">
        <f t="shared" si="0"/>
        <v/>
      </c>
      <c r="Q11" s="40"/>
    </row>
    <row r="12" spans="1:18" ht="15" x14ac:dyDescent="0.2">
      <c r="A12" s="82" t="s">
        <v>346</v>
      </c>
      <c r="B12" s="49"/>
      <c r="C12" s="47"/>
      <c r="D12" s="47"/>
      <c r="E12" s="47"/>
      <c r="F12" s="47"/>
      <c r="G12" s="48"/>
      <c r="H12" s="50"/>
      <c r="I12" s="47"/>
      <c r="J12" s="79">
        <f>IF(TR_4EndMarkets[[#This Row],[Lookup: material+market]]="",0,IF(COUNTIFS(TR_4EndMarkets[Lookup: material+market],TR_4EndMarkets[[#This Row],[Lookup: material+market]])&gt;1,1,0))</f>
        <v>0</v>
      </c>
      <c r="K12"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2" s="79" t="str">
        <f>IF(TR_4EndMarkets[[#This Row],[Material Reporting Category (End Market)]]="","",(IFERROR(0*INDEX(TR_2SuppliedPounds[Supply Pounds To Use],MATCH(TR_4EndMarkets[[#This Row],[Material Reporting Category (End Market)]],TR_2SuppliedPounds[Material Reporting Category],0)),1)))</f>
        <v/>
      </c>
      <c r="M12"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2" s="79">
        <f>IF(TR_4EndMarkets[[#This Row],[Material Reporting Category (End Market)]]&lt;&gt;"",0,IF(COUNTA(TR_4EndMarkets[[#This Row],[End Market Name]:[End Market Documentation (Attestation Form)]])&gt;0,1,0))</f>
        <v>0</v>
      </c>
      <c r="O12"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2" s="80" t="str">
        <f t="shared" si="0"/>
        <v/>
      </c>
      <c r="Q12" s="40"/>
    </row>
    <row r="13" spans="1:18" ht="15" x14ac:dyDescent="0.2">
      <c r="A13" s="82" t="s">
        <v>347</v>
      </c>
      <c r="B13" s="49"/>
      <c r="C13" s="47"/>
      <c r="D13" s="47"/>
      <c r="E13" s="47"/>
      <c r="F13" s="47"/>
      <c r="G13" s="48"/>
      <c r="H13" s="50"/>
      <c r="I13" s="47"/>
      <c r="J13" s="79">
        <f>IF(TR_4EndMarkets[[#This Row],[Lookup: material+market]]="",0,IF(COUNTIFS(TR_4EndMarkets[Lookup: material+market],TR_4EndMarkets[[#This Row],[Lookup: material+market]])&gt;1,1,0))</f>
        <v>0</v>
      </c>
      <c r="K13"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3" s="79" t="str">
        <f>IF(TR_4EndMarkets[[#This Row],[Material Reporting Category (End Market)]]="","",(IFERROR(0*INDEX(TR_2SuppliedPounds[Supply Pounds To Use],MATCH(TR_4EndMarkets[[#This Row],[Material Reporting Category (End Market)]],TR_2SuppliedPounds[Material Reporting Category],0)),1)))</f>
        <v/>
      </c>
      <c r="M13"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3" s="79">
        <f>IF(TR_4EndMarkets[[#This Row],[Material Reporting Category (End Market)]]&lt;&gt;"",0,IF(COUNTA(TR_4EndMarkets[[#This Row],[End Market Name]:[End Market Documentation (Attestation Form)]])&gt;0,1,0))</f>
        <v>0</v>
      </c>
      <c r="O13"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3" s="80" t="str">
        <f t="shared" si="0"/>
        <v/>
      </c>
      <c r="Q13" s="40"/>
    </row>
    <row r="14" spans="1:18" ht="15" x14ac:dyDescent="0.2">
      <c r="A14" s="82" t="s">
        <v>348</v>
      </c>
      <c r="B14" s="49"/>
      <c r="C14" s="47"/>
      <c r="D14" s="47"/>
      <c r="E14" s="47"/>
      <c r="F14" s="47"/>
      <c r="G14" s="48"/>
      <c r="H14" s="50"/>
      <c r="I14" s="47"/>
      <c r="J14" s="79">
        <f>IF(TR_4EndMarkets[[#This Row],[Lookup: material+market]]="",0,IF(COUNTIFS(TR_4EndMarkets[Lookup: material+market],TR_4EndMarkets[[#This Row],[Lookup: material+market]])&gt;1,1,0))</f>
        <v>0</v>
      </c>
      <c r="K14"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4" s="79" t="str">
        <f>IF(TR_4EndMarkets[[#This Row],[Material Reporting Category (End Market)]]="","",(IFERROR(0*INDEX(TR_2SuppliedPounds[Supply Pounds To Use],MATCH(TR_4EndMarkets[[#This Row],[Material Reporting Category (End Market)]],TR_2SuppliedPounds[Material Reporting Category],0)),1)))</f>
        <v/>
      </c>
      <c r="M14"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4" s="79">
        <f>IF(TR_4EndMarkets[[#This Row],[Material Reporting Category (End Market)]]&lt;&gt;"",0,IF(COUNTA(TR_4EndMarkets[[#This Row],[End Market Name]:[End Market Documentation (Attestation Form)]])&gt;0,1,0))</f>
        <v>0</v>
      </c>
      <c r="O14"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4" s="80" t="str">
        <f t="shared" si="0"/>
        <v/>
      </c>
      <c r="Q14" s="40"/>
    </row>
    <row r="15" spans="1:18" ht="15" x14ac:dyDescent="0.2">
      <c r="A15" s="82" t="s">
        <v>349</v>
      </c>
      <c r="B15" s="49"/>
      <c r="C15" s="47"/>
      <c r="D15" s="47"/>
      <c r="E15" s="47"/>
      <c r="F15" s="47"/>
      <c r="G15" s="48"/>
      <c r="H15" s="50"/>
      <c r="I15" s="47"/>
      <c r="J15" s="79">
        <f>IF(TR_4EndMarkets[[#This Row],[Lookup: material+market]]="",0,IF(COUNTIFS(TR_4EndMarkets[Lookup: material+market],TR_4EndMarkets[[#This Row],[Lookup: material+market]])&gt;1,1,0))</f>
        <v>0</v>
      </c>
      <c r="K15"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5" s="79" t="str">
        <f>IF(TR_4EndMarkets[[#This Row],[Material Reporting Category (End Market)]]="","",(IFERROR(0*INDEX(TR_2SuppliedPounds[Supply Pounds To Use],MATCH(TR_4EndMarkets[[#This Row],[Material Reporting Category (End Market)]],TR_2SuppliedPounds[Material Reporting Category],0)),1)))</f>
        <v/>
      </c>
      <c r="M15"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5" s="79">
        <f>IF(TR_4EndMarkets[[#This Row],[Material Reporting Category (End Market)]]&lt;&gt;"",0,IF(COUNTA(TR_4EndMarkets[[#This Row],[End Market Name]:[End Market Documentation (Attestation Form)]])&gt;0,1,0))</f>
        <v>0</v>
      </c>
      <c r="O15"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5" s="80" t="str">
        <f t="shared" si="0"/>
        <v/>
      </c>
      <c r="Q15" s="40"/>
    </row>
    <row r="16" spans="1:18" ht="15" x14ac:dyDescent="0.2">
      <c r="A16" s="82" t="s">
        <v>350</v>
      </c>
      <c r="B16" s="49"/>
      <c r="C16" s="47"/>
      <c r="D16" s="47"/>
      <c r="E16" s="47"/>
      <c r="F16" s="47"/>
      <c r="G16" s="48"/>
      <c r="H16" s="50"/>
      <c r="I16" s="47"/>
      <c r="J16" s="79">
        <f>IF(TR_4EndMarkets[[#This Row],[Lookup: material+market]]="",0,IF(COUNTIFS(TR_4EndMarkets[Lookup: material+market],TR_4EndMarkets[[#This Row],[Lookup: material+market]])&gt;1,1,0))</f>
        <v>0</v>
      </c>
      <c r="K16"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6" s="79" t="str">
        <f>IF(TR_4EndMarkets[[#This Row],[Material Reporting Category (End Market)]]="","",(IFERROR(0*INDEX(TR_2SuppliedPounds[Supply Pounds To Use],MATCH(TR_4EndMarkets[[#This Row],[Material Reporting Category (End Market)]],TR_2SuppliedPounds[Material Reporting Category],0)),1)))</f>
        <v/>
      </c>
      <c r="M16"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6" s="79">
        <f>IF(TR_4EndMarkets[[#This Row],[Material Reporting Category (End Market)]]&lt;&gt;"",0,IF(COUNTA(TR_4EndMarkets[[#This Row],[End Market Name]:[End Market Documentation (Attestation Form)]])&gt;0,1,0))</f>
        <v>0</v>
      </c>
      <c r="O16"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6" s="80" t="str">
        <f t="shared" si="0"/>
        <v/>
      </c>
      <c r="Q16" s="40"/>
    </row>
    <row r="17" spans="1:17" ht="15" x14ac:dyDescent="0.2">
      <c r="A17" s="82" t="s">
        <v>351</v>
      </c>
      <c r="B17" s="49"/>
      <c r="C17" s="47"/>
      <c r="D17" s="47"/>
      <c r="E17" s="47"/>
      <c r="F17" s="47"/>
      <c r="G17" s="48"/>
      <c r="H17" s="50"/>
      <c r="I17" s="47"/>
      <c r="J17" s="79">
        <f>IF(TR_4EndMarkets[[#This Row],[Lookup: material+market]]="",0,IF(COUNTIFS(TR_4EndMarkets[Lookup: material+market],TR_4EndMarkets[[#This Row],[Lookup: material+market]])&gt;1,1,0))</f>
        <v>0</v>
      </c>
      <c r="K17"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7" s="79" t="str">
        <f>IF(TR_4EndMarkets[[#This Row],[Material Reporting Category (End Market)]]="","",(IFERROR(0*INDEX(TR_2SuppliedPounds[Supply Pounds To Use],MATCH(TR_4EndMarkets[[#This Row],[Material Reporting Category (End Market)]],TR_2SuppliedPounds[Material Reporting Category],0)),1)))</f>
        <v/>
      </c>
      <c r="M17"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7" s="79">
        <f>IF(TR_4EndMarkets[[#This Row],[Material Reporting Category (End Market)]]&lt;&gt;"",0,IF(COUNTA(TR_4EndMarkets[[#This Row],[End Market Name]:[End Market Documentation (Attestation Form)]])&gt;0,1,0))</f>
        <v>0</v>
      </c>
      <c r="O17"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7" s="80" t="str">
        <f t="shared" si="0"/>
        <v/>
      </c>
      <c r="Q17" s="40"/>
    </row>
    <row r="18" spans="1:17" ht="15" x14ac:dyDescent="0.2">
      <c r="A18" s="82" t="s">
        <v>352</v>
      </c>
      <c r="B18" s="49"/>
      <c r="C18" s="47"/>
      <c r="D18" s="47"/>
      <c r="E18" s="47"/>
      <c r="F18" s="47"/>
      <c r="G18" s="48"/>
      <c r="H18" s="50"/>
      <c r="I18" s="47"/>
      <c r="J18" s="79">
        <f>IF(TR_4EndMarkets[[#This Row],[Lookup: material+market]]="",0,IF(COUNTIFS(TR_4EndMarkets[Lookup: material+market],TR_4EndMarkets[[#This Row],[Lookup: material+market]])&gt;1,1,0))</f>
        <v>0</v>
      </c>
      <c r="K18"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8" s="79" t="str">
        <f>IF(TR_4EndMarkets[[#This Row],[Material Reporting Category (End Market)]]="","",(IFERROR(0*INDEX(TR_2SuppliedPounds[Supply Pounds To Use],MATCH(TR_4EndMarkets[[#This Row],[Material Reporting Category (End Market)]],TR_2SuppliedPounds[Material Reporting Category],0)),1)))</f>
        <v/>
      </c>
      <c r="M18"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8" s="79">
        <f>IF(TR_4EndMarkets[[#This Row],[Material Reporting Category (End Market)]]&lt;&gt;"",0,IF(COUNTA(TR_4EndMarkets[[#This Row],[End Market Name]:[End Market Documentation (Attestation Form)]])&gt;0,1,0))</f>
        <v>0</v>
      </c>
      <c r="O18"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8" s="80" t="str">
        <f t="shared" si="0"/>
        <v/>
      </c>
      <c r="Q18" s="40"/>
    </row>
    <row r="19" spans="1:17" ht="15" x14ac:dyDescent="0.2">
      <c r="A19" s="82" t="s">
        <v>353</v>
      </c>
      <c r="B19" s="49"/>
      <c r="C19" s="47"/>
      <c r="D19" s="47"/>
      <c r="E19" s="47"/>
      <c r="F19" s="47"/>
      <c r="G19" s="48"/>
      <c r="H19" s="50"/>
      <c r="I19" s="47"/>
      <c r="J19" s="79">
        <f>IF(TR_4EndMarkets[[#This Row],[Lookup: material+market]]="",0,IF(COUNTIFS(TR_4EndMarkets[Lookup: material+market],TR_4EndMarkets[[#This Row],[Lookup: material+market]])&gt;1,1,0))</f>
        <v>0</v>
      </c>
      <c r="K19"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19" s="79" t="str">
        <f>IF(TR_4EndMarkets[[#This Row],[Material Reporting Category (End Market)]]="","",(IFERROR(0*INDEX(TR_2SuppliedPounds[Supply Pounds To Use],MATCH(TR_4EndMarkets[[#This Row],[Material Reporting Category (End Market)]],TR_2SuppliedPounds[Material Reporting Category],0)),1)))</f>
        <v/>
      </c>
      <c r="M19"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19" s="79">
        <f>IF(TR_4EndMarkets[[#This Row],[Material Reporting Category (End Market)]]&lt;&gt;"",0,IF(COUNTA(TR_4EndMarkets[[#This Row],[End Market Name]:[End Market Documentation (Attestation Form)]])&gt;0,1,0))</f>
        <v>0</v>
      </c>
      <c r="O19"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19" s="80" t="str">
        <f t="shared" si="0"/>
        <v/>
      </c>
      <c r="Q19" s="40"/>
    </row>
    <row r="20" spans="1:17" ht="15" x14ac:dyDescent="0.2">
      <c r="A20" s="82" t="s">
        <v>354</v>
      </c>
      <c r="B20" s="49"/>
      <c r="C20" s="47"/>
      <c r="D20" s="47"/>
      <c r="E20" s="47"/>
      <c r="F20" s="47"/>
      <c r="G20" s="48"/>
      <c r="H20" s="50"/>
      <c r="I20" s="47"/>
      <c r="J20" s="79">
        <f>IF(TR_4EndMarkets[[#This Row],[Lookup: material+market]]="",0,IF(COUNTIFS(TR_4EndMarkets[Lookup: material+market],TR_4EndMarkets[[#This Row],[Lookup: material+market]])&gt;1,1,0))</f>
        <v>0</v>
      </c>
      <c r="K20"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0" s="79" t="str">
        <f>IF(TR_4EndMarkets[[#This Row],[Material Reporting Category (End Market)]]="","",(IFERROR(0*INDEX(TR_2SuppliedPounds[Supply Pounds To Use],MATCH(TR_4EndMarkets[[#This Row],[Material Reporting Category (End Market)]],TR_2SuppliedPounds[Material Reporting Category],0)),1)))</f>
        <v/>
      </c>
      <c r="M20"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0" s="79">
        <f>IF(TR_4EndMarkets[[#This Row],[Material Reporting Category (End Market)]]&lt;&gt;"",0,IF(COUNTA(TR_4EndMarkets[[#This Row],[End Market Name]:[End Market Documentation (Attestation Form)]])&gt;0,1,0))</f>
        <v>0</v>
      </c>
      <c r="O20"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0" s="80" t="str">
        <f t="shared" si="0"/>
        <v/>
      </c>
      <c r="Q20" s="40"/>
    </row>
    <row r="21" spans="1:17" ht="15" x14ac:dyDescent="0.2">
      <c r="A21" s="82" t="s">
        <v>355</v>
      </c>
      <c r="B21" s="49"/>
      <c r="C21" s="47"/>
      <c r="D21" s="47"/>
      <c r="E21" s="47"/>
      <c r="F21" s="47"/>
      <c r="G21" s="48"/>
      <c r="H21" s="50"/>
      <c r="I21" s="47"/>
      <c r="J21" s="79">
        <f>IF(TR_4EndMarkets[[#This Row],[Lookup: material+market]]="",0,IF(COUNTIFS(TR_4EndMarkets[Lookup: material+market],TR_4EndMarkets[[#This Row],[Lookup: material+market]])&gt;1,1,0))</f>
        <v>0</v>
      </c>
      <c r="K21"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1" s="79" t="str">
        <f>IF(TR_4EndMarkets[[#This Row],[Material Reporting Category (End Market)]]="","",(IFERROR(0*INDEX(TR_2SuppliedPounds[Supply Pounds To Use],MATCH(TR_4EndMarkets[[#This Row],[Material Reporting Category (End Market)]],TR_2SuppliedPounds[Material Reporting Category],0)),1)))</f>
        <v/>
      </c>
      <c r="M21"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1" s="79">
        <f>IF(TR_4EndMarkets[[#This Row],[Material Reporting Category (End Market)]]&lt;&gt;"",0,IF(COUNTA(TR_4EndMarkets[[#This Row],[End Market Name]:[End Market Documentation (Attestation Form)]])&gt;0,1,0))</f>
        <v>0</v>
      </c>
      <c r="O21"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1" s="80" t="str">
        <f t="shared" si="0"/>
        <v/>
      </c>
      <c r="Q21" s="40"/>
    </row>
    <row r="22" spans="1:17" ht="15" x14ac:dyDescent="0.2">
      <c r="A22" s="82" t="s">
        <v>356</v>
      </c>
      <c r="B22" s="49"/>
      <c r="C22" s="47"/>
      <c r="D22" s="47"/>
      <c r="E22" s="47"/>
      <c r="F22" s="47"/>
      <c r="G22" s="48"/>
      <c r="H22" s="50"/>
      <c r="I22" s="47"/>
      <c r="J22" s="79">
        <f>IF(TR_4EndMarkets[[#This Row],[Lookup: material+market]]="",0,IF(COUNTIFS(TR_4EndMarkets[Lookup: material+market],TR_4EndMarkets[[#This Row],[Lookup: material+market]])&gt;1,1,0))</f>
        <v>0</v>
      </c>
      <c r="K22"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2" s="79" t="str">
        <f>IF(TR_4EndMarkets[[#This Row],[Material Reporting Category (End Market)]]="","",(IFERROR(0*INDEX(TR_2SuppliedPounds[Supply Pounds To Use],MATCH(TR_4EndMarkets[[#This Row],[Material Reporting Category (End Market)]],TR_2SuppliedPounds[Material Reporting Category],0)),1)))</f>
        <v/>
      </c>
      <c r="M22"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2" s="79">
        <f>IF(TR_4EndMarkets[[#This Row],[Material Reporting Category (End Market)]]&lt;&gt;"",0,IF(COUNTA(TR_4EndMarkets[[#This Row],[End Market Name]:[End Market Documentation (Attestation Form)]])&gt;0,1,0))</f>
        <v>0</v>
      </c>
      <c r="O22"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2" s="80" t="str">
        <f t="shared" si="0"/>
        <v/>
      </c>
      <c r="Q22" s="40"/>
    </row>
    <row r="23" spans="1:17" ht="15" x14ac:dyDescent="0.2">
      <c r="A23" s="82" t="s">
        <v>357</v>
      </c>
      <c r="B23" s="49"/>
      <c r="C23" s="47"/>
      <c r="D23" s="47"/>
      <c r="E23" s="47"/>
      <c r="F23" s="47"/>
      <c r="G23" s="48"/>
      <c r="H23" s="50"/>
      <c r="I23" s="47"/>
      <c r="J23" s="79">
        <f>IF(TR_4EndMarkets[[#This Row],[Lookup: material+market]]="",0,IF(COUNTIFS(TR_4EndMarkets[Lookup: material+market],TR_4EndMarkets[[#This Row],[Lookup: material+market]])&gt;1,1,0))</f>
        <v>0</v>
      </c>
      <c r="K23"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3" s="79" t="str">
        <f>IF(TR_4EndMarkets[[#This Row],[Material Reporting Category (End Market)]]="","",(IFERROR(0*INDEX(TR_2SuppliedPounds[Supply Pounds To Use],MATCH(TR_4EndMarkets[[#This Row],[Material Reporting Category (End Market)]],TR_2SuppliedPounds[Material Reporting Category],0)),1)))</f>
        <v/>
      </c>
      <c r="M23"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3" s="79">
        <f>IF(TR_4EndMarkets[[#This Row],[Material Reporting Category (End Market)]]&lt;&gt;"",0,IF(COUNTA(TR_4EndMarkets[[#This Row],[End Market Name]:[End Market Documentation (Attestation Form)]])&gt;0,1,0))</f>
        <v>0</v>
      </c>
      <c r="O23"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3" s="80" t="str">
        <f t="shared" si="0"/>
        <v/>
      </c>
      <c r="Q23" s="40"/>
    </row>
    <row r="24" spans="1:17" ht="15" x14ac:dyDescent="0.2">
      <c r="A24" s="82" t="s">
        <v>358</v>
      </c>
      <c r="B24" s="49"/>
      <c r="C24" s="47"/>
      <c r="D24" s="47"/>
      <c r="E24" s="47"/>
      <c r="F24" s="47"/>
      <c r="G24" s="48"/>
      <c r="H24" s="50"/>
      <c r="I24" s="47"/>
      <c r="J24" s="79">
        <f>IF(TR_4EndMarkets[[#This Row],[Lookup: material+market]]="",0,IF(COUNTIFS(TR_4EndMarkets[Lookup: material+market],TR_4EndMarkets[[#This Row],[Lookup: material+market]])&gt;1,1,0))</f>
        <v>0</v>
      </c>
      <c r="K24"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4" s="79" t="str">
        <f>IF(TR_4EndMarkets[[#This Row],[Material Reporting Category (End Market)]]="","",(IFERROR(0*INDEX(TR_2SuppliedPounds[Supply Pounds To Use],MATCH(TR_4EndMarkets[[#This Row],[Material Reporting Category (End Market)]],TR_2SuppliedPounds[Material Reporting Category],0)),1)))</f>
        <v/>
      </c>
      <c r="M24"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4" s="79">
        <f>IF(TR_4EndMarkets[[#This Row],[Material Reporting Category (End Market)]]&lt;&gt;"",0,IF(COUNTA(TR_4EndMarkets[[#This Row],[End Market Name]:[End Market Documentation (Attestation Form)]])&gt;0,1,0))</f>
        <v>0</v>
      </c>
      <c r="O24"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4" s="80" t="str">
        <f t="shared" si="0"/>
        <v/>
      </c>
      <c r="Q24" s="40"/>
    </row>
    <row r="25" spans="1:17" ht="15" x14ac:dyDescent="0.2">
      <c r="A25" s="82" t="s">
        <v>359</v>
      </c>
      <c r="B25" s="49"/>
      <c r="C25" s="47"/>
      <c r="D25" s="47"/>
      <c r="E25" s="47"/>
      <c r="F25" s="47"/>
      <c r="G25" s="48"/>
      <c r="H25" s="50"/>
      <c r="I25" s="47"/>
      <c r="J25" s="79">
        <f>IF(TR_4EndMarkets[[#This Row],[Lookup: material+market]]="",0,IF(COUNTIFS(TR_4EndMarkets[Lookup: material+market],TR_4EndMarkets[[#This Row],[Lookup: material+market]])&gt;1,1,0))</f>
        <v>0</v>
      </c>
      <c r="K25"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5" s="79" t="str">
        <f>IF(TR_4EndMarkets[[#This Row],[Material Reporting Category (End Market)]]="","",(IFERROR(0*INDEX(TR_2SuppliedPounds[Supply Pounds To Use],MATCH(TR_4EndMarkets[[#This Row],[Material Reporting Category (End Market)]],TR_2SuppliedPounds[Material Reporting Category],0)),1)))</f>
        <v/>
      </c>
      <c r="M25"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5" s="79">
        <f>IF(TR_4EndMarkets[[#This Row],[Material Reporting Category (End Market)]]&lt;&gt;"",0,IF(COUNTA(TR_4EndMarkets[[#This Row],[End Market Name]:[End Market Documentation (Attestation Form)]])&gt;0,1,0))</f>
        <v>0</v>
      </c>
      <c r="O25"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5" s="80" t="str">
        <f t="shared" si="0"/>
        <v/>
      </c>
      <c r="Q25" s="40"/>
    </row>
    <row r="26" spans="1:17" ht="15" x14ac:dyDescent="0.2">
      <c r="A26" s="82" t="s">
        <v>360</v>
      </c>
      <c r="B26" s="49"/>
      <c r="C26" s="47"/>
      <c r="D26" s="47"/>
      <c r="E26" s="47"/>
      <c r="F26" s="47"/>
      <c r="G26" s="48"/>
      <c r="H26" s="50"/>
      <c r="I26" s="47"/>
      <c r="J26" s="79">
        <f>IF(TR_4EndMarkets[[#This Row],[Lookup: material+market]]="",0,IF(COUNTIFS(TR_4EndMarkets[Lookup: material+market],TR_4EndMarkets[[#This Row],[Lookup: material+market]])&gt;1,1,0))</f>
        <v>0</v>
      </c>
      <c r="K26"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6" s="79" t="str">
        <f>IF(TR_4EndMarkets[[#This Row],[Material Reporting Category (End Market)]]="","",(IFERROR(0*INDEX(TR_2SuppliedPounds[Supply Pounds To Use],MATCH(TR_4EndMarkets[[#This Row],[Material Reporting Category (End Market)]],TR_2SuppliedPounds[Material Reporting Category],0)),1)))</f>
        <v/>
      </c>
      <c r="M26"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6" s="79">
        <f>IF(TR_4EndMarkets[[#This Row],[Material Reporting Category (End Market)]]&lt;&gt;"",0,IF(COUNTA(TR_4EndMarkets[[#This Row],[End Market Name]:[End Market Documentation (Attestation Form)]])&gt;0,1,0))</f>
        <v>0</v>
      </c>
      <c r="O26"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6" s="80" t="str">
        <f t="shared" si="0"/>
        <v/>
      </c>
      <c r="Q26" s="40"/>
    </row>
    <row r="27" spans="1:17" ht="15" x14ac:dyDescent="0.2">
      <c r="A27" s="82" t="s">
        <v>361</v>
      </c>
      <c r="B27" s="49"/>
      <c r="C27" s="47"/>
      <c r="D27" s="47"/>
      <c r="E27" s="47"/>
      <c r="F27" s="47"/>
      <c r="G27" s="48"/>
      <c r="H27" s="50"/>
      <c r="I27" s="47"/>
      <c r="J27" s="79">
        <f>IF(TR_4EndMarkets[[#This Row],[Lookup: material+market]]="",0,IF(COUNTIFS(TR_4EndMarkets[Lookup: material+market],TR_4EndMarkets[[#This Row],[Lookup: material+market]])&gt;1,1,0))</f>
        <v>0</v>
      </c>
      <c r="K27"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7" s="79" t="str">
        <f>IF(TR_4EndMarkets[[#This Row],[Material Reporting Category (End Market)]]="","",(IFERROR(0*INDEX(TR_2SuppliedPounds[Supply Pounds To Use],MATCH(TR_4EndMarkets[[#This Row],[Material Reporting Category (End Market)]],TR_2SuppliedPounds[Material Reporting Category],0)),1)))</f>
        <v/>
      </c>
      <c r="M27"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7" s="79">
        <f>IF(TR_4EndMarkets[[#This Row],[Material Reporting Category (End Market)]]&lt;&gt;"",0,IF(COUNTA(TR_4EndMarkets[[#This Row],[End Market Name]:[End Market Documentation (Attestation Form)]])&gt;0,1,0))</f>
        <v>0</v>
      </c>
      <c r="O27"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7" s="80" t="str">
        <f t="shared" si="0"/>
        <v/>
      </c>
      <c r="Q27" s="40"/>
    </row>
    <row r="28" spans="1:17" ht="15" x14ac:dyDescent="0.2">
      <c r="A28" s="82" t="s">
        <v>362</v>
      </c>
      <c r="B28" s="49"/>
      <c r="C28" s="47"/>
      <c r="D28" s="47"/>
      <c r="E28" s="47"/>
      <c r="F28" s="47"/>
      <c r="G28" s="48"/>
      <c r="H28" s="50"/>
      <c r="I28" s="47"/>
      <c r="J28" s="79">
        <f>IF(TR_4EndMarkets[[#This Row],[Lookup: material+market]]="",0,IF(COUNTIFS(TR_4EndMarkets[Lookup: material+market],TR_4EndMarkets[[#This Row],[Lookup: material+market]])&gt;1,1,0))</f>
        <v>0</v>
      </c>
      <c r="K28"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8" s="79" t="str">
        <f>IF(TR_4EndMarkets[[#This Row],[Material Reporting Category (End Market)]]="","",(IFERROR(0*INDEX(TR_2SuppliedPounds[Supply Pounds To Use],MATCH(TR_4EndMarkets[[#This Row],[Material Reporting Category (End Market)]],TR_2SuppliedPounds[Material Reporting Category],0)),1)))</f>
        <v/>
      </c>
      <c r="M28"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8" s="79">
        <f>IF(TR_4EndMarkets[[#This Row],[Material Reporting Category (End Market)]]&lt;&gt;"",0,IF(COUNTA(TR_4EndMarkets[[#This Row],[End Market Name]:[End Market Documentation (Attestation Form)]])&gt;0,1,0))</f>
        <v>0</v>
      </c>
      <c r="O28"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8" s="80" t="str">
        <f t="shared" si="0"/>
        <v/>
      </c>
      <c r="Q28" s="40"/>
    </row>
    <row r="29" spans="1:17" ht="15" x14ac:dyDescent="0.2">
      <c r="A29" s="82" t="s">
        <v>363</v>
      </c>
      <c r="B29" s="49"/>
      <c r="C29" s="47"/>
      <c r="D29" s="47"/>
      <c r="E29" s="47"/>
      <c r="F29" s="47"/>
      <c r="G29" s="48"/>
      <c r="H29" s="50"/>
      <c r="I29" s="47"/>
      <c r="J29" s="79">
        <f>IF(TR_4EndMarkets[[#This Row],[Lookup: material+market]]="",0,IF(COUNTIFS(TR_4EndMarkets[Lookup: material+market],TR_4EndMarkets[[#This Row],[Lookup: material+market]])&gt;1,1,0))</f>
        <v>0</v>
      </c>
      <c r="K29"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29" s="79" t="str">
        <f>IF(TR_4EndMarkets[[#This Row],[Material Reporting Category (End Market)]]="","",(IFERROR(0*INDEX(TR_2SuppliedPounds[Supply Pounds To Use],MATCH(TR_4EndMarkets[[#This Row],[Material Reporting Category (End Market)]],TR_2SuppliedPounds[Material Reporting Category],0)),1)))</f>
        <v/>
      </c>
      <c r="M29"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29" s="79">
        <f>IF(TR_4EndMarkets[[#This Row],[Material Reporting Category (End Market)]]&lt;&gt;"",0,IF(COUNTA(TR_4EndMarkets[[#This Row],[End Market Name]:[End Market Documentation (Attestation Form)]])&gt;0,1,0))</f>
        <v>0</v>
      </c>
      <c r="O29"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29" s="80" t="str">
        <f t="shared" si="0"/>
        <v/>
      </c>
      <c r="Q29" s="40"/>
    </row>
    <row r="30" spans="1:17" ht="15" x14ac:dyDescent="0.2">
      <c r="A30" s="82" t="s">
        <v>364</v>
      </c>
      <c r="B30" s="49"/>
      <c r="C30" s="47"/>
      <c r="D30" s="47"/>
      <c r="E30" s="47"/>
      <c r="F30" s="47"/>
      <c r="G30" s="48"/>
      <c r="H30" s="50"/>
      <c r="I30" s="47"/>
      <c r="J30" s="79">
        <f>IF(TR_4EndMarkets[[#This Row],[Lookup: material+market]]="",0,IF(COUNTIFS(TR_4EndMarkets[Lookup: material+market],TR_4EndMarkets[[#This Row],[Lookup: material+market]])&gt;1,1,0))</f>
        <v>0</v>
      </c>
      <c r="K30"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0" s="79" t="str">
        <f>IF(TR_4EndMarkets[[#This Row],[Material Reporting Category (End Market)]]="","",(IFERROR(0*INDEX(TR_2SuppliedPounds[Supply Pounds To Use],MATCH(TR_4EndMarkets[[#This Row],[Material Reporting Category (End Market)]],TR_2SuppliedPounds[Material Reporting Category],0)),1)))</f>
        <v/>
      </c>
      <c r="M30"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0" s="79">
        <f>IF(TR_4EndMarkets[[#This Row],[Material Reporting Category (End Market)]]&lt;&gt;"",0,IF(COUNTA(TR_4EndMarkets[[#This Row],[End Market Name]:[End Market Documentation (Attestation Form)]])&gt;0,1,0))</f>
        <v>0</v>
      </c>
      <c r="O30"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0" s="80" t="str">
        <f t="shared" si="0"/>
        <v/>
      </c>
      <c r="Q30" s="40"/>
    </row>
    <row r="31" spans="1:17" ht="15" x14ac:dyDescent="0.2">
      <c r="A31" s="82" t="s">
        <v>365</v>
      </c>
      <c r="B31" s="49"/>
      <c r="C31" s="47"/>
      <c r="D31" s="47"/>
      <c r="E31" s="47"/>
      <c r="F31" s="47"/>
      <c r="G31" s="48"/>
      <c r="H31" s="50"/>
      <c r="I31" s="47"/>
      <c r="J31" s="79">
        <f>IF(TR_4EndMarkets[[#This Row],[Lookup: material+market]]="",0,IF(COUNTIFS(TR_4EndMarkets[Lookup: material+market],TR_4EndMarkets[[#This Row],[Lookup: material+market]])&gt;1,1,0))</f>
        <v>0</v>
      </c>
      <c r="K31"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1" s="79" t="str">
        <f>IF(TR_4EndMarkets[[#This Row],[Material Reporting Category (End Market)]]="","",(IFERROR(0*INDEX(TR_2SuppliedPounds[Supply Pounds To Use],MATCH(TR_4EndMarkets[[#This Row],[Material Reporting Category (End Market)]],TR_2SuppliedPounds[Material Reporting Category],0)),1)))</f>
        <v/>
      </c>
      <c r="M31"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1" s="79">
        <f>IF(TR_4EndMarkets[[#This Row],[Material Reporting Category (End Market)]]&lt;&gt;"",0,IF(COUNTA(TR_4EndMarkets[[#This Row],[End Market Name]:[End Market Documentation (Attestation Form)]])&gt;0,1,0))</f>
        <v>0</v>
      </c>
      <c r="O31"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1" s="80" t="str">
        <f t="shared" si="0"/>
        <v/>
      </c>
      <c r="Q31" s="40"/>
    </row>
    <row r="32" spans="1:17" ht="15" x14ac:dyDescent="0.2">
      <c r="A32" s="82" t="s">
        <v>366</v>
      </c>
      <c r="B32" s="49"/>
      <c r="C32" s="47"/>
      <c r="D32" s="47"/>
      <c r="E32" s="47"/>
      <c r="F32" s="47"/>
      <c r="G32" s="48"/>
      <c r="H32" s="50"/>
      <c r="I32" s="47"/>
      <c r="J32" s="79">
        <f>IF(TR_4EndMarkets[[#This Row],[Lookup: material+market]]="",0,IF(COUNTIFS(TR_4EndMarkets[Lookup: material+market],TR_4EndMarkets[[#This Row],[Lookup: material+market]])&gt;1,1,0))</f>
        <v>0</v>
      </c>
      <c r="K32"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2" s="79" t="str">
        <f>IF(TR_4EndMarkets[[#This Row],[Material Reporting Category (End Market)]]="","",(IFERROR(0*INDEX(TR_2SuppliedPounds[Supply Pounds To Use],MATCH(TR_4EndMarkets[[#This Row],[Material Reporting Category (End Market)]],TR_2SuppliedPounds[Material Reporting Category],0)),1)))</f>
        <v/>
      </c>
      <c r="M32"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2" s="79">
        <f>IF(TR_4EndMarkets[[#This Row],[Material Reporting Category (End Market)]]&lt;&gt;"",0,IF(COUNTA(TR_4EndMarkets[[#This Row],[End Market Name]:[End Market Documentation (Attestation Form)]])&gt;0,1,0))</f>
        <v>0</v>
      </c>
      <c r="O32"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2" s="80" t="str">
        <f t="shared" si="0"/>
        <v/>
      </c>
      <c r="Q32" s="40"/>
    </row>
    <row r="33" spans="1:17" ht="15" x14ac:dyDescent="0.2">
      <c r="A33" s="82" t="s">
        <v>367</v>
      </c>
      <c r="B33" s="49"/>
      <c r="C33" s="47"/>
      <c r="D33" s="47"/>
      <c r="E33" s="47"/>
      <c r="F33" s="47"/>
      <c r="G33" s="48"/>
      <c r="H33" s="50"/>
      <c r="I33" s="47"/>
      <c r="J33" s="79">
        <f>IF(TR_4EndMarkets[[#This Row],[Lookup: material+market]]="",0,IF(COUNTIFS(TR_4EndMarkets[Lookup: material+market],TR_4EndMarkets[[#This Row],[Lookup: material+market]])&gt;1,1,0))</f>
        <v>0</v>
      </c>
      <c r="K33"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3" s="79" t="str">
        <f>IF(TR_4EndMarkets[[#This Row],[Material Reporting Category (End Market)]]="","",(IFERROR(0*INDEX(TR_2SuppliedPounds[Supply Pounds To Use],MATCH(TR_4EndMarkets[[#This Row],[Material Reporting Category (End Market)]],TR_2SuppliedPounds[Material Reporting Category],0)),1)))</f>
        <v/>
      </c>
      <c r="M33"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3" s="79">
        <f>IF(TR_4EndMarkets[[#This Row],[Material Reporting Category (End Market)]]&lt;&gt;"",0,IF(COUNTA(TR_4EndMarkets[[#This Row],[End Market Name]:[End Market Documentation (Attestation Form)]])&gt;0,1,0))</f>
        <v>0</v>
      </c>
      <c r="O33"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3" s="80" t="str">
        <f t="shared" si="0"/>
        <v/>
      </c>
      <c r="Q33" s="40"/>
    </row>
    <row r="34" spans="1:17" ht="15" x14ac:dyDescent="0.2">
      <c r="A34" s="82" t="s">
        <v>368</v>
      </c>
      <c r="B34" s="49"/>
      <c r="C34" s="47"/>
      <c r="D34" s="47"/>
      <c r="E34" s="47"/>
      <c r="F34" s="47"/>
      <c r="G34" s="48"/>
      <c r="H34" s="50"/>
      <c r="I34" s="47"/>
      <c r="J34" s="79">
        <f>IF(TR_4EndMarkets[[#This Row],[Lookup: material+market]]="",0,IF(COUNTIFS(TR_4EndMarkets[Lookup: material+market],TR_4EndMarkets[[#This Row],[Lookup: material+market]])&gt;1,1,0))</f>
        <v>0</v>
      </c>
      <c r="K34"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4" s="79" t="str">
        <f>IF(TR_4EndMarkets[[#This Row],[Material Reporting Category (End Market)]]="","",(IFERROR(0*INDEX(TR_2SuppliedPounds[Supply Pounds To Use],MATCH(TR_4EndMarkets[[#This Row],[Material Reporting Category (End Market)]],TR_2SuppliedPounds[Material Reporting Category],0)),1)))</f>
        <v/>
      </c>
      <c r="M34"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4" s="79">
        <f>IF(TR_4EndMarkets[[#This Row],[Material Reporting Category (End Market)]]&lt;&gt;"",0,IF(COUNTA(TR_4EndMarkets[[#This Row],[End Market Name]:[End Market Documentation (Attestation Form)]])&gt;0,1,0))</f>
        <v>0</v>
      </c>
      <c r="O34"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4" s="80" t="str">
        <f t="shared" si="0"/>
        <v/>
      </c>
      <c r="Q34" s="40"/>
    </row>
    <row r="35" spans="1:17" ht="15" x14ac:dyDescent="0.2">
      <c r="A35" s="82" t="s">
        <v>369</v>
      </c>
      <c r="B35" s="49"/>
      <c r="C35" s="47"/>
      <c r="D35" s="47"/>
      <c r="E35" s="47"/>
      <c r="F35" s="47"/>
      <c r="G35" s="48"/>
      <c r="H35" s="50"/>
      <c r="I35" s="47"/>
      <c r="J35" s="79">
        <f>IF(TR_4EndMarkets[[#This Row],[Lookup: material+market]]="",0,IF(COUNTIFS(TR_4EndMarkets[Lookup: material+market],TR_4EndMarkets[[#This Row],[Lookup: material+market]])&gt;1,1,0))</f>
        <v>0</v>
      </c>
      <c r="K35"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5" s="79" t="str">
        <f>IF(TR_4EndMarkets[[#This Row],[Material Reporting Category (End Market)]]="","",(IFERROR(0*INDEX(TR_2SuppliedPounds[Supply Pounds To Use],MATCH(TR_4EndMarkets[[#This Row],[Material Reporting Category (End Market)]],TR_2SuppliedPounds[Material Reporting Category],0)),1)))</f>
        <v/>
      </c>
      <c r="M35"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5" s="79">
        <f>IF(TR_4EndMarkets[[#This Row],[Material Reporting Category (End Market)]]&lt;&gt;"",0,IF(COUNTA(TR_4EndMarkets[[#This Row],[End Market Name]:[End Market Documentation (Attestation Form)]])&gt;0,1,0))</f>
        <v>0</v>
      </c>
      <c r="O35"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5" s="80" t="str">
        <f t="shared" si="0"/>
        <v/>
      </c>
      <c r="Q35" s="40"/>
    </row>
    <row r="36" spans="1:17" ht="15" x14ac:dyDescent="0.2">
      <c r="A36" s="82" t="s">
        <v>370</v>
      </c>
      <c r="B36" s="49"/>
      <c r="C36" s="47"/>
      <c r="D36" s="47"/>
      <c r="E36" s="47"/>
      <c r="F36" s="47"/>
      <c r="G36" s="48"/>
      <c r="H36" s="50"/>
      <c r="I36" s="47"/>
      <c r="J36" s="79">
        <f>IF(TR_4EndMarkets[[#This Row],[Lookup: material+market]]="",0,IF(COUNTIFS(TR_4EndMarkets[Lookup: material+market],TR_4EndMarkets[[#This Row],[Lookup: material+market]])&gt;1,1,0))</f>
        <v>0</v>
      </c>
      <c r="K36"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6" s="79" t="str">
        <f>IF(TR_4EndMarkets[[#This Row],[Material Reporting Category (End Market)]]="","",(IFERROR(0*INDEX(TR_2SuppliedPounds[Supply Pounds To Use],MATCH(TR_4EndMarkets[[#This Row],[Material Reporting Category (End Market)]],TR_2SuppliedPounds[Material Reporting Category],0)),1)))</f>
        <v/>
      </c>
      <c r="M36"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6" s="79">
        <f>IF(TR_4EndMarkets[[#This Row],[Material Reporting Category (End Market)]]&lt;&gt;"",0,IF(COUNTA(TR_4EndMarkets[[#This Row],[End Market Name]:[End Market Documentation (Attestation Form)]])&gt;0,1,0))</f>
        <v>0</v>
      </c>
      <c r="O36"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6" s="80" t="str">
        <f t="shared" si="0"/>
        <v/>
      </c>
      <c r="Q36" s="40"/>
    </row>
    <row r="37" spans="1:17" ht="15" x14ac:dyDescent="0.2">
      <c r="A37" s="82" t="s">
        <v>371</v>
      </c>
      <c r="B37" s="49"/>
      <c r="C37" s="47"/>
      <c r="D37" s="47"/>
      <c r="E37" s="47"/>
      <c r="F37" s="47"/>
      <c r="G37" s="48"/>
      <c r="H37" s="50"/>
      <c r="I37" s="47"/>
      <c r="J37" s="79">
        <f>IF(TR_4EndMarkets[[#This Row],[Lookup: material+market]]="",0,IF(COUNTIFS(TR_4EndMarkets[Lookup: material+market],TR_4EndMarkets[[#This Row],[Lookup: material+market]])&gt;1,1,0))</f>
        <v>0</v>
      </c>
      <c r="K37"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7" s="79" t="str">
        <f>IF(TR_4EndMarkets[[#This Row],[Material Reporting Category (End Market)]]="","",(IFERROR(0*INDEX(TR_2SuppliedPounds[Supply Pounds To Use],MATCH(TR_4EndMarkets[[#This Row],[Material Reporting Category (End Market)]],TR_2SuppliedPounds[Material Reporting Category],0)),1)))</f>
        <v/>
      </c>
      <c r="M37"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7" s="79">
        <f>IF(TR_4EndMarkets[[#This Row],[Material Reporting Category (End Market)]]&lt;&gt;"",0,IF(COUNTA(TR_4EndMarkets[[#This Row],[End Market Name]:[End Market Documentation (Attestation Form)]])&gt;0,1,0))</f>
        <v>0</v>
      </c>
      <c r="O37"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7" s="80" t="str">
        <f t="shared" si="0"/>
        <v/>
      </c>
      <c r="Q37" s="40"/>
    </row>
    <row r="38" spans="1:17" ht="15" x14ac:dyDescent="0.2">
      <c r="A38" s="82" t="s">
        <v>372</v>
      </c>
      <c r="B38" s="49"/>
      <c r="C38" s="47"/>
      <c r="D38" s="47"/>
      <c r="E38" s="47"/>
      <c r="F38" s="47"/>
      <c r="G38" s="48"/>
      <c r="H38" s="50"/>
      <c r="I38" s="47"/>
      <c r="J38" s="79">
        <f>IF(TR_4EndMarkets[[#This Row],[Lookup: material+market]]="",0,IF(COUNTIFS(TR_4EndMarkets[Lookup: material+market],TR_4EndMarkets[[#This Row],[Lookup: material+market]])&gt;1,1,0))</f>
        <v>0</v>
      </c>
      <c r="K38"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8" s="79" t="str">
        <f>IF(TR_4EndMarkets[[#This Row],[Material Reporting Category (End Market)]]="","",(IFERROR(0*INDEX(TR_2SuppliedPounds[Supply Pounds To Use],MATCH(TR_4EndMarkets[[#This Row],[Material Reporting Category (End Market)]],TR_2SuppliedPounds[Material Reporting Category],0)),1)))</f>
        <v/>
      </c>
      <c r="M38"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8" s="79">
        <f>IF(TR_4EndMarkets[[#This Row],[Material Reporting Category (End Market)]]&lt;&gt;"",0,IF(COUNTA(TR_4EndMarkets[[#This Row],[End Market Name]:[End Market Documentation (Attestation Form)]])&gt;0,1,0))</f>
        <v>0</v>
      </c>
      <c r="O38"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8" s="80" t="str">
        <f t="shared" ref="P38:P55" si="1">IF(DR_ProducerID=0,"",DR_ProducerID)</f>
        <v/>
      </c>
      <c r="Q38" s="40"/>
    </row>
    <row r="39" spans="1:17" ht="15" x14ac:dyDescent="0.2">
      <c r="A39" s="82" t="s">
        <v>373</v>
      </c>
      <c r="B39" s="49"/>
      <c r="C39" s="47"/>
      <c r="D39" s="47"/>
      <c r="E39" s="47"/>
      <c r="F39" s="47"/>
      <c r="G39" s="48"/>
      <c r="H39" s="50"/>
      <c r="I39" s="47"/>
      <c r="J39" s="79">
        <f>IF(TR_4EndMarkets[[#This Row],[Lookup: material+market]]="",0,IF(COUNTIFS(TR_4EndMarkets[Lookup: material+market],TR_4EndMarkets[[#This Row],[Lookup: material+market]])&gt;1,1,0))</f>
        <v>0</v>
      </c>
      <c r="K39"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39" s="79" t="str">
        <f>IF(TR_4EndMarkets[[#This Row],[Material Reporting Category (End Market)]]="","",(IFERROR(0*INDEX(TR_2SuppliedPounds[Supply Pounds To Use],MATCH(TR_4EndMarkets[[#This Row],[Material Reporting Category (End Market)]],TR_2SuppliedPounds[Material Reporting Category],0)),1)))</f>
        <v/>
      </c>
      <c r="M39"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39" s="79">
        <f>IF(TR_4EndMarkets[[#This Row],[Material Reporting Category (End Market)]]&lt;&gt;"",0,IF(COUNTA(TR_4EndMarkets[[#This Row],[End Market Name]:[End Market Documentation (Attestation Form)]])&gt;0,1,0))</f>
        <v>0</v>
      </c>
      <c r="O39"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39" s="80" t="str">
        <f t="shared" si="1"/>
        <v/>
      </c>
      <c r="Q39" s="40"/>
    </row>
    <row r="40" spans="1:17" ht="15" x14ac:dyDescent="0.2">
      <c r="A40" s="82" t="s">
        <v>374</v>
      </c>
      <c r="B40" s="49"/>
      <c r="C40" s="47"/>
      <c r="D40" s="47"/>
      <c r="E40" s="47"/>
      <c r="F40" s="47"/>
      <c r="G40" s="48"/>
      <c r="H40" s="50"/>
      <c r="I40" s="47"/>
      <c r="J40" s="79">
        <f>IF(TR_4EndMarkets[[#This Row],[Lookup: material+market]]="",0,IF(COUNTIFS(TR_4EndMarkets[Lookup: material+market],TR_4EndMarkets[[#This Row],[Lookup: material+market]])&gt;1,1,0))</f>
        <v>0</v>
      </c>
      <c r="K40"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0" s="79" t="str">
        <f>IF(TR_4EndMarkets[[#This Row],[Material Reporting Category (End Market)]]="","",(IFERROR(0*INDEX(TR_2SuppliedPounds[Supply Pounds To Use],MATCH(TR_4EndMarkets[[#This Row],[Material Reporting Category (End Market)]],TR_2SuppliedPounds[Material Reporting Category],0)),1)))</f>
        <v/>
      </c>
      <c r="M40"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0" s="79">
        <f>IF(TR_4EndMarkets[[#This Row],[Material Reporting Category (End Market)]]&lt;&gt;"",0,IF(COUNTA(TR_4EndMarkets[[#This Row],[End Market Name]:[End Market Documentation (Attestation Form)]])&gt;0,1,0))</f>
        <v>0</v>
      </c>
      <c r="O40"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0" s="80" t="str">
        <f t="shared" si="1"/>
        <v/>
      </c>
      <c r="Q40" s="40"/>
    </row>
    <row r="41" spans="1:17" ht="15" x14ac:dyDescent="0.2">
      <c r="A41" s="82" t="s">
        <v>375</v>
      </c>
      <c r="B41" s="49"/>
      <c r="C41" s="47"/>
      <c r="D41" s="47"/>
      <c r="E41" s="47"/>
      <c r="F41" s="47"/>
      <c r="G41" s="48"/>
      <c r="H41" s="50"/>
      <c r="I41" s="47"/>
      <c r="J41" s="79">
        <f>IF(TR_4EndMarkets[[#This Row],[Lookup: material+market]]="",0,IF(COUNTIFS(TR_4EndMarkets[Lookup: material+market],TR_4EndMarkets[[#This Row],[Lookup: material+market]])&gt;1,1,0))</f>
        <v>0</v>
      </c>
      <c r="K41"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1" s="79" t="str">
        <f>IF(TR_4EndMarkets[[#This Row],[Material Reporting Category (End Market)]]="","",(IFERROR(0*INDEX(TR_2SuppliedPounds[Supply Pounds To Use],MATCH(TR_4EndMarkets[[#This Row],[Material Reporting Category (End Market)]],TR_2SuppliedPounds[Material Reporting Category],0)),1)))</f>
        <v/>
      </c>
      <c r="M41"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1" s="79">
        <f>IF(TR_4EndMarkets[[#This Row],[Material Reporting Category (End Market)]]&lt;&gt;"",0,IF(COUNTA(TR_4EndMarkets[[#This Row],[End Market Name]:[End Market Documentation (Attestation Form)]])&gt;0,1,0))</f>
        <v>0</v>
      </c>
      <c r="O41"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1" s="80" t="str">
        <f t="shared" si="1"/>
        <v/>
      </c>
      <c r="Q41" s="40"/>
    </row>
    <row r="42" spans="1:17" ht="15" x14ac:dyDescent="0.2">
      <c r="A42" s="82" t="s">
        <v>376</v>
      </c>
      <c r="B42" s="49"/>
      <c r="C42" s="47"/>
      <c r="D42" s="47"/>
      <c r="E42" s="47"/>
      <c r="F42" s="47"/>
      <c r="G42" s="48"/>
      <c r="H42" s="50"/>
      <c r="I42" s="47"/>
      <c r="J42" s="79">
        <f>IF(TR_4EndMarkets[[#This Row],[Lookup: material+market]]="",0,IF(COUNTIFS(TR_4EndMarkets[Lookup: material+market],TR_4EndMarkets[[#This Row],[Lookup: material+market]])&gt;1,1,0))</f>
        <v>0</v>
      </c>
      <c r="K42"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2" s="79" t="str">
        <f>IF(TR_4EndMarkets[[#This Row],[Material Reporting Category (End Market)]]="","",(IFERROR(0*INDEX(TR_2SuppliedPounds[Supply Pounds To Use],MATCH(TR_4EndMarkets[[#This Row],[Material Reporting Category (End Market)]],TR_2SuppliedPounds[Material Reporting Category],0)),1)))</f>
        <v/>
      </c>
      <c r="M42"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2" s="79">
        <f>IF(TR_4EndMarkets[[#This Row],[Material Reporting Category (End Market)]]&lt;&gt;"",0,IF(COUNTA(TR_4EndMarkets[[#This Row],[End Market Name]:[End Market Documentation (Attestation Form)]])&gt;0,1,0))</f>
        <v>0</v>
      </c>
      <c r="O42"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2" s="80" t="str">
        <f t="shared" si="1"/>
        <v/>
      </c>
      <c r="Q42" s="40"/>
    </row>
    <row r="43" spans="1:17" ht="15" x14ac:dyDescent="0.2">
      <c r="A43" s="82" t="s">
        <v>377</v>
      </c>
      <c r="B43" s="49"/>
      <c r="C43" s="47"/>
      <c r="D43" s="47"/>
      <c r="E43" s="47"/>
      <c r="F43" s="47"/>
      <c r="G43" s="48"/>
      <c r="H43" s="50"/>
      <c r="I43" s="47"/>
      <c r="J43" s="79">
        <f>IF(TR_4EndMarkets[[#This Row],[Lookup: material+market]]="",0,IF(COUNTIFS(TR_4EndMarkets[Lookup: material+market],TR_4EndMarkets[[#This Row],[Lookup: material+market]])&gt;1,1,0))</f>
        <v>0</v>
      </c>
      <c r="K43"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3" s="79" t="str">
        <f>IF(TR_4EndMarkets[[#This Row],[Material Reporting Category (End Market)]]="","",(IFERROR(0*INDEX(TR_2SuppliedPounds[Supply Pounds To Use],MATCH(TR_4EndMarkets[[#This Row],[Material Reporting Category (End Market)]],TR_2SuppliedPounds[Material Reporting Category],0)),1)))</f>
        <v/>
      </c>
      <c r="M43"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3" s="79">
        <f>IF(TR_4EndMarkets[[#This Row],[Material Reporting Category (End Market)]]&lt;&gt;"",0,IF(COUNTA(TR_4EndMarkets[[#This Row],[End Market Name]:[End Market Documentation (Attestation Form)]])&gt;0,1,0))</f>
        <v>0</v>
      </c>
      <c r="O43"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3" s="80" t="str">
        <f t="shared" si="1"/>
        <v/>
      </c>
      <c r="Q43" s="40"/>
    </row>
    <row r="44" spans="1:17" ht="15" x14ac:dyDescent="0.2">
      <c r="A44" s="82" t="s">
        <v>378</v>
      </c>
      <c r="B44" s="49"/>
      <c r="C44" s="47"/>
      <c r="D44" s="47"/>
      <c r="E44" s="47"/>
      <c r="F44" s="47"/>
      <c r="G44" s="48"/>
      <c r="H44" s="50"/>
      <c r="I44" s="47"/>
      <c r="J44" s="79">
        <f>IF(TR_4EndMarkets[[#This Row],[Lookup: material+market]]="",0,IF(COUNTIFS(TR_4EndMarkets[Lookup: material+market],TR_4EndMarkets[[#This Row],[Lookup: material+market]])&gt;1,1,0))</f>
        <v>0</v>
      </c>
      <c r="K44"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4" s="79" t="str">
        <f>IF(TR_4EndMarkets[[#This Row],[Material Reporting Category (End Market)]]="","",(IFERROR(0*INDEX(TR_2SuppliedPounds[Supply Pounds To Use],MATCH(TR_4EndMarkets[[#This Row],[Material Reporting Category (End Market)]],TR_2SuppliedPounds[Material Reporting Category],0)),1)))</f>
        <v/>
      </c>
      <c r="M44"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4" s="79">
        <f>IF(TR_4EndMarkets[[#This Row],[Material Reporting Category (End Market)]]&lt;&gt;"",0,IF(COUNTA(TR_4EndMarkets[[#This Row],[End Market Name]:[End Market Documentation (Attestation Form)]])&gt;0,1,0))</f>
        <v>0</v>
      </c>
      <c r="O44"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4" s="80" t="str">
        <f t="shared" si="1"/>
        <v/>
      </c>
      <c r="Q44" s="40"/>
    </row>
    <row r="45" spans="1:17" ht="15" x14ac:dyDescent="0.2">
      <c r="A45" s="82" t="s">
        <v>379</v>
      </c>
      <c r="B45" s="49"/>
      <c r="C45" s="47"/>
      <c r="D45" s="47"/>
      <c r="E45" s="47"/>
      <c r="F45" s="47"/>
      <c r="G45" s="48"/>
      <c r="H45" s="50"/>
      <c r="I45" s="47"/>
      <c r="J45" s="79">
        <f>IF(TR_4EndMarkets[[#This Row],[Lookup: material+market]]="",0,IF(COUNTIFS(TR_4EndMarkets[Lookup: material+market],TR_4EndMarkets[[#This Row],[Lookup: material+market]])&gt;1,1,0))</f>
        <v>0</v>
      </c>
      <c r="K45"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5" s="79" t="str">
        <f>IF(TR_4EndMarkets[[#This Row],[Material Reporting Category (End Market)]]="","",(IFERROR(0*INDEX(TR_2SuppliedPounds[Supply Pounds To Use],MATCH(TR_4EndMarkets[[#This Row],[Material Reporting Category (End Market)]],TR_2SuppliedPounds[Material Reporting Category],0)),1)))</f>
        <v/>
      </c>
      <c r="M45"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5" s="79">
        <f>IF(TR_4EndMarkets[[#This Row],[Material Reporting Category (End Market)]]&lt;&gt;"",0,IF(COUNTA(TR_4EndMarkets[[#This Row],[End Market Name]:[End Market Documentation (Attestation Form)]])&gt;0,1,0))</f>
        <v>0</v>
      </c>
      <c r="O45"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5" s="80" t="str">
        <f t="shared" si="1"/>
        <v/>
      </c>
      <c r="Q45" s="40"/>
    </row>
    <row r="46" spans="1:17" ht="15" x14ac:dyDescent="0.2">
      <c r="A46" s="82" t="s">
        <v>380</v>
      </c>
      <c r="B46" s="49"/>
      <c r="C46" s="47"/>
      <c r="D46" s="47"/>
      <c r="E46" s="47"/>
      <c r="F46" s="47"/>
      <c r="G46" s="48"/>
      <c r="H46" s="50"/>
      <c r="I46" s="47"/>
      <c r="J46" s="79">
        <f>IF(TR_4EndMarkets[[#This Row],[Lookup: material+market]]="",0,IF(COUNTIFS(TR_4EndMarkets[Lookup: material+market],TR_4EndMarkets[[#This Row],[Lookup: material+market]])&gt;1,1,0))</f>
        <v>0</v>
      </c>
      <c r="K46"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6" s="79" t="str">
        <f>IF(TR_4EndMarkets[[#This Row],[Material Reporting Category (End Market)]]="","",(IFERROR(0*INDEX(TR_2SuppliedPounds[Supply Pounds To Use],MATCH(TR_4EndMarkets[[#This Row],[Material Reporting Category (End Market)]],TR_2SuppliedPounds[Material Reporting Category],0)),1)))</f>
        <v/>
      </c>
      <c r="M46"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6" s="79">
        <f>IF(TR_4EndMarkets[[#This Row],[Material Reporting Category (End Market)]]&lt;&gt;"",0,IF(COUNTA(TR_4EndMarkets[[#This Row],[End Market Name]:[End Market Documentation (Attestation Form)]])&gt;0,1,0))</f>
        <v>0</v>
      </c>
      <c r="O46"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6" s="80" t="str">
        <f t="shared" si="1"/>
        <v/>
      </c>
      <c r="Q46" s="40"/>
    </row>
    <row r="47" spans="1:17" ht="15" x14ac:dyDescent="0.2">
      <c r="A47" s="82" t="s">
        <v>381</v>
      </c>
      <c r="B47" s="49"/>
      <c r="C47" s="47"/>
      <c r="D47" s="47"/>
      <c r="E47" s="47"/>
      <c r="F47" s="47"/>
      <c r="G47" s="48"/>
      <c r="H47" s="50"/>
      <c r="I47" s="47"/>
      <c r="J47" s="79">
        <f>IF(TR_4EndMarkets[[#This Row],[Lookup: material+market]]="",0,IF(COUNTIFS(TR_4EndMarkets[Lookup: material+market],TR_4EndMarkets[[#This Row],[Lookup: material+market]])&gt;1,1,0))</f>
        <v>0</v>
      </c>
      <c r="K47"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7" s="79" t="str">
        <f>IF(TR_4EndMarkets[[#This Row],[Material Reporting Category (End Market)]]="","",(IFERROR(0*INDEX(TR_2SuppliedPounds[Supply Pounds To Use],MATCH(TR_4EndMarkets[[#This Row],[Material Reporting Category (End Market)]],TR_2SuppliedPounds[Material Reporting Category],0)),1)))</f>
        <v/>
      </c>
      <c r="M47"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7" s="79">
        <f>IF(TR_4EndMarkets[[#This Row],[Material Reporting Category (End Market)]]&lt;&gt;"",0,IF(COUNTA(TR_4EndMarkets[[#This Row],[End Market Name]:[End Market Documentation (Attestation Form)]])&gt;0,1,0))</f>
        <v>0</v>
      </c>
      <c r="O47"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7" s="80" t="str">
        <f t="shared" si="1"/>
        <v/>
      </c>
      <c r="Q47" s="40"/>
    </row>
    <row r="48" spans="1:17" ht="15" x14ac:dyDescent="0.2">
      <c r="A48" s="82" t="s">
        <v>382</v>
      </c>
      <c r="B48" s="49"/>
      <c r="C48" s="47"/>
      <c r="D48" s="47"/>
      <c r="E48" s="47"/>
      <c r="F48" s="47"/>
      <c r="G48" s="48"/>
      <c r="H48" s="50"/>
      <c r="I48" s="47"/>
      <c r="J48" s="79">
        <f>IF(TR_4EndMarkets[[#This Row],[Lookup: material+market]]="",0,IF(COUNTIFS(TR_4EndMarkets[Lookup: material+market],TR_4EndMarkets[[#This Row],[Lookup: material+market]])&gt;1,1,0))</f>
        <v>0</v>
      </c>
      <c r="K48"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8" s="79" t="str">
        <f>IF(TR_4EndMarkets[[#This Row],[Material Reporting Category (End Market)]]="","",(IFERROR(0*INDEX(TR_2SuppliedPounds[Supply Pounds To Use],MATCH(TR_4EndMarkets[[#This Row],[Material Reporting Category (End Market)]],TR_2SuppliedPounds[Material Reporting Category],0)),1)))</f>
        <v/>
      </c>
      <c r="M48"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8" s="79">
        <f>IF(TR_4EndMarkets[[#This Row],[Material Reporting Category (End Market)]]&lt;&gt;"",0,IF(COUNTA(TR_4EndMarkets[[#This Row],[End Market Name]:[End Market Documentation (Attestation Form)]])&gt;0,1,0))</f>
        <v>0</v>
      </c>
      <c r="O48"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8" s="80" t="str">
        <f t="shared" si="1"/>
        <v/>
      </c>
      <c r="Q48" s="40"/>
    </row>
    <row r="49" spans="1:17" ht="15" x14ac:dyDescent="0.2">
      <c r="A49" s="82" t="s">
        <v>383</v>
      </c>
      <c r="B49" s="49"/>
      <c r="C49" s="47"/>
      <c r="D49" s="47"/>
      <c r="E49" s="47"/>
      <c r="F49" s="47"/>
      <c r="G49" s="48"/>
      <c r="H49" s="50"/>
      <c r="I49" s="47"/>
      <c r="J49" s="79">
        <f>IF(TR_4EndMarkets[[#This Row],[Lookup: material+market]]="",0,IF(COUNTIFS(TR_4EndMarkets[Lookup: material+market],TR_4EndMarkets[[#This Row],[Lookup: material+market]])&gt;1,1,0))</f>
        <v>0</v>
      </c>
      <c r="K49"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49" s="79" t="str">
        <f>IF(TR_4EndMarkets[[#This Row],[Material Reporting Category (End Market)]]="","",(IFERROR(0*INDEX(TR_2SuppliedPounds[Supply Pounds To Use],MATCH(TR_4EndMarkets[[#This Row],[Material Reporting Category (End Market)]],TR_2SuppliedPounds[Material Reporting Category],0)),1)))</f>
        <v/>
      </c>
      <c r="M49"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49" s="79">
        <f>IF(TR_4EndMarkets[[#This Row],[Material Reporting Category (End Market)]]&lt;&gt;"",0,IF(COUNTA(TR_4EndMarkets[[#This Row],[End Market Name]:[End Market Documentation (Attestation Form)]])&gt;0,1,0))</f>
        <v>0</v>
      </c>
      <c r="O49"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49" s="80" t="str">
        <f t="shared" si="1"/>
        <v/>
      </c>
      <c r="Q49" s="40"/>
    </row>
    <row r="50" spans="1:17" ht="15" x14ac:dyDescent="0.2">
      <c r="A50" s="82" t="s">
        <v>384</v>
      </c>
      <c r="B50" s="49"/>
      <c r="C50" s="47"/>
      <c r="D50" s="47"/>
      <c r="E50" s="47"/>
      <c r="F50" s="47"/>
      <c r="G50" s="48"/>
      <c r="H50" s="50"/>
      <c r="I50" s="47"/>
      <c r="J50" s="79">
        <f>IF(TR_4EndMarkets[[#This Row],[Lookup: material+market]]="",0,IF(COUNTIFS(TR_4EndMarkets[Lookup: material+market],TR_4EndMarkets[[#This Row],[Lookup: material+market]])&gt;1,1,0))</f>
        <v>0</v>
      </c>
      <c r="K50"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50" s="79" t="str">
        <f>IF(TR_4EndMarkets[[#This Row],[Material Reporting Category (End Market)]]="","",(IFERROR(0*INDEX(TR_2SuppliedPounds[Supply Pounds To Use],MATCH(TR_4EndMarkets[[#This Row],[Material Reporting Category (End Market)]],TR_2SuppliedPounds[Material Reporting Category],0)),1)))</f>
        <v/>
      </c>
      <c r="M50"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50" s="79">
        <f>IF(TR_4EndMarkets[[#This Row],[Material Reporting Category (End Market)]]&lt;&gt;"",0,IF(COUNTA(TR_4EndMarkets[[#This Row],[End Market Name]:[End Market Documentation (Attestation Form)]])&gt;0,1,0))</f>
        <v>0</v>
      </c>
      <c r="O50"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50" s="80" t="str">
        <f t="shared" si="1"/>
        <v/>
      </c>
      <c r="Q50" s="40"/>
    </row>
    <row r="51" spans="1:17" ht="15" x14ac:dyDescent="0.2">
      <c r="A51" s="82" t="s">
        <v>385</v>
      </c>
      <c r="B51" s="49"/>
      <c r="C51" s="47"/>
      <c r="D51" s="47"/>
      <c r="E51" s="47"/>
      <c r="F51" s="47"/>
      <c r="G51" s="48"/>
      <c r="H51" s="50"/>
      <c r="I51" s="47"/>
      <c r="J51" s="79">
        <f>IF(TR_4EndMarkets[[#This Row],[Lookup: material+market]]="",0,IF(COUNTIFS(TR_4EndMarkets[Lookup: material+market],TR_4EndMarkets[[#This Row],[Lookup: material+market]])&gt;1,1,0))</f>
        <v>0</v>
      </c>
      <c r="K51"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51" s="79" t="str">
        <f>IF(TR_4EndMarkets[[#This Row],[Material Reporting Category (End Market)]]="","",(IFERROR(0*INDEX(TR_2SuppliedPounds[Supply Pounds To Use],MATCH(TR_4EndMarkets[[#This Row],[Material Reporting Category (End Market)]],TR_2SuppliedPounds[Material Reporting Category],0)),1)))</f>
        <v/>
      </c>
      <c r="M51"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51" s="79">
        <f>IF(TR_4EndMarkets[[#This Row],[Material Reporting Category (End Market)]]&lt;&gt;"",0,IF(COUNTA(TR_4EndMarkets[[#This Row],[End Market Name]:[End Market Documentation (Attestation Form)]])&gt;0,1,0))</f>
        <v>0</v>
      </c>
      <c r="O51"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51" s="80" t="str">
        <f t="shared" si="1"/>
        <v/>
      </c>
      <c r="Q51" s="40"/>
    </row>
    <row r="52" spans="1:17" ht="15" x14ac:dyDescent="0.2">
      <c r="A52" s="82" t="s">
        <v>386</v>
      </c>
      <c r="B52" s="49"/>
      <c r="C52" s="47"/>
      <c r="D52" s="47"/>
      <c r="E52" s="47"/>
      <c r="F52" s="47"/>
      <c r="G52" s="48"/>
      <c r="H52" s="50"/>
      <c r="I52" s="47"/>
      <c r="J52" s="79">
        <f>IF(TR_4EndMarkets[[#This Row],[Lookup: material+market]]="",0,IF(COUNTIFS(TR_4EndMarkets[Lookup: material+market],TR_4EndMarkets[[#This Row],[Lookup: material+market]])&gt;1,1,0))</f>
        <v>0</v>
      </c>
      <c r="K52"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52" s="79" t="str">
        <f>IF(TR_4EndMarkets[[#This Row],[Material Reporting Category (End Market)]]="","",(IFERROR(0*INDEX(TR_2SuppliedPounds[Supply Pounds To Use],MATCH(TR_4EndMarkets[[#This Row],[Material Reporting Category (End Market)]],TR_2SuppliedPounds[Material Reporting Category],0)),1)))</f>
        <v/>
      </c>
      <c r="M52"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52" s="79">
        <f>IF(TR_4EndMarkets[[#This Row],[Material Reporting Category (End Market)]]&lt;&gt;"",0,IF(COUNTA(TR_4EndMarkets[[#This Row],[End Market Name]:[End Market Documentation (Attestation Form)]])&gt;0,1,0))</f>
        <v>0</v>
      </c>
      <c r="O52"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52" s="80" t="str">
        <f t="shared" si="1"/>
        <v/>
      </c>
      <c r="Q52" s="40"/>
    </row>
    <row r="53" spans="1:17" ht="15" x14ac:dyDescent="0.2">
      <c r="A53" s="82" t="s">
        <v>387</v>
      </c>
      <c r="B53" s="49"/>
      <c r="C53" s="47"/>
      <c r="D53" s="47"/>
      <c r="E53" s="47"/>
      <c r="F53" s="47"/>
      <c r="G53" s="48"/>
      <c r="H53" s="50"/>
      <c r="I53" s="47"/>
      <c r="J53" s="79">
        <f>IF(TR_4EndMarkets[[#This Row],[Lookup: material+market]]="",0,IF(COUNTIFS(TR_4EndMarkets[Lookup: material+market],TR_4EndMarkets[[#This Row],[Lookup: material+market]])&gt;1,1,0))</f>
        <v>0</v>
      </c>
      <c r="K53"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53" s="79" t="str">
        <f>IF(TR_4EndMarkets[[#This Row],[Material Reporting Category (End Market)]]="","",(IFERROR(0*INDEX(TR_2SuppliedPounds[Supply Pounds To Use],MATCH(TR_4EndMarkets[[#This Row],[Material Reporting Category (End Market)]],TR_2SuppliedPounds[Material Reporting Category],0)),1)))</f>
        <v/>
      </c>
      <c r="M53"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53" s="79">
        <f>IF(TR_4EndMarkets[[#This Row],[Material Reporting Category (End Market)]]&lt;&gt;"",0,IF(COUNTA(TR_4EndMarkets[[#This Row],[End Market Name]:[End Market Documentation (Attestation Form)]])&gt;0,1,0))</f>
        <v>0</v>
      </c>
      <c r="O53"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53" s="80" t="str">
        <f t="shared" si="1"/>
        <v/>
      </c>
      <c r="Q53" s="40"/>
    </row>
    <row r="54" spans="1:17" ht="15" x14ac:dyDescent="0.2">
      <c r="A54" s="82" t="s">
        <v>388</v>
      </c>
      <c r="B54" s="49"/>
      <c r="C54" s="47"/>
      <c r="D54" s="47"/>
      <c r="E54" s="47"/>
      <c r="F54" s="47"/>
      <c r="G54" s="48"/>
      <c r="H54" s="50"/>
      <c r="I54" s="47"/>
      <c r="J54" s="79">
        <f>IF(TR_4EndMarkets[[#This Row],[Lookup: material+market]]="",0,IF(COUNTIFS(TR_4EndMarkets[Lookup: material+market],TR_4EndMarkets[[#This Row],[Lookup: material+market]])&gt;1,1,0))</f>
        <v>0</v>
      </c>
      <c r="K54"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54" s="79" t="str">
        <f>IF(TR_4EndMarkets[[#This Row],[Material Reporting Category (End Market)]]="","",(IFERROR(0*INDEX(TR_2SuppliedPounds[Supply Pounds To Use],MATCH(TR_4EndMarkets[[#This Row],[Material Reporting Category (End Market)]],TR_2SuppliedPounds[Material Reporting Category],0)),1)))</f>
        <v/>
      </c>
      <c r="M54"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54" s="79">
        <f>IF(TR_4EndMarkets[[#This Row],[Material Reporting Category (End Market)]]&lt;&gt;"",0,IF(COUNTA(TR_4EndMarkets[[#This Row],[End Market Name]:[End Market Documentation (Attestation Form)]])&gt;0,1,0))</f>
        <v>0</v>
      </c>
      <c r="O54"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54" s="80" t="str">
        <f t="shared" si="1"/>
        <v/>
      </c>
      <c r="Q54" s="40"/>
    </row>
    <row r="55" spans="1:17" ht="15" x14ac:dyDescent="0.2">
      <c r="A55" s="82" t="s">
        <v>389</v>
      </c>
      <c r="B55" s="49"/>
      <c r="C55" s="47"/>
      <c r="D55" s="47"/>
      <c r="E55" s="47"/>
      <c r="F55" s="47"/>
      <c r="G55" s="48"/>
      <c r="H55" s="50"/>
      <c r="I55" s="47"/>
      <c r="J55" s="79">
        <f>IF(TR_4EndMarkets[[#This Row],[Lookup: material+market]]="",0,IF(COUNTIFS(TR_4EndMarkets[Lookup: material+market],TR_4EndMarkets[[#This Row],[Lookup: material+market]])&gt;1,1,0))</f>
        <v>0</v>
      </c>
      <c r="K55" s="79">
        <f>IF(OR(TR_4EndMarkets[[#This Row],[Material Reporting Category (End Market)]]="",TR_4EndMarkets[[#This Row],[End Market Name]]=""),0,IF(COUNTIFS(TL_EndMarketCheck[Reporting Category],TR_4EndMarkets[[#This Row],[Material Reporting Category (End Market)]],TL_EndMarketCheck[Market Name],TR_4EndMarkets[[#This Row],[End Market Name]])=1,0,1))</f>
        <v>0</v>
      </c>
      <c r="L55" s="79" t="str">
        <f>IF(TR_4EndMarkets[[#This Row],[Material Reporting Category (End Market)]]="","",(IFERROR(0*INDEX(TR_2SuppliedPounds[Supply Pounds To Use],MATCH(TR_4EndMarkets[[#This Row],[Material Reporting Category (End Market)]],TR_2SuppliedPounds[Material Reporting Category],0)),1)))</f>
        <v/>
      </c>
      <c r="M55" s="79">
        <f>IF(AND(TR_4EndMarkets[[#This Row],[Material Reporting Category (End Market)]]=0,TR_4EndMarkets[[#This Row],[End Market Name]]=0),0,IF(COUNTA(TR_4EndMarkets[[#This Row],[Material Reporting Category (End Market)]:[End Market Name]])=1,1,IF(TR_4EndMarkets[[#This Row],[End Market Name]]&lt;&gt;Lookups!$W$8,0,IF(COUNTA(TR_4EndMarkets[[#This Row],[Other End Market Name]:[End Market Documentation (Attestation Form)]])=6,0,1))))</f>
        <v>0</v>
      </c>
      <c r="N55" s="79">
        <f>IF(TR_4EndMarkets[[#This Row],[Material Reporting Category (End Market)]]&lt;&gt;"",0,IF(COUNTA(TR_4EndMarkets[[#This Row],[End Market Name]:[End Market Documentation (Attestation Form)]])&gt;0,1,0))</f>
        <v>0</v>
      </c>
      <c r="O55" s="77" t="str">
        <f>IF(OR(TR_4EndMarkets[[#This Row],[Material Reporting Category (End Market)]]=0,TR_4EndMarkets[[#This Row],[End Market Name]]=0),"",IF(TR_4EndMarkets[[#This Row],[End Market Name]]&lt;&gt;Lookups!$W$8,TR_4EndMarkets[[#This Row],[Material Reporting Category (End Market)]]&amp;" | "&amp;TR_4EndMarkets[[#This Row],[End Market Name]],TR_4EndMarkets[[#This Row],[Material Reporting Category (End Market)]]&amp;" | "&amp;TR_4EndMarkets[[#This Row],[Other End Market Name]]))</f>
        <v/>
      </c>
      <c r="P55" s="80" t="str">
        <f t="shared" si="1"/>
        <v/>
      </c>
      <c r="Q55" s="40"/>
    </row>
    <row r="56" spans="1:17" x14ac:dyDescent="0.2"/>
  </sheetData>
  <sheetProtection algorithmName="SHA-512" hashValue="cVp3QZLsQA2eRPQbaAXN/DDaFkHtXfS4hUuwKAz928Ewg+YL0l0C0DcQqRDel2ubkAga+57s+hqNWTcBUncVdQ==" saltValue="ZrHf5Zlj0sMdpZt6IHBQEA==" spinCount="100000" sheet="1" objects="1" scenarios="1" autoFilter="0"/>
  <conditionalFormatting sqref="A6:A55">
    <cfRule type="expression" dxfId="33" priority="1">
      <formula>$J6=1</formula>
    </cfRule>
  </conditionalFormatting>
  <conditionalFormatting sqref="B6:C55">
    <cfRule type="expression" dxfId="32" priority="2">
      <formula>$J6=1</formula>
    </cfRule>
  </conditionalFormatting>
  <conditionalFormatting sqref="C6:C55">
    <cfRule type="expression" dxfId="31" priority="37">
      <formula>$K6=1</formula>
    </cfRule>
    <cfRule type="expression" dxfId="30" priority="38">
      <formula>B6&lt;&gt;""</formula>
    </cfRule>
  </conditionalFormatting>
  <conditionalFormatting sqref="C6:I55">
    <cfRule type="expression" dxfId="29" priority="7">
      <formula>AND($B6="",C6&lt;&gt;"")</formula>
    </cfRule>
  </conditionalFormatting>
  <conditionalFormatting sqref="D6:I55">
    <cfRule type="expression" dxfId="28" priority="22">
      <formula>$C6="Other End Market (document)"</formula>
    </cfRule>
  </conditionalFormatting>
  <conditionalFormatting sqref="O6:O55">
    <cfRule type="expression" dxfId="27" priority="8">
      <formula>O6=""</formula>
    </cfRule>
    <cfRule type="duplicateValues" dxfId="26" priority="9"/>
  </conditionalFormatting>
  <dataValidations count="2">
    <dataValidation type="list" allowBlank="1" showInputMessage="1" showErrorMessage="1" sqref="B6:B55" xr:uid="{B979F55A-43C4-4AC4-BAD6-77F5535E3DBC}">
      <formula1>DR_MaterialsSupplied</formula1>
    </dataValidation>
    <dataValidation type="list" allowBlank="1" showInputMessage="1" showErrorMessage="1" sqref="C6:C55" xr:uid="{4123D234-6347-490F-8418-C6C4E31775AE}">
      <formula1>DL_Markets_UseList</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B106CA2C11604DBD6905309554CCDB" ma:contentTypeVersion="5" ma:contentTypeDescription="Create a new document." ma:contentTypeScope="" ma:versionID="1d019b096993553311a2b47d9cb3d4cd">
  <xsd:schema xmlns:xsd="http://www.w3.org/2001/XMLSchema" xmlns:xs="http://www.w3.org/2001/XMLSchema" xmlns:p="http://schemas.microsoft.com/office/2006/metadata/properties" xmlns:ns1="http://schemas.microsoft.com/sharepoint/v3" xmlns:ns2="dc18a3b2-3086-4ce2-b39d-ebd996d20923" xmlns:ns3="4d0624c3-f678-473a-aaed-aa14d03be472" targetNamespace="http://schemas.microsoft.com/office/2006/metadata/properties" ma:root="true" ma:fieldsID="a456ce34c370e4c3e5e53ffa9a2257cc" ns1:_="" ns2:_="" ns3:_="">
    <xsd:import namespace="http://schemas.microsoft.com/sharepoint/v3"/>
    <xsd:import namespace="dc18a3b2-3086-4ce2-b39d-ebd996d20923"/>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3:SharedWithUsers" minOccurs="0"/>
                <xsd:element ref="ns2:Third_x002d_Party_x0020_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18a3b2-3086-4ce2-b39d-ebd996d20923" elementFormDefault="qualified">
    <xsd:import namespace="http://schemas.microsoft.com/office/2006/documentManagement/types"/>
    <xsd:import namespace="http://schemas.microsoft.com/office/infopath/2007/PartnerControls"/>
    <xsd:element name="Tags" ma:index="10" nillable="true" ma:displayName="Tags" ma:internalName="Tags">
      <xsd:simpleType>
        <xsd:restriction base="dms:Text">
          <xsd:maxLength value="255"/>
        </xsd:restriction>
      </xsd:simpleType>
    </xsd:element>
    <xsd:element name="Document_x0020_Description" ma:index="11" nillable="true" ma:displayName="Document Description" ma:internalName="Document_x0020_Description">
      <xsd:simpleType>
        <xsd:restriction base="dms:Note">
          <xsd:maxLength value="255"/>
        </xsd:restriction>
      </xsd:simpleType>
    </xsd:element>
    <xsd:element name="Third_x002d_Party_x0020_Doc" ma:index="13" nillable="true" ma:displayName="Third-Party Doc" ma:default="Unspecified" ma:format="Dropdown" ma:internalName="Third_x002d_Party_x0020_Doc">
      <xsd:simpleType>
        <xsd:restriction base="dms:Choice">
          <xsd:enumeration value="Unspecified"/>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Description xmlns="dc18a3b2-3086-4ce2-b39d-ebd996d20923" xsi:nil="true"/>
    <PublishingExpirationDate xmlns="http://schemas.microsoft.com/sharepoint/v3" xsi:nil="true"/>
    <Tags xmlns="dc18a3b2-3086-4ce2-b39d-ebd996d20923" xsi:nil="true"/>
    <PublishingStartDate xmlns="http://schemas.microsoft.com/sharepoint/v3" xsi:nil="true"/>
    <Third_x002d_Party_x0020_Doc xmlns="dc18a3b2-3086-4ce2-b39d-ebd996d20923">Unspecified</Third_x002d_Party_x0020_Do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653247-5A85-4FC1-BD97-C5B381323357}"/>
</file>

<file path=customXml/itemProps2.xml><?xml version="1.0" encoding="utf-8"?>
<ds:datastoreItem xmlns:ds="http://schemas.openxmlformats.org/officeDocument/2006/customXml" ds:itemID="{6A5E2098-5203-49BF-A9FE-5D588A3F241B}">
  <ds:schemaRefs>
    <ds:schemaRef ds:uri="http://purl.org/dc/elements/1.1/"/>
    <ds:schemaRef ds:uri="http://schemas.openxmlformats.org/package/2006/metadata/core-properties"/>
    <ds:schemaRef ds:uri="http://schemas.microsoft.com/sharepoint/v3"/>
    <ds:schemaRef ds:uri="http://purl.org/dc/terms/"/>
    <ds:schemaRef ds:uri="http://purl.org/dc/dcmitype/"/>
    <ds:schemaRef ds:uri="15c1caa5-6203-41e3-913c-fa18196081b2"/>
    <ds:schemaRef ds:uri="http://schemas.microsoft.com/office/2006/documentManagement/types"/>
    <ds:schemaRef ds:uri="http://www.w3.org/XML/1998/namespace"/>
    <ds:schemaRef ds:uri="http://schemas.microsoft.com/office/infopath/2007/PartnerControls"/>
    <ds:schemaRef ds:uri="0dfb167d-eb1f-499d-9760-8b378fb3c719"/>
    <ds:schemaRef ds:uri="http://schemas.microsoft.com/office/2006/metadata/properties"/>
  </ds:schemaRefs>
</ds:datastoreItem>
</file>

<file path=customXml/itemProps3.xml><?xml version="1.0" encoding="utf-8"?>
<ds:datastoreItem xmlns:ds="http://schemas.openxmlformats.org/officeDocument/2006/customXml" ds:itemID="{AD295965-CD2D-418A-BE6B-00E161095E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0 Start Here</vt:lpstr>
      <vt:lpstr>1A Producer</vt:lpstr>
      <vt:lpstr>1B Producer</vt:lpstr>
      <vt:lpstr>2A Supply</vt:lpstr>
      <vt:lpstr>2B Supply</vt:lpstr>
      <vt:lpstr>3A Collector</vt:lpstr>
      <vt:lpstr>3B Collector</vt:lpstr>
      <vt:lpstr>4A End Market</vt:lpstr>
      <vt:lpstr>4B End Market</vt:lpstr>
      <vt:lpstr>5A Exemption</vt:lpstr>
      <vt:lpstr>5B Exemption</vt:lpstr>
      <vt:lpstr>6A Arranger</vt:lpstr>
      <vt:lpstr>6B Arranger</vt:lpstr>
      <vt:lpstr>7 Summary</vt:lpstr>
      <vt:lpstr>Lookups</vt:lpstr>
      <vt:lpstr>A_Backhaul_or_self_haul</vt:lpstr>
      <vt:lpstr>A_CRPF</vt:lpstr>
      <vt:lpstr>A_Full_Active</vt:lpstr>
      <vt:lpstr>A_Limited_Active</vt:lpstr>
      <vt:lpstr>A_No</vt:lpstr>
      <vt:lpstr>A_Non_OTR_Service_Provider</vt:lpstr>
      <vt:lpstr>A_Not_a_CRPF</vt:lpstr>
      <vt:lpstr>A_Other_Printed_Materials</vt:lpstr>
      <vt:lpstr>A_OTR_Service_Provider</vt:lpstr>
      <vt:lpstr>A_Paper_for_General_Use</vt:lpstr>
      <vt:lpstr>A_Yes</vt:lpstr>
      <vt:lpstr>DL_ClaimType</vt:lpstr>
      <vt:lpstr>DL_CollectorType</vt:lpstr>
      <vt:lpstr>DL_CRPFs</vt:lpstr>
      <vt:lpstr>DL_PaperTypes</vt:lpstr>
      <vt:lpstr>DL_ReportingCategory</vt:lpstr>
      <vt:lpstr>DL_YesOrNo</vt:lpstr>
      <vt:lpstr>DR_CollectionProvider</vt:lpstr>
      <vt:lpstr>DR_EndMarket</vt:lpstr>
      <vt:lpstr>DR_ID_R_Discarder</vt:lpstr>
      <vt:lpstr>DR_MaterialsSupplied</vt:lpstr>
      <vt:lpstr>DR_ProducerID</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Product Exemptions Claim Form ORS 459A.869(13)</dc:title>
  <dc:subject/>
  <dc:creator>jessica@cascadiaconsulting.com</dc:creator>
  <cp:keywords/>
  <dc:description/>
  <cp:lastModifiedBy>Jessica Branom-Zwick</cp:lastModifiedBy>
  <cp:revision/>
  <dcterms:created xsi:type="dcterms:W3CDTF">2025-01-06T22:52:00Z</dcterms:created>
  <dcterms:modified xsi:type="dcterms:W3CDTF">2025-02-06T20:53:42Z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2025-01-06T23:09:16Z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08a09a0a-c216-4688-959a-206ac72871bc</vt:lpwstr>
  </property>
  <property fmtid="{D5CDD505-2E9C-101B-9397-08002B2CF9AE}" pid="8" name="MSIP_Label_09b73270-2993-4076-be47-9c78f42a1e84_ContentBits">
    <vt:lpwstr>0</vt:lpwstr>
  </property>
  <property fmtid="{D5CDD505-2E9C-101B-9397-08002B2CF9AE}" pid="9" name="ContentTypeId">
    <vt:lpwstr>0x0101001EB106CA2C11604DBD6905309554CCDB</vt:lpwstr>
  </property>
  <property fmtid="{D5CDD505-2E9C-101B-9397-08002B2CF9AE}" pid="10" name="MediaServiceImageTags">
    <vt:lpwstr/>
  </property>
</Properties>
</file>