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J:\!PROGRAMS-SOLID-WASTE-(PSW)\RecoveryRates\Data Analysis - CONFIDENTIAL\2022 Rates\2022 MRWG Rates Report\"/>
    </mc:Choice>
  </mc:AlternateContent>
  <xr:revisionPtr revIDLastSave="0" documentId="13_ncr:1_{B04BB798-53B5-413F-9153-506CB5FC4D34}" xr6:coauthVersionLast="47" xr6:coauthVersionMax="47" xr10:uidLastSave="{00000000-0000-0000-0000-000000000000}"/>
  <workbookProtection workbookAlgorithmName="SHA-512" workbookHashValue="D1UndFnm8qSFlIOI9nttltvpEIA2IE541tnBi8jqU82k5EjthPG0GylHlLspCqCdGz9dPDAVnlW2OrWEGuwweA==" workbookSaltValue="QyccQGFFbZauw+25bxxjjA==" workbookSpinCount="100000" lockStructure="1"/>
  <bookViews>
    <workbookView xWindow="28680" yWindow="-120" windowWidth="29040" windowHeight="16440" xr2:uid="{00000000-000D-0000-FFFF-FFFF00000000}"/>
  </bookViews>
  <sheets>
    <sheet name="Cover Page" sheetId="16" r:id="rId1"/>
    <sheet name="Table 1" sheetId="1" r:id="rId2"/>
    <sheet name="Table 2" sheetId="2" r:id="rId3"/>
    <sheet name="Table 3" sheetId="15" r:id="rId4"/>
    <sheet name="Table 4" sheetId="4" r:id="rId5"/>
    <sheet name="Table 5" sheetId="5" r:id="rId6"/>
    <sheet name="Table 6" sheetId="6" r:id="rId7"/>
    <sheet name="Table 7" sheetId="7" r:id="rId8"/>
    <sheet name="Table 8" sheetId="8" r:id="rId9"/>
    <sheet name="Table 9" sheetId="9" r:id="rId10"/>
  </sheets>
  <definedNames>
    <definedName name="Disposition96">'Table 9'!$A$3:$I$38</definedName>
    <definedName name="_xlnm.Print_Area" localSheetId="1">'Table 1'!$A$1:$G$51</definedName>
    <definedName name="_xlnm.Print_Area" localSheetId="2">'Table 2'!$A$1:$D$49</definedName>
    <definedName name="_xlnm.Print_Area" localSheetId="3">'Table 3'!$A$1:$D$49</definedName>
    <definedName name="_xlnm.Print_Area" localSheetId="4">'Table 4'!$A$1:$AF$46</definedName>
    <definedName name="_xlnm.Print_Area" localSheetId="5">'Table 5'!$A$1:$BL$47</definedName>
    <definedName name="_xlnm.Print_Area" localSheetId="6">'Table 6'!$A$1:$BL$48</definedName>
    <definedName name="_xlnm.Print_Area" localSheetId="7">'Table 7'!$A$1:$BL$45</definedName>
    <definedName name="_xlnm.Print_Area" localSheetId="8">'Table 8'!$A$1:$AF$77</definedName>
    <definedName name="_xlnm.Print_Area" localSheetId="9">'Table 9'!$A$1:$J$40</definedName>
    <definedName name="_xlnm.Print_Titles" localSheetId="8">'Table 8'!$3:$4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 l="1"/>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BI45" i="5"/>
  <c r="BH44" i="5"/>
  <c r="BI42" i="7" l="1"/>
  <c r="BI41" i="7"/>
  <c r="BH41" i="7"/>
  <c r="BI40" i="7"/>
  <c r="BH40" i="7"/>
  <c r="BI39" i="7"/>
  <c r="BH39" i="7"/>
  <c r="BI38" i="7"/>
  <c r="BH38" i="7"/>
  <c r="BI37" i="7"/>
  <c r="BH37" i="7"/>
  <c r="BI36" i="7"/>
  <c r="BH36" i="7"/>
  <c r="BI35" i="7"/>
  <c r="BH35" i="7"/>
  <c r="BI34" i="7"/>
  <c r="BH34" i="7"/>
  <c r="BI33" i="7"/>
  <c r="BH33" i="7"/>
  <c r="BI32" i="7"/>
  <c r="BH32" i="7"/>
  <c r="BI31" i="7"/>
  <c r="BH31" i="7"/>
  <c r="BI30" i="7"/>
  <c r="BH30" i="7"/>
  <c r="BI29" i="7"/>
  <c r="BH29" i="7"/>
  <c r="BI28" i="7"/>
  <c r="BH28" i="7"/>
  <c r="BI27" i="7"/>
  <c r="BH27" i="7"/>
  <c r="BI26" i="7"/>
  <c r="BH26" i="7"/>
  <c r="BI25" i="7"/>
  <c r="BH25" i="7"/>
  <c r="BI24" i="7"/>
  <c r="BH24" i="7"/>
  <c r="BI23" i="7"/>
  <c r="BH23" i="7"/>
  <c r="BI22" i="7"/>
  <c r="BH22" i="7"/>
  <c r="BI21" i="7"/>
  <c r="BH21" i="7"/>
  <c r="BI20" i="7"/>
  <c r="BH20" i="7"/>
  <c r="BI19" i="7"/>
  <c r="BH19" i="7"/>
  <c r="BI18" i="7"/>
  <c r="BH18" i="7"/>
  <c r="BI17" i="7"/>
  <c r="BH17" i="7"/>
  <c r="BI16" i="7"/>
  <c r="BH16" i="7"/>
  <c r="BI15" i="7"/>
  <c r="BH15" i="7"/>
  <c r="BI14" i="7"/>
  <c r="BH14" i="7"/>
  <c r="BI13" i="7"/>
  <c r="BH13" i="7"/>
  <c r="BI12" i="7"/>
  <c r="BH12" i="7"/>
  <c r="BI11" i="7"/>
  <c r="BH11" i="7"/>
  <c r="BI10" i="7"/>
  <c r="BH10" i="7"/>
  <c r="BI9" i="7"/>
  <c r="BH9" i="7"/>
  <c r="BI8" i="7"/>
  <c r="BH8" i="7"/>
  <c r="BI7" i="7"/>
  <c r="BH7" i="7"/>
  <c r="BI45" i="6"/>
  <c r="BH43" i="6"/>
  <c r="BH42" i="7" l="1"/>
  <c r="BD7" i="7" l="1"/>
  <c r="BE7" i="7"/>
  <c r="BD8" i="7"/>
  <c r="BE8" i="7"/>
  <c r="BD9" i="7"/>
  <c r="BE9" i="7"/>
  <c r="BD10" i="7"/>
  <c r="BE10" i="7"/>
  <c r="BD11" i="7"/>
  <c r="BE11" i="7"/>
  <c r="BD12" i="7"/>
  <c r="BE12" i="7"/>
  <c r="BD13" i="7"/>
  <c r="BE13" i="7"/>
  <c r="BD14" i="7"/>
  <c r="BE14" i="7"/>
  <c r="BD15" i="7"/>
  <c r="BE15" i="7"/>
  <c r="BD16" i="7"/>
  <c r="BE16" i="7"/>
  <c r="BD17" i="7"/>
  <c r="BE17" i="7"/>
  <c r="BD18" i="7"/>
  <c r="BE18" i="7"/>
  <c r="BD19" i="7"/>
  <c r="BE19" i="7"/>
  <c r="BD20" i="7"/>
  <c r="BE20" i="7"/>
  <c r="BD21" i="7"/>
  <c r="BE21" i="7"/>
  <c r="BD22" i="7"/>
  <c r="BE22" i="7"/>
  <c r="BD23" i="7"/>
  <c r="BE23" i="7"/>
  <c r="BD24" i="7"/>
  <c r="BE24" i="7"/>
  <c r="BD25" i="7"/>
  <c r="BE25" i="7"/>
  <c r="BD26" i="7"/>
  <c r="BE26" i="7"/>
  <c r="BD27" i="7"/>
  <c r="BE27" i="7"/>
  <c r="BD28" i="7"/>
  <c r="BE28" i="7"/>
  <c r="BD29" i="7"/>
  <c r="BE29" i="7"/>
  <c r="BD30" i="7"/>
  <c r="BE30" i="7"/>
  <c r="BD31" i="7"/>
  <c r="BE31" i="7"/>
  <c r="BD32" i="7"/>
  <c r="BE32" i="7"/>
  <c r="BD33" i="7"/>
  <c r="BE33" i="7"/>
  <c r="BD34" i="7"/>
  <c r="BE34" i="7"/>
  <c r="BD35" i="7"/>
  <c r="BE35" i="7"/>
  <c r="BD36" i="7"/>
  <c r="BE36" i="7"/>
  <c r="BD37" i="7"/>
  <c r="BE37" i="7"/>
  <c r="BD38" i="7"/>
  <c r="BE38" i="7"/>
  <c r="BD39" i="7"/>
  <c r="BE39" i="7"/>
  <c r="BD40" i="7"/>
  <c r="BE40" i="7"/>
  <c r="BD41" i="7"/>
  <c r="BE41" i="7"/>
  <c r="BB43" i="6" l="1"/>
  <c r="AZ43" i="5" l="1"/>
  <c r="BD43" i="6" l="1"/>
  <c r="BB43" i="5"/>
  <c r="BD43" i="5" l="1"/>
  <c r="D43" i="6"/>
  <c r="H43" i="5"/>
  <c r="H43" i="6"/>
  <c r="H42" i="7"/>
  <c r="P42" i="7"/>
  <c r="P43" i="6"/>
  <c r="P43" i="5"/>
  <c r="D43" i="15" l="1"/>
  <c r="BJ41" i="6"/>
  <c r="BJ37" i="6"/>
  <c r="BJ36" i="6"/>
  <c r="BJ34" i="6"/>
  <c r="BJ33" i="6"/>
  <c r="BJ32" i="6"/>
  <c r="BJ31" i="6"/>
  <c r="BJ8" i="6"/>
  <c r="BJ9" i="6"/>
  <c r="BJ10" i="6"/>
  <c r="BJ12" i="6"/>
  <c r="BJ14" i="6"/>
  <c r="BJ15" i="6"/>
  <c r="BJ16" i="6"/>
  <c r="BJ17" i="6"/>
  <c r="BJ18" i="6"/>
  <c r="BJ19" i="6"/>
  <c r="BJ20" i="6"/>
  <c r="BJ22" i="6"/>
  <c r="BJ25" i="6"/>
  <c r="BJ26" i="6"/>
  <c r="BJ27" i="6"/>
  <c r="BJ28" i="6"/>
  <c r="BJ7" i="6"/>
  <c r="BJ30" i="6"/>
  <c r="B30" i="1" l="1"/>
  <c r="C29" i="15"/>
  <c r="BK30" i="6" s="1"/>
  <c r="BL30" i="6" s="1"/>
  <c r="C23" i="15"/>
  <c r="BK24" i="6" s="1"/>
  <c r="BL24" i="6" s="1"/>
  <c r="BJ24" i="6"/>
  <c r="C37" i="15"/>
  <c r="BK38" i="6" s="1"/>
  <c r="BL38" i="6" s="1"/>
  <c r="BJ38" i="6"/>
  <c r="C22" i="15"/>
  <c r="BK23" i="6" s="1"/>
  <c r="BL23" i="6" s="1"/>
  <c r="BJ23" i="6"/>
  <c r="C38" i="15"/>
  <c r="BK39" i="6" s="1"/>
  <c r="BL39" i="6" s="1"/>
  <c r="BJ39" i="6"/>
  <c r="C39" i="15"/>
  <c r="BK40" i="6" s="1"/>
  <c r="BL40" i="6" s="1"/>
  <c r="BJ40" i="6"/>
  <c r="C20" i="15"/>
  <c r="BK21" i="6" s="1"/>
  <c r="BL21" i="6" s="1"/>
  <c r="BJ21" i="6"/>
  <c r="C10" i="15"/>
  <c r="BK11" i="6" s="1"/>
  <c r="BL11" i="6" s="1"/>
  <c r="BJ11" i="6"/>
  <c r="C34" i="15"/>
  <c r="BK35" i="6" s="1"/>
  <c r="BL35" i="6" s="1"/>
  <c r="BJ35" i="6"/>
  <c r="C12" i="15"/>
  <c r="BK13" i="6" s="1"/>
  <c r="BL13" i="6" s="1"/>
  <c r="BJ13" i="6"/>
  <c r="C32" i="15"/>
  <c r="BK33" i="6" s="1"/>
  <c r="BL33" i="6" s="1"/>
  <c r="B33" i="1"/>
  <c r="B7" i="1"/>
  <c r="B28" i="1"/>
  <c r="C11" i="15"/>
  <c r="BK12" i="6" s="1"/>
  <c r="BL12" i="6" s="1"/>
  <c r="B12" i="1"/>
  <c r="B34" i="1"/>
  <c r="C18" i="15"/>
  <c r="BK19" i="6" s="1"/>
  <c r="BL19" i="6" s="1"/>
  <c r="B19" i="1"/>
  <c r="C6" i="15"/>
  <c r="BK7" i="6" s="1"/>
  <c r="BL7" i="6" s="1"/>
  <c r="B26" i="1"/>
  <c r="C17" i="15"/>
  <c r="BK18" i="6" s="1"/>
  <c r="BL18" i="6" s="1"/>
  <c r="B18" i="1"/>
  <c r="C9" i="15"/>
  <c r="BK10" i="6" s="1"/>
  <c r="BL10" i="6" s="1"/>
  <c r="B10" i="1"/>
  <c r="B36" i="1"/>
  <c r="C33" i="15"/>
  <c r="BK34" i="6" s="1"/>
  <c r="BL34" i="6" s="1"/>
  <c r="C25" i="15"/>
  <c r="BK26" i="6" s="1"/>
  <c r="BL26" i="6" s="1"/>
  <c r="C27" i="15"/>
  <c r="BK28" i="6" s="1"/>
  <c r="BL28" i="6" s="1"/>
  <c r="B21" i="1"/>
  <c r="B20" i="1"/>
  <c r="C24" i="15"/>
  <c r="BK25" i="6" s="1"/>
  <c r="BL25" i="6" s="1"/>
  <c r="B25" i="1"/>
  <c r="C16" i="15"/>
  <c r="BK17" i="6" s="1"/>
  <c r="BL17" i="6" s="1"/>
  <c r="B17" i="1"/>
  <c r="B9" i="1"/>
  <c r="C36" i="15"/>
  <c r="BK37" i="6" s="1"/>
  <c r="BL37" i="6" s="1"/>
  <c r="B37" i="1"/>
  <c r="C19" i="15"/>
  <c r="BK20" i="6" s="1"/>
  <c r="BL20" i="6" s="1"/>
  <c r="B11" i="1"/>
  <c r="B16" i="1"/>
  <c r="B8" i="1"/>
  <c r="B38" i="1"/>
  <c r="C15" i="15"/>
  <c r="BK16" i="6" s="1"/>
  <c r="BL16" i="6" s="1"/>
  <c r="C40" i="15"/>
  <c r="BK41" i="6" s="1"/>
  <c r="BL41" i="6" s="1"/>
  <c r="B41" i="1"/>
  <c r="B35" i="1"/>
  <c r="B23" i="1"/>
  <c r="B15" i="1"/>
  <c r="B31" i="1"/>
  <c r="C30" i="15"/>
  <c r="BK31" i="6" s="1"/>
  <c r="BL31" i="6" s="1"/>
  <c r="B39" i="1"/>
  <c r="C14" i="15"/>
  <c r="BK15" i="6" s="1"/>
  <c r="BL15" i="6" s="1"/>
  <c r="C8" i="15"/>
  <c r="BK9" i="6" s="1"/>
  <c r="BL9" i="6" s="1"/>
  <c r="B13" i="1"/>
  <c r="B27" i="1"/>
  <c r="C26" i="15"/>
  <c r="BK27" i="6" s="1"/>
  <c r="BL27" i="6" s="1"/>
  <c r="B24" i="1"/>
  <c r="B22" i="1"/>
  <c r="C21" i="15"/>
  <c r="BK22" i="6" s="1"/>
  <c r="BL22" i="6" s="1"/>
  <c r="B14" i="1"/>
  <c r="B32" i="1"/>
  <c r="C31" i="15"/>
  <c r="BK32" i="6" s="1"/>
  <c r="BL32" i="6" s="1"/>
  <c r="B40" i="1"/>
  <c r="C13" i="15"/>
  <c r="BK14" i="6" s="1"/>
  <c r="BL14" i="6" s="1"/>
  <c r="C35" i="15"/>
  <c r="BK36" i="6" s="1"/>
  <c r="BL36" i="6" s="1"/>
  <c r="C7" i="15"/>
  <c r="BK8" i="6" s="1"/>
  <c r="BL8" i="6" s="1"/>
  <c r="BF43" i="6" l="1"/>
  <c r="BH44" i="6" s="1"/>
  <c r="B29" i="1" l="1"/>
  <c r="C28" i="15"/>
  <c r="BK29" i="6" s="1"/>
  <c r="BL29" i="6" s="1"/>
  <c r="B43" i="15"/>
  <c r="BJ29" i="6"/>
  <c r="BJ43" i="6" s="1"/>
  <c r="BF44" i="6"/>
  <c r="BE45" i="6"/>
  <c r="BD44" i="6"/>
  <c r="BC45" i="5"/>
  <c r="BB44" i="5"/>
  <c r="BE45" i="5"/>
  <c r="BD44" i="5"/>
  <c r="BJ44" i="6" l="1"/>
  <c r="C43" i="15"/>
  <c r="BK43" i="6" s="1"/>
  <c r="BL43" i="6" s="1"/>
  <c r="BE42" i="7"/>
  <c r="BK45" i="6" l="1"/>
  <c r="BD42" i="7"/>
  <c r="BC42" i="7" l="1"/>
  <c r="BE44" i="7" s="1"/>
  <c r="BC41" i="7"/>
  <c r="BB41" i="7"/>
  <c r="BC40" i="7"/>
  <c r="BB40" i="7"/>
  <c r="BC39" i="7"/>
  <c r="BB39" i="7"/>
  <c r="BC38" i="7"/>
  <c r="BB38" i="7"/>
  <c r="BC37" i="7"/>
  <c r="BB37" i="7"/>
  <c r="BC36" i="7"/>
  <c r="BB36" i="7"/>
  <c r="BC35" i="7"/>
  <c r="BB35" i="7"/>
  <c r="BC34" i="7"/>
  <c r="BB34" i="7"/>
  <c r="BC33" i="7"/>
  <c r="BB33" i="7"/>
  <c r="BC32" i="7"/>
  <c r="BB32" i="7"/>
  <c r="BC31" i="7"/>
  <c r="BB31" i="7"/>
  <c r="BC30" i="7"/>
  <c r="BB30" i="7"/>
  <c r="BC29" i="7"/>
  <c r="BB29" i="7"/>
  <c r="BC28" i="7"/>
  <c r="BB28" i="7"/>
  <c r="BC27" i="7"/>
  <c r="BB27" i="7"/>
  <c r="BC26" i="7"/>
  <c r="BB26" i="7"/>
  <c r="BC25" i="7"/>
  <c r="BB25" i="7"/>
  <c r="BC24" i="7"/>
  <c r="BB24" i="7"/>
  <c r="BC23" i="7"/>
  <c r="BB23" i="7"/>
  <c r="BC22" i="7"/>
  <c r="BB22" i="7"/>
  <c r="BC21" i="7"/>
  <c r="BB21" i="7"/>
  <c r="BC20" i="7"/>
  <c r="BB20" i="7"/>
  <c r="BC19" i="7"/>
  <c r="BB19" i="7"/>
  <c r="BC18" i="7"/>
  <c r="BB18" i="7"/>
  <c r="BC17" i="7"/>
  <c r="BB17" i="7"/>
  <c r="BC16" i="7"/>
  <c r="BB16" i="7"/>
  <c r="BC15" i="7"/>
  <c r="BB15" i="7"/>
  <c r="BC14" i="7"/>
  <c r="BB14" i="7"/>
  <c r="BC13" i="7"/>
  <c r="BB13" i="7"/>
  <c r="BC12" i="7"/>
  <c r="BB12" i="7"/>
  <c r="BC11" i="7"/>
  <c r="BB11" i="7"/>
  <c r="BC10" i="7"/>
  <c r="BB10" i="7"/>
  <c r="BC9" i="7"/>
  <c r="BB9" i="7"/>
  <c r="BC8" i="7"/>
  <c r="BB8" i="7"/>
  <c r="BC7" i="7"/>
  <c r="BB7" i="7"/>
  <c r="BC45" i="6"/>
  <c r="BB42" i="7" l="1"/>
  <c r="BA45" i="5"/>
  <c r="BD43" i="7" l="1"/>
  <c r="X68" i="8"/>
  <c r="BA45" i="6" l="1"/>
  <c r="AZ43" i="6" l="1"/>
  <c r="BB44" i="6" s="1"/>
  <c r="AZ13" i="7" l="1"/>
  <c r="AZ19" i="7"/>
  <c r="AZ25" i="7"/>
  <c r="AZ27" i="7"/>
  <c r="AZ33" i="7"/>
  <c r="AZ39" i="7"/>
  <c r="BA23" i="7"/>
  <c r="BA31" i="7"/>
  <c r="BA39" i="7"/>
  <c r="AZ11" i="7"/>
  <c r="AZ17" i="7"/>
  <c r="AZ21" i="7"/>
  <c r="AZ29" i="7"/>
  <c r="AZ35" i="7"/>
  <c r="AZ41" i="7"/>
  <c r="AZ8" i="7"/>
  <c r="AZ10" i="7"/>
  <c r="AZ12" i="7"/>
  <c r="AZ14" i="7"/>
  <c r="AZ16" i="7"/>
  <c r="AZ18" i="7"/>
  <c r="AZ20" i="7"/>
  <c r="AZ22" i="7"/>
  <c r="AZ24" i="7"/>
  <c r="AZ26" i="7"/>
  <c r="AZ28" i="7"/>
  <c r="AZ30" i="7"/>
  <c r="AZ32" i="7"/>
  <c r="AZ34" i="7"/>
  <c r="AZ36" i="7"/>
  <c r="AZ38" i="7"/>
  <c r="AZ40" i="7"/>
  <c r="AZ9" i="7"/>
  <c r="AZ15" i="7"/>
  <c r="AZ23" i="7"/>
  <c r="AZ31" i="7"/>
  <c r="AZ37" i="7"/>
  <c r="BA7" i="7"/>
  <c r="BA8" i="7"/>
  <c r="BA10" i="7"/>
  <c r="BA12" i="7"/>
  <c r="BA14" i="7"/>
  <c r="BA16" i="7"/>
  <c r="BA18" i="7"/>
  <c r="BA20" i="7"/>
  <c r="BA22" i="7"/>
  <c r="BA24" i="7"/>
  <c r="BA26" i="7"/>
  <c r="BA28" i="7"/>
  <c r="BA30" i="7"/>
  <c r="BA32" i="7"/>
  <c r="BA34" i="7"/>
  <c r="BA36" i="7"/>
  <c r="BA38" i="7"/>
  <c r="BA40" i="7"/>
  <c r="AZ7" i="7"/>
  <c r="BA35" i="7"/>
  <c r="BA27" i="7"/>
  <c r="BA19" i="7"/>
  <c r="BA11" i="7"/>
  <c r="BA15" i="7"/>
  <c r="BA41" i="7"/>
  <c r="BA37" i="7"/>
  <c r="BA33" i="7"/>
  <c r="BA29" i="7"/>
  <c r="BA25" i="7"/>
  <c r="BA21" i="7"/>
  <c r="BA17" i="7"/>
  <c r="BA13" i="7"/>
  <c r="BA9" i="7"/>
  <c r="BA42" i="7"/>
  <c r="BC44" i="7" l="1"/>
  <c r="AZ42" i="7"/>
  <c r="BB43" i="7" l="1"/>
  <c r="BJ7" i="5" l="1"/>
  <c r="BJ8" i="5"/>
  <c r="BJ9" i="5"/>
  <c r="BJ10" i="5"/>
  <c r="BJ11" i="5"/>
  <c r="BJ12" i="5"/>
  <c r="BJ13" i="5"/>
  <c r="BJ14" i="5"/>
  <c r="BJ15" i="5"/>
  <c r="BJ16" i="5"/>
  <c r="BJ17" i="5"/>
  <c r="BJ18" i="5"/>
  <c r="BJ19" i="5"/>
  <c r="BJ20" i="5"/>
  <c r="BJ21" i="5"/>
  <c r="BJ22" i="5"/>
  <c r="BJ23" i="5"/>
  <c r="BJ25" i="5"/>
  <c r="BJ26" i="5"/>
  <c r="BJ27" i="5"/>
  <c r="BJ28" i="5"/>
  <c r="BJ29" i="5"/>
  <c r="BJ31" i="5"/>
  <c r="BJ32" i="5"/>
  <c r="BJ33" i="5"/>
  <c r="BJ34" i="5"/>
  <c r="BJ35" i="5"/>
  <c r="BJ36" i="5"/>
  <c r="BJ37" i="5"/>
  <c r="BJ38" i="5"/>
  <c r="BJ39" i="5"/>
  <c r="BJ40" i="5"/>
  <c r="AX43" i="5"/>
  <c r="V68" i="8"/>
  <c r="T7" i="8"/>
  <c r="T13" i="8"/>
  <c r="T22" i="8"/>
  <c r="T38" i="8"/>
  <c r="T61" i="8"/>
  <c r="T66" i="8"/>
  <c r="AN43" i="5"/>
  <c r="AP43" i="5"/>
  <c r="AV43" i="5"/>
  <c r="AY45" i="6"/>
  <c r="AY42" i="7"/>
  <c r="BA44" i="7" s="1"/>
  <c r="AY41" i="7"/>
  <c r="AX41" i="7"/>
  <c r="AY40" i="7"/>
  <c r="AX40" i="7"/>
  <c r="AY39" i="7"/>
  <c r="AX39" i="7"/>
  <c r="AY38" i="7"/>
  <c r="AX38" i="7"/>
  <c r="AY37" i="7"/>
  <c r="AX37" i="7"/>
  <c r="AY36" i="7"/>
  <c r="AX36" i="7"/>
  <c r="AY35" i="7"/>
  <c r="AX35" i="7"/>
  <c r="AY34" i="7"/>
  <c r="AX34" i="7"/>
  <c r="AY33" i="7"/>
  <c r="AX33" i="7"/>
  <c r="AY32" i="7"/>
  <c r="AX32" i="7"/>
  <c r="AY31" i="7"/>
  <c r="AX31" i="7"/>
  <c r="AY30" i="7"/>
  <c r="AX30" i="7"/>
  <c r="AY29" i="7"/>
  <c r="AX29" i="7"/>
  <c r="AY28" i="7"/>
  <c r="AX28" i="7"/>
  <c r="AY27" i="7"/>
  <c r="AX27" i="7"/>
  <c r="AY26" i="7"/>
  <c r="AX26" i="7"/>
  <c r="AY25" i="7"/>
  <c r="AX25" i="7"/>
  <c r="AY24" i="7"/>
  <c r="AX24" i="7"/>
  <c r="AY23" i="7"/>
  <c r="AX23" i="7"/>
  <c r="AY22" i="7"/>
  <c r="AX22" i="7"/>
  <c r="AY21" i="7"/>
  <c r="AX21" i="7"/>
  <c r="AY20" i="7"/>
  <c r="AX20" i="7"/>
  <c r="AY19" i="7"/>
  <c r="AX19" i="7"/>
  <c r="AY18" i="7"/>
  <c r="AX18" i="7"/>
  <c r="AY17" i="7"/>
  <c r="AX17" i="7"/>
  <c r="AY16" i="7"/>
  <c r="AX16" i="7"/>
  <c r="AY15" i="7"/>
  <c r="AX15" i="7"/>
  <c r="AY14" i="7"/>
  <c r="AX14" i="7"/>
  <c r="AY13" i="7"/>
  <c r="AX13" i="7"/>
  <c r="AY12" i="7"/>
  <c r="AX12" i="7"/>
  <c r="AY11" i="7"/>
  <c r="AX11" i="7"/>
  <c r="AY10" i="7"/>
  <c r="AX10" i="7"/>
  <c r="AY9" i="7"/>
  <c r="AX9" i="7"/>
  <c r="AY8" i="7"/>
  <c r="AX8" i="7"/>
  <c r="AY7" i="7"/>
  <c r="AX7" i="7"/>
  <c r="AX43" i="6"/>
  <c r="AZ44" i="6" s="1"/>
  <c r="AY45" i="5"/>
  <c r="AW45" i="6"/>
  <c r="AW45" i="5"/>
  <c r="AW42" i="7"/>
  <c r="AW41" i="7"/>
  <c r="AV41" i="7"/>
  <c r="AW40" i="7"/>
  <c r="AV40" i="7"/>
  <c r="AW39" i="7"/>
  <c r="AV39" i="7"/>
  <c r="AW38" i="7"/>
  <c r="AV38" i="7"/>
  <c r="AW37" i="7"/>
  <c r="AV37" i="7"/>
  <c r="AW36" i="7"/>
  <c r="AV36" i="7"/>
  <c r="AW35" i="7"/>
  <c r="AV35" i="7"/>
  <c r="AW34" i="7"/>
  <c r="AV34" i="7"/>
  <c r="AW33" i="7"/>
  <c r="AV33" i="7"/>
  <c r="AW32" i="7"/>
  <c r="AV32" i="7"/>
  <c r="AW31" i="7"/>
  <c r="AV31" i="7"/>
  <c r="AW30" i="7"/>
  <c r="AV30" i="7"/>
  <c r="AW29" i="7"/>
  <c r="AV29" i="7"/>
  <c r="AW28" i="7"/>
  <c r="AV28" i="7"/>
  <c r="AW27" i="7"/>
  <c r="AV27" i="7"/>
  <c r="AW26" i="7"/>
  <c r="AV26" i="7"/>
  <c r="AW25" i="7"/>
  <c r="AV25" i="7"/>
  <c r="AW24" i="7"/>
  <c r="AV24" i="7"/>
  <c r="AW23" i="7"/>
  <c r="AV23" i="7"/>
  <c r="AW22" i="7"/>
  <c r="AV22" i="7"/>
  <c r="AW21" i="7"/>
  <c r="AV21" i="7"/>
  <c r="AW20" i="7"/>
  <c r="AV20" i="7"/>
  <c r="AW19" i="7"/>
  <c r="AV19" i="7"/>
  <c r="AW18" i="7"/>
  <c r="AV18" i="7"/>
  <c r="AW17" i="7"/>
  <c r="AV17" i="7"/>
  <c r="AW16" i="7"/>
  <c r="AV16" i="7"/>
  <c r="AW15" i="7"/>
  <c r="AV15" i="7"/>
  <c r="AW14" i="7"/>
  <c r="AV14" i="7"/>
  <c r="AW13" i="7"/>
  <c r="AV13" i="7"/>
  <c r="AW12" i="7"/>
  <c r="AV12" i="7"/>
  <c r="AW11" i="7"/>
  <c r="AV11" i="7"/>
  <c r="AW10" i="7"/>
  <c r="AV10" i="7"/>
  <c r="AW9" i="7"/>
  <c r="AV9" i="7"/>
  <c r="AW8" i="7"/>
  <c r="AV8" i="7"/>
  <c r="AW7" i="7"/>
  <c r="AV7" i="7"/>
  <c r="AV43" i="6"/>
  <c r="AR43" i="5"/>
  <c r="AT43" i="5"/>
  <c r="AU41" i="7"/>
  <c r="AT41" i="7"/>
  <c r="AU40" i="7"/>
  <c r="AT40" i="7"/>
  <c r="AU39" i="7"/>
  <c r="AT39" i="7"/>
  <c r="AU38" i="7"/>
  <c r="AT38" i="7"/>
  <c r="AU37" i="7"/>
  <c r="AT37" i="7"/>
  <c r="AU36" i="7"/>
  <c r="AT36" i="7"/>
  <c r="AU35" i="7"/>
  <c r="AT35" i="7"/>
  <c r="AU34" i="7"/>
  <c r="AT34" i="7"/>
  <c r="AU33" i="7"/>
  <c r="AT33" i="7"/>
  <c r="AU32" i="7"/>
  <c r="AT32" i="7"/>
  <c r="AU31" i="7"/>
  <c r="AT31" i="7"/>
  <c r="AU30" i="7"/>
  <c r="AT30" i="7"/>
  <c r="AU29" i="7"/>
  <c r="AT29" i="7"/>
  <c r="AU28" i="7"/>
  <c r="AT28" i="7"/>
  <c r="AU27" i="7"/>
  <c r="AT27" i="7"/>
  <c r="AU26" i="7"/>
  <c r="AT26" i="7"/>
  <c r="AU25" i="7"/>
  <c r="AT25" i="7"/>
  <c r="AU24" i="7"/>
  <c r="AT24" i="7"/>
  <c r="AU23" i="7"/>
  <c r="AT23" i="7"/>
  <c r="AU22" i="7"/>
  <c r="AT22" i="7"/>
  <c r="AU21" i="7"/>
  <c r="AT21" i="7"/>
  <c r="AU20" i="7"/>
  <c r="AT20" i="7"/>
  <c r="AU19" i="7"/>
  <c r="AT19" i="7"/>
  <c r="AU18" i="7"/>
  <c r="AT18" i="7"/>
  <c r="AU17" i="7"/>
  <c r="AT17" i="7"/>
  <c r="AU16" i="7"/>
  <c r="AT16" i="7"/>
  <c r="AU15" i="7"/>
  <c r="AT15" i="7"/>
  <c r="AU14" i="7"/>
  <c r="AT14" i="7"/>
  <c r="AU13" i="7"/>
  <c r="AT13" i="7"/>
  <c r="AU12" i="7"/>
  <c r="AT12" i="7"/>
  <c r="AU11" i="7"/>
  <c r="AT11" i="7"/>
  <c r="AU10" i="7"/>
  <c r="AT10" i="7"/>
  <c r="AU9" i="7"/>
  <c r="AT9" i="7"/>
  <c r="AU8" i="7"/>
  <c r="AT8" i="7"/>
  <c r="AU7" i="7"/>
  <c r="AT7" i="7"/>
  <c r="AU42" i="7"/>
  <c r="AU45" i="6"/>
  <c r="AT43" i="6"/>
  <c r="AU45" i="5"/>
  <c r="AV44" i="5"/>
  <c r="AS42" i="7"/>
  <c r="AS41" i="7"/>
  <c r="AR41" i="7"/>
  <c r="AS40" i="7"/>
  <c r="AR40" i="7"/>
  <c r="AS39" i="7"/>
  <c r="AR39" i="7"/>
  <c r="AS38" i="7"/>
  <c r="AR38" i="7"/>
  <c r="AS37" i="7"/>
  <c r="AR37" i="7"/>
  <c r="AS36" i="7"/>
  <c r="AR36" i="7"/>
  <c r="AS35" i="7"/>
  <c r="AR35" i="7"/>
  <c r="AS34" i="7"/>
  <c r="AR34" i="7"/>
  <c r="AS33" i="7"/>
  <c r="AR33" i="7"/>
  <c r="AS32" i="7"/>
  <c r="AR32" i="7"/>
  <c r="AS31" i="7"/>
  <c r="AR31" i="7"/>
  <c r="AS30" i="7"/>
  <c r="AR30" i="7"/>
  <c r="AS29" i="7"/>
  <c r="AR29" i="7"/>
  <c r="AS28" i="7"/>
  <c r="AR28" i="7"/>
  <c r="AS27" i="7"/>
  <c r="AR27" i="7"/>
  <c r="AS26" i="7"/>
  <c r="AR26" i="7"/>
  <c r="AS25" i="7"/>
  <c r="AR25" i="7"/>
  <c r="AS24" i="7"/>
  <c r="AR24" i="7"/>
  <c r="AS23" i="7"/>
  <c r="AR23" i="7"/>
  <c r="AS22" i="7"/>
  <c r="AR22" i="7"/>
  <c r="AS21" i="7"/>
  <c r="AR21" i="7"/>
  <c r="AS20" i="7"/>
  <c r="AR20" i="7"/>
  <c r="AS19" i="7"/>
  <c r="AR19" i="7"/>
  <c r="AS18" i="7"/>
  <c r="AR18" i="7"/>
  <c r="AS17" i="7"/>
  <c r="AR17" i="7"/>
  <c r="AS16" i="7"/>
  <c r="AR16" i="7"/>
  <c r="AS15" i="7"/>
  <c r="AR15" i="7"/>
  <c r="AS14" i="7"/>
  <c r="AR14" i="7"/>
  <c r="AS13" i="7"/>
  <c r="AR13" i="7"/>
  <c r="AS12" i="7"/>
  <c r="AR12" i="7"/>
  <c r="AS11" i="7"/>
  <c r="AR11" i="7"/>
  <c r="AS10" i="7"/>
  <c r="AR10" i="7"/>
  <c r="AS9" i="7"/>
  <c r="AR9" i="7"/>
  <c r="AS8" i="7"/>
  <c r="AR8" i="7"/>
  <c r="AS7" i="7"/>
  <c r="AR7" i="7"/>
  <c r="AQ42" i="7"/>
  <c r="AQ41" i="7"/>
  <c r="AP41" i="7"/>
  <c r="AQ40" i="7"/>
  <c r="AP40" i="7"/>
  <c r="AQ39" i="7"/>
  <c r="AP39" i="7"/>
  <c r="AQ38" i="7"/>
  <c r="AP38" i="7"/>
  <c r="AQ37" i="7"/>
  <c r="AP37" i="7"/>
  <c r="AQ36" i="7"/>
  <c r="AP36" i="7"/>
  <c r="AQ35" i="7"/>
  <c r="AP35" i="7"/>
  <c r="AQ34" i="7"/>
  <c r="AP34" i="7"/>
  <c r="AQ33" i="7"/>
  <c r="AP33" i="7"/>
  <c r="AQ32" i="7"/>
  <c r="AP32" i="7"/>
  <c r="AQ31" i="7"/>
  <c r="AP31" i="7"/>
  <c r="AQ30" i="7"/>
  <c r="AP30" i="7"/>
  <c r="AQ29" i="7"/>
  <c r="AP29" i="7"/>
  <c r="AQ28" i="7"/>
  <c r="AP28" i="7"/>
  <c r="AQ27" i="7"/>
  <c r="AP27" i="7"/>
  <c r="AQ26" i="7"/>
  <c r="AP26" i="7"/>
  <c r="AQ25" i="7"/>
  <c r="AP25" i="7"/>
  <c r="AQ24" i="7"/>
  <c r="AP24" i="7"/>
  <c r="AQ23" i="7"/>
  <c r="AP23" i="7"/>
  <c r="AQ22" i="7"/>
  <c r="AP22" i="7"/>
  <c r="AQ21" i="7"/>
  <c r="AP21" i="7"/>
  <c r="AQ20" i="7"/>
  <c r="AP20" i="7"/>
  <c r="AQ19" i="7"/>
  <c r="AP19" i="7"/>
  <c r="AQ18" i="7"/>
  <c r="AP18" i="7"/>
  <c r="AQ17" i="7"/>
  <c r="AP17" i="7"/>
  <c r="AQ16" i="7"/>
  <c r="AP16" i="7"/>
  <c r="AQ15" i="7"/>
  <c r="AP15" i="7"/>
  <c r="AQ14" i="7"/>
  <c r="AP14" i="7"/>
  <c r="AQ13" i="7"/>
  <c r="AP13" i="7"/>
  <c r="AQ12" i="7"/>
  <c r="AP12" i="7"/>
  <c r="AQ11" i="7"/>
  <c r="AP11" i="7"/>
  <c r="AQ10" i="7"/>
  <c r="AP10" i="7"/>
  <c r="AQ9" i="7"/>
  <c r="AP9" i="7"/>
  <c r="AQ8" i="7"/>
  <c r="AP8" i="7"/>
  <c r="AQ7" i="7"/>
  <c r="AP7" i="7"/>
  <c r="AS45" i="6"/>
  <c r="AR43" i="6"/>
  <c r="AS45" i="5"/>
  <c r="AO41" i="7"/>
  <c r="AO40" i="7"/>
  <c r="AO39" i="7"/>
  <c r="AO38" i="7"/>
  <c r="AO37" i="7"/>
  <c r="AO36" i="7"/>
  <c r="AO35" i="7"/>
  <c r="AO34" i="7"/>
  <c r="AO33" i="7"/>
  <c r="AO32" i="7"/>
  <c r="AO31" i="7"/>
  <c r="AO30" i="7"/>
  <c r="AO29" i="7"/>
  <c r="AO28" i="7"/>
  <c r="AO27" i="7"/>
  <c r="AO26" i="7"/>
  <c r="AO25" i="7"/>
  <c r="AO24" i="7"/>
  <c r="AO23" i="7"/>
  <c r="AO22" i="7"/>
  <c r="AO21" i="7"/>
  <c r="AO20" i="7"/>
  <c r="AO19" i="7"/>
  <c r="AO18" i="7"/>
  <c r="AO17" i="7"/>
  <c r="AO16" i="7"/>
  <c r="AO15" i="7"/>
  <c r="AO14" i="7"/>
  <c r="AO13" i="7"/>
  <c r="AO12" i="7"/>
  <c r="AO11" i="7"/>
  <c r="AO10" i="7"/>
  <c r="AO9" i="7"/>
  <c r="AO8" i="7"/>
  <c r="AO7" i="7"/>
  <c r="AN41" i="7"/>
  <c r="AN40" i="7"/>
  <c r="AN39" i="7"/>
  <c r="AN38" i="7"/>
  <c r="AN37" i="7"/>
  <c r="AN36" i="7"/>
  <c r="AN35" i="7"/>
  <c r="AN34" i="7"/>
  <c r="AN33" i="7"/>
  <c r="AN32" i="7"/>
  <c r="AN31" i="7"/>
  <c r="AN30" i="7"/>
  <c r="AN29" i="7"/>
  <c r="AN28" i="7"/>
  <c r="AN27" i="7"/>
  <c r="AN26" i="7"/>
  <c r="AN25" i="7"/>
  <c r="AN24" i="7"/>
  <c r="AN23" i="7"/>
  <c r="AN22" i="7"/>
  <c r="AN21" i="7"/>
  <c r="AN20" i="7"/>
  <c r="AN19" i="7"/>
  <c r="AN18" i="7"/>
  <c r="AN17" i="7"/>
  <c r="AN16" i="7"/>
  <c r="AN15" i="7"/>
  <c r="AN14" i="7"/>
  <c r="AN13" i="7"/>
  <c r="AN12" i="7"/>
  <c r="AN11" i="7"/>
  <c r="AN10" i="7"/>
  <c r="AN9" i="7"/>
  <c r="AN8" i="7"/>
  <c r="AN7" i="7"/>
  <c r="AO42" i="7"/>
  <c r="AQ45" i="6"/>
  <c r="AP43" i="6"/>
  <c r="AR44" i="6" s="1"/>
  <c r="AQ45" i="5"/>
  <c r="AL43" i="5"/>
  <c r="AL44" i="5" s="1"/>
  <c r="AM42" i="7"/>
  <c r="AM44" i="7" s="1"/>
  <c r="AM41" i="7"/>
  <c r="AM40" i="7"/>
  <c r="AM39" i="7"/>
  <c r="AM38" i="7"/>
  <c r="AM37" i="7"/>
  <c r="AM36" i="7"/>
  <c r="AM35" i="7"/>
  <c r="AM34" i="7"/>
  <c r="AM33" i="7"/>
  <c r="AM32" i="7"/>
  <c r="AM31" i="7"/>
  <c r="AM30" i="7"/>
  <c r="AM29" i="7"/>
  <c r="AM28" i="7"/>
  <c r="AM27" i="7"/>
  <c r="AM26" i="7"/>
  <c r="AM25" i="7"/>
  <c r="AM24" i="7"/>
  <c r="AM23" i="7"/>
  <c r="AM22" i="7"/>
  <c r="AM21" i="7"/>
  <c r="AM20" i="7"/>
  <c r="AM19" i="7"/>
  <c r="AM18" i="7"/>
  <c r="AM17" i="7"/>
  <c r="AM16" i="7"/>
  <c r="AM15" i="7"/>
  <c r="AM14" i="7"/>
  <c r="AM13" i="7"/>
  <c r="AM12" i="7"/>
  <c r="AM11" i="7"/>
  <c r="AM10" i="7"/>
  <c r="AM9" i="7"/>
  <c r="AM8" i="7"/>
  <c r="AM7" i="7"/>
  <c r="AL41" i="7"/>
  <c r="AL40" i="7"/>
  <c r="AL39" i="7"/>
  <c r="AL38" i="7"/>
  <c r="AL37" i="7"/>
  <c r="AL36" i="7"/>
  <c r="AL35" i="7"/>
  <c r="AL34" i="7"/>
  <c r="AL33" i="7"/>
  <c r="AL32" i="7"/>
  <c r="AL31" i="7"/>
  <c r="AL30" i="7"/>
  <c r="AL29" i="7"/>
  <c r="AL28" i="7"/>
  <c r="AL27" i="7"/>
  <c r="AL26" i="7"/>
  <c r="AL25" i="7"/>
  <c r="AL24" i="7"/>
  <c r="AL23" i="7"/>
  <c r="AL22" i="7"/>
  <c r="AL21" i="7"/>
  <c r="AL20" i="7"/>
  <c r="AL19" i="7"/>
  <c r="AL18" i="7"/>
  <c r="AL17" i="7"/>
  <c r="AL16" i="7"/>
  <c r="AL15" i="7"/>
  <c r="AL14" i="7"/>
  <c r="AL13" i="7"/>
  <c r="AL12" i="7"/>
  <c r="AL11" i="7"/>
  <c r="AL10" i="7"/>
  <c r="AL9" i="7"/>
  <c r="AL8" i="7"/>
  <c r="AL7" i="7"/>
  <c r="AO45" i="5"/>
  <c r="AM45" i="6"/>
  <c r="AL44" i="6"/>
  <c r="AM45" i="5"/>
  <c r="AK45" i="6"/>
  <c r="AK44" i="7"/>
  <c r="AJ43" i="7"/>
  <c r="AJ44" i="6"/>
  <c r="AK45" i="5"/>
  <c r="AJ44" i="5"/>
  <c r="AI45" i="5"/>
  <c r="AH44" i="5"/>
  <c r="AN44" i="6"/>
  <c r="AF44" i="5"/>
  <c r="P66" i="8"/>
  <c r="P61" i="8"/>
  <c r="P38" i="8"/>
  <c r="P22" i="8"/>
  <c r="P11" i="8"/>
  <c r="P13" i="8" s="1"/>
  <c r="P7" i="8"/>
  <c r="AI44" i="7"/>
  <c r="AH43" i="7"/>
  <c r="AI45" i="6"/>
  <c r="AH44" i="6"/>
  <c r="Q46" i="8"/>
  <c r="Q61" i="8" s="1"/>
  <c r="AD44" i="5"/>
  <c r="AE45" i="5"/>
  <c r="AG45" i="5"/>
  <c r="AG44" i="7"/>
  <c r="AD43" i="7"/>
  <c r="AE44" i="7"/>
  <c r="AC44" i="7"/>
  <c r="AG45" i="6"/>
  <c r="AF44" i="6"/>
  <c r="Q13" i="8"/>
  <c r="Q38" i="8"/>
  <c r="Q66" i="8"/>
  <c r="Q22" i="8"/>
  <c r="Q7" i="8"/>
  <c r="AB43" i="7"/>
  <c r="AD44" i="6"/>
  <c r="AE45" i="6"/>
  <c r="O7" i="8"/>
  <c r="O13" i="8"/>
  <c r="O22" i="8"/>
  <c r="O38" i="8"/>
  <c r="O61" i="8"/>
  <c r="O66" i="8"/>
  <c r="N7" i="8"/>
  <c r="N13" i="8"/>
  <c r="N22" i="8"/>
  <c r="N38" i="8"/>
  <c r="N61" i="8"/>
  <c r="N66" i="8"/>
  <c r="AA44" i="7"/>
  <c r="AA45" i="5"/>
  <c r="X42" i="7"/>
  <c r="Z43" i="7" s="1"/>
  <c r="V42" i="7"/>
  <c r="Y44" i="7"/>
  <c r="AC45" i="5"/>
  <c r="AB44" i="5"/>
  <c r="X43" i="6"/>
  <c r="Z44" i="6"/>
  <c r="AC45" i="6"/>
  <c r="AB44" i="6"/>
  <c r="X43" i="5"/>
  <c r="V43" i="5"/>
  <c r="AA45" i="6"/>
  <c r="M7" i="8"/>
  <c r="M13" i="8"/>
  <c r="M22" i="8"/>
  <c r="M38" i="8"/>
  <c r="M61" i="8"/>
  <c r="M66" i="8"/>
  <c r="Q42" i="7"/>
  <c r="S44" i="7" s="1"/>
  <c r="N42" i="7"/>
  <c r="O42" i="7" s="1"/>
  <c r="L42" i="7"/>
  <c r="M42" i="7" s="1"/>
  <c r="J42" i="7"/>
  <c r="K42" i="7" s="1"/>
  <c r="I42" i="7"/>
  <c r="F42" i="7"/>
  <c r="G42" i="7" s="1"/>
  <c r="D42" i="7"/>
  <c r="E42" i="7" s="1"/>
  <c r="Q41" i="5"/>
  <c r="Q41" i="7" s="1"/>
  <c r="Q40" i="5"/>
  <c r="Q40" i="7" s="1"/>
  <c r="Q39" i="5"/>
  <c r="Q39" i="7" s="1"/>
  <c r="Q38" i="5"/>
  <c r="Q38" i="7" s="1"/>
  <c r="Q37" i="5"/>
  <c r="Q31" i="5"/>
  <c r="Q36" i="5" s="1"/>
  <c r="Q36" i="6" s="1"/>
  <c r="Q35" i="5"/>
  <c r="Q35" i="7" s="1"/>
  <c r="Q34" i="5"/>
  <c r="Q34" i="7" s="1"/>
  <c r="Q33" i="5"/>
  <c r="Q32" i="5"/>
  <c r="Q32" i="7" s="1"/>
  <c r="Q30" i="5"/>
  <c r="Q30" i="7" s="1"/>
  <c r="Q29" i="5"/>
  <c r="Q29" i="7" s="1"/>
  <c r="Q28" i="5"/>
  <c r="Q27" i="5"/>
  <c r="Q27" i="7" s="1"/>
  <c r="Q26" i="5"/>
  <c r="Q25" i="5"/>
  <c r="Q24" i="5"/>
  <c r="Q24" i="7" s="1"/>
  <c r="Q23" i="5"/>
  <c r="Q23" i="7" s="1"/>
  <c r="Q22" i="5"/>
  <c r="Q21" i="5"/>
  <c r="Q21" i="7" s="1"/>
  <c r="Q20" i="5"/>
  <c r="Q20" i="7" s="1"/>
  <c r="Q19" i="5"/>
  <c r="Q19" i="7" s="1"/>
  <c r="Q18" i="5"/>
  <c r="Q18" i="7" s="1"/>
  <c r="Q17" i="5"/>
  <c r="Q17" i="7" s="1"/>
  <c r="Q16" i="5"/>
  <c r="Q15" i="5"/>
  <c r="Q14" i="5"/>
  <c r="Q14" i="7" s="1"/>
  <c r="Q13" i="5"/>
  <c r="Q13" i="7" s="1"/>
  <c r="Q12" i="5"/>
  <c r="Q12" i="7" s="1"/>
  <c r="Q11" i="5"/>
  <c r="Q11" i="7" s="1"/>
  <c r="Q10" i="5"/>
  <c r="Q10" i="7" s="1"/>
  <c r="Q9" i="5"/>
  <c r="Q9" i="7" s="1"/>
  <c r="Q8" i="5"/>
  <c r="Q8" i="7" s="1"/>
  <c r="Q7" i="5"/>
  <c r="Q7" i="7"/>
  <c r="O41" i="5"/>
  <c r="O41" i="7" s="1"/>
  <c r="O40" i="5"/>
  <c r="O40" i="7" s="1"/>
  <c r="O39" i="5"/>
  <c r="O39" i="7" s="1"/>
  <c r="O38" i="5"/>
  <c r="O38" i="7" s="1"/>
  <c r="O37" i="5"/>
  <c r="O37" i="7" s="1"/>
  <c r="O36" i="5"/>
  <c r="O36" i="7" s="1"/>
  <c r="O35" i="5"/>
  <c r="O35" i="7" s="1"/>
  <c r="O34" i="5"/>
  <c r="O34" i="6" s="1"/>
  <c r="O33" i="5"/>
  <c r="O33" i="7" s="1"/>
  <c r="O32" i="5"/>
  <c r="O32" i="7" s="1"/>
  <c r="O31" i="7"/>
  <c r="O30" i="5"/>
  <c r="O30" i="7" s="1"/>
  <c r="O29" i="5"/>
  <c r="O28" i="5"/>
  <c r="O28" i="7" s="1"/>
  <c r="O27" i="5"/>
  <c r="O27" i="7" s="1"/>
  <c r="O26" i="5"/>
  <c r="O26" i="7" s="1"/>
  <c r="O25" i="5"/>
  <c r="O25" i="6" s="1"/>
  <c r="O24" i="5"/>
  <c r="O24" i="7" s="1"/>
  <c r="O23" i="5"/>
  <c r="O22" i="5"/>
  <c r="O21" i="5"/>
  <c r="O21" i="6" s="1"/>
  <c r="O20" i="5"/>
  <c r="O20" i="7" s="1"/>
  <c r="O19" i="5"/>
  <c r="O19" i="7" s="1"/>
  <c r="O18" i="5"/>
  <c r="O17" i="5"/>
  <c r="O17" i="6" s="1"/>
  <c r="O16" i="5"/>
  <c r="O15" i="5"/>
  <c r="O14" i="5"/>
  <c r="O13" i="5"/>
  <c r="O13" i="6" s="1"/>
  <c r="O12" i="5"/>
  <c r="O12" i="7" s="1"/>
  <c r="O11" i="5"/>
  <c r="O11" i="7" s="1"/>
  <c r="O10" i="5"/>
  <c r="O10" i="7" s="1"/>
  <c r="O9" i="5"/>
  <c r="O9" i="6" s="1"/>
  <c r="O8" i="5"/>
  <c r="O8" i="7" s="1"/>
  <c r="O7" i="5"/>
  <c r="M41" i="5"/>
  <c r="M40" i="5"/>
  <c r="M40" i="7" s="1"/>
  <c r="M39" i="5"/>
  <c r="M38" i="5"/>
  <c r="M37" i="5"/>
  <c r="M36" i="5"/>
  <c r="M35" i="5"/>
  <c r="M34" i="5"/>
  <c r="M33" i="5"/>
  <c r="M33" i="6" s="1"/>
  <c r="M32" i="5"/>
  <c r="M32" i="6" s="1"/>
  <c r="M31" i="5"/>
  <c r="M30" i="5"/>
  <c r="M30" i="6" s="1"/>
  <c r="M29" i="5"/>
  <c r="M28" i="5"/>
  <c r="M27" i="5"/>
  <c r="M26" i="5"/>
  <c r="M25" i="5"/>
  <c r="M25" i="6" s="1"/>
  <c r="M24" i="5"/>
  <c r="M23" i="5"/>
  <c r="M22" i="5"/>
  <c r="M22" i="6" s="1"/>
  <c r="M21" i="5"/>
  <c r="M20" i="5"/>
  <c r="M19" i="5"/>
  <c r="M18" i="5"/>
  <c r="M17" i="5"/>
  <c r="M16" i="5"/>
  <c r="M16" i="6" s="1"/>
  <c r="M15" i="5"/>
  <c r="M14" i="5"/>
  <c r="M14" i="6" s="1"/>
  <c r="M13" i="5"/>
  <c r="M12" i="5"/>
  <c r="M12" i="6" s="1"/>
  <c r="M11" i="5"/>
  <c r="M10" i="5"/>
  <c r="M9" i="5"/>
  <c r="M8" i="5"/>
  <c r="M8" i="6" s="1"/>
  <c r="M7" i="5"/>
  <c r="K41" i="5"/>
  <c r="K41" i="6" s="1"/>
  <c r="K40" i="5"/>
  <c r="K39" i="5"/>
  <c r="K39" i="6" s="1"/>
  <c r="K38" i="5"/>
  <c r="K37" i="5"/>
  <c r="K36" i="5"/>
  <c r="K36" i="7" s="1"/>
  <c r="K35" i="5"/>
  <c r="K35" i="6" s="1"/>
  <c r="K34" i="5"/>
  <c r="K33" i="5"/>
  <c r="K32" i="5"/>
  <c r="K31" i="5"/>
  <c r="K31" i="6" s="1"/>
  <c r="K30" i="5"/>
  <c r="K29" i="5"/>
  <c r="K29" i="6" s="1"/>
  <c r="K28" i="5"/>
  <c r="K27" i="5"/>
  <c r="K26" i="5"/>
  <c r="K25" i="5"/>
  <c r="K25" i="6" s="1"/>
  <c r="K24" i="5"/>
  <c r="K23" i="5"/>
  <c r="K23" i="6" s="1"/>
  <c r="K22" i="5"/>
  <c r="K21" i="5"/>
  <c r="K21" i="6" s="1"/>
  <c r="K20" i="5"/>
  <c r="K19" i="5"/>
  <c r="K19" i="6" s="1"/>
  <c r="K18" i="5"/>
  <c r="K17" i="5"/>
  <c r="K17" i="6" s="1"/>
  <c r="K16" i="5"/>
  <c r="K15" i="5"/>
  <c r="K15" i="6" s="1"/>
  <c r="K14" i="5"/>
  <c r="K13" i="5"/>
  <c r="K13" i="6" s="1"/>
  <c r="K12" i="5"/>
  <c r="K12" i="6" s="1"/>
  <c r="K11" i="5"/>
  <c r="K11" i="6" s="1"/>
  <c r="K10" i="5"/>
  <c r="K9" i="5"/>
  <c r="K9" i="6" s="1"/>
  <c r="K8" i="5"/>
  <c r="K8" i="6" s="1"/>
  <c r="K7" i="5"/>
  <c r="I41" i="5"/>
  <c r="I40" i="5"/>
  <c r="I40" i="7" s="1"/>
  <c r="I39" i="5"/>
  <c r="I38" i="5"/>
  <c r="I38" i="7" s="1"/>
  <c r="I37" i="5"/>
  <c r="I36" i="5"/>
  <c r="I36" i="7" s="1"/>
  <c r="I35" i="5"/>
  <c r="I34" i="5"/>
  <c r="I34" i="7" s="1"/>
  <c r="I33" i="5"/>
  <c r="I32" i="5"/>
  <c r="I31" i="5"/>
  <c r="I30" i="5"/>
  <c r="I30" i="7" s="1"/>
  <c r="I29" i="5"/>
  <c r="I28" i="5"/>
  <c r="I28" i="6" s="1"/>
  <c r="I27" i="5"/>
  <c r="I26" i="5"/>
  <c r="I26" i="7" s="1"/>
  <c r="I25" i="5"/>
  <c r="I24" i="5"/>
  <c r="I24" i="7" s="1"/>
  <c r="I23" i="5"/>
  <c r="I23" i="7" s="1"/>
  <c r="I22" i="5"/>
  <c r="I21" i="5"/>
  <c r="I20" i="5"/>
  <c r="I19" i="5"/>
  <c r="I18" i="5"/>
  <c r="I18" i="7" s="1"/>
  <c r="I17" i="5"/>
  <c r="I16" i="5"/>
  <c r="I15" i="5"/>
  <c r="I14" i="5"/>
  <c r="I13" i="5"/>
  <c r="I12" i="5"/>
  <c r="I12" i="7" s="1"/>
  <c r="I11" i="5"/>
  <c r="I10" i="5"/>
  <c r="I10" i="7" s="1"/>
  <c r="I9" i="5"/>
  <c r="I8" i="5"/>
  <c r="I8" i="7" s="1"/>
  <c r="I7" i="5"/>
  <c r="G41" i="5"/>
  <c r="G40" i="5"/>
  <c r="G40" i="7"/>
  <c r="G39" i="5"/>
  <c r="G39" i="7" s="1"/>
  <c r="G38" i="5"/>
  <c r="G38" i="7" s="1"/>
  <c r="G37" i="5"/>
  <c r="G37" i="7" s="1"/>
  <c r="G36" i="5"/>
  <c r="G36" i="7" s="1"/>
  <c r="G35" i="5"/>
  <c r="G35" i="7" s="1"/>
  <c r="G34" i="5"/>
  <c r="G34" i="7" s="1"/>
  <c r="G33" i="5"/>
  <c r="G33" i="7" s="1"/>
  <c r="G32" i="5"/>
  <c r="G32" i="6" s="1"/>
  <c r="G31" i="5"/>
  <c r="G31" i="7" s="1"/>
  <c r="G30" i="5"/>
  <c r="G30" i="7" s="1"/>
  <c r="G29" i="5"/>
  <c r="G29" i="7" s="1"/>
  <c r="G28" i="5"/>
  <c r="G28" i="7" s="1"/>
  <c r="G27" i="5"/>
  <c r="G27" i="7" s="1"/>
  <c r="G26" i="5"/>
  <c r="G26" i="7" s="1"/>
  <c r="G25" i="5"/>
  <c r="G25" i="7" s="1"/>
  <c r="G24" i="5"/>
  <c r="G24" i="7" s="1"/>
  <c r="G23" i="5"/>
  <c r="G23" i="7" s="1"/>
  <c r="G22" i="5"/>
  <c r="G22" i="7" s="1"/>
  <c r="G21" i="5"/>
  <c r="G21" i="7" s="1"/>
  <c r="G20" i="5"/>
  <c r="G20" i="7" s="1"/>
  <c r="G19" i="5"/>
  <c r="G19" i="7" s="1"/>
  <c r="G18" i="5"/>
  <c r="G18" i="7" s="1"/>
  <c r="G17" i="5"/>
  <c r="G17" i="7" s="1"/>
  <c r="G16" i="5"/>
  <c r="G16" i="7" s="1"/>
  <c r="G15" i="5"/>
  <c r="G15" i="7" s="1"/>
  <c r="G14" i="5"/>
  <c r="G14" i="7" s="1"/>
  <c r="G13" i="5"/>
  <c r="G13" i="7" s="1"/>
  <c r="G12" i="5"/>
  <c r="G12" i="7" s="1"/>
  <c r="G11" i="5"/>
  <c r="G11" i="7" s="1"/>
  <c r="G10" i="5"/>
  <c r="G9" i="5"/>
  <c r="G9" i="7" s="1"/>
  <c r="G8" i="5"/>
  <c r="G8" i="7" s="1"/>
  <c r="G7" i="5"/>
  <c r="G7" i="6" s="1"/>
  <c r="E41" i="5"/>
  <c r="E41" i="7" s="1"/>
  <c r="E40" i="5"/>
  <c r="E40" i="7" s="1"/>
  <c r="E39" i="5"/>
  <c r="E39" i="7" s="1"/>
  <c r="E38" i="5"/>
  <c r="E38" i="7" s="1"/>
  <c r="E37" i="5"/>
  <c r="E37" i="7" s="1"/>
  <c r="E36" i="5"/>
  <c r="E36" i="7" s="1"/>
  <c r="E35" i="5"/>
  <c r="E34" i="5"/>
  <c r="E34" i="7" s="1"/>
  <c r="E33" i="5"/>
  <c r="E33" i="7" s="1"/>
  <c r="E32" i="5"/>
  <c r="E31" i="5"/>
  <c r="E30" i="5"/>
  <c r="E30" i="7" s="1"/>
  <c r="E29" i="5"/>
  <c r="E28" i="5"/>
  <c r="E27" i="5"/>
  <c r="E27" i="7" s="1"/>
  <c r="E26" i="5"/>
  <c r="E25" i="5"/>
  <c r="E24" i="5"/>
  <c r="E24" i="7" s="1"/>
  <c r="E23" i="5"/>
  <c r="E22" i="5"/>
  <c r="E21" i="5"/>
  <c r="E21" i="7" s="1"/>
  <c r="E20" i="5"/>
  <c r="E20" i="7" s="1"/>
  <c r="E19" i="5"/>
  <c r="E18" i="5"/>
  <c r="E18" i="7" s="1"/>
  <c r="E17" i="5"/>
  <c r="E16" i="5"/>
  <c r="E16" i="7" s="1"/>
  <c r="E15" i="5"/>
  <c r="E15" i="7" s="1"/>
  <c r="E14" i="5"/>
  <c r="E14" i="6" s="1"/>
  <c r="E13" i="5"/>
  <c r="E13" i="7" s="1"/>
  <c r="E12" i="5"/>
  <c r="E12" i="7" s="1"/>
  <c r="E11" i="5"/>
  <c r="E11" i="6" s="1"/>
  <c r="E10" i="5"/>
  <c r="E10" i="7" s="1"/>
  <c r="E9" i="5"/>
  <c r="E9" i="7" s="1"/>
  <c r="E8" i="5"/>
  <c r="E8" i="7" s="1"/>
  <c r="E7" i="5"/>
  <c r="E7" i="7" s="1"/>
  <c r="B42" i="7"/>
  <c r="C42" i="7" s="1"/>
  <c r="C41" i="5"/>
  <c r="C41" i="7" s="1"/>
  <c r="C40" i="5"/>
  <c r="C40" i="7" s="1"/>
  <c r="C39" i="5"/>
  <c r="C39" i="7" s="1"/>
  <c r="C38" i="5"/>
  <c r="C38" i="7" s="1"/>
  <c r="C37" i="5"/>
  <c r="C37" i="7" s="1"/>
  <c r="C36" i="5"/>
  <c r="C36" i="7" s="1"/>
  <c r="C35" i="5"/>
  <c r="C35" i="7" s="1"/>
  <c r="C34" i="5"/>
  <c r="C34" i="7" s="1"/>
  <c r="C33" i="5"/>
  <c r="C33" i="7" s="1"/>
  <c r="C32" i="5"/>
  <c r="C32" i="7" s="1"/>
  <c r="C31" i="5"/>
  <c r="C30" i="5"/>
  <c r="C30" i="7" s="1"/>
  <c r="C29" i="5"/>
  <c r="C29" i="7" s="1"/>
  <c r="C28" i="5"/>
  <c r="C28" i="7" s="1"/>
  <c r="C27" i="5"/>
  <c r="C26" i="5"/>
  <c r="C26" i="7" s="1"/>
  <c r="C25" i="5"/>
  <c r="C25" i="7" s="1"/>
  <c r="C24" i="5"/>
  <c r="C24" i="7" s="1"/>
  <c r="C23" i="5"/>
  <c r="C23" i="7" s="1"/>
  <c r="C22" i="5"/>
  <c r="C22" i="7" s="1"/>
  <c r="C21" i="5"/>
  <c r="C21" i="7" s="1"/>
  <c r="C20" i="5"/>
  <c r="C20" i="6" s="1"/>
  <c r="C19" i="5"/>
  <c r="C18" i="5"/>
  <c r="C18" i="7" s="1"/>
  <c r="C17" i="5"/>
  <c r="C17" i="7" s="1"/>
  <c r="C16" i="5"/>
  <c r="C16" i="7" s="1"/>
  <c r="C15" i="5"/>
  <c r="C14" i="5"/>
  <c r="C14" i="7" s="1"/>
  <c r="C13" i="5"/>
  <c r="C13" i="7" s="1"/>
  <c r="C12" i="5"/>
  <c r="C12" i="7" s="1"/>
  <c r="C11" i="5"/>
  <c r="C10" i="5"/>
  <c r="C10" i="7" s="1"/>
  <c r="C9" i="5"/>
  <c r="C9" i="7" s="1"/>
  <c r="C8" i="5"/>
  <c r="C8" i="7" s="1"/>
  <c r="C7" i="5"/>
  <c r="C7" i="7" s="1"/>
  <c r="Q43" i="6"/>
  <c r="S45" i="6" s="1"/>
  <c r="N43" i="6"/>
  <c r="O43" i="6" s="1"/>
  <c r="L43" i="6"/>
  <c r="M43" i="6" s="1"/>
  <c r="J43" i="6"/>
  <c r="L44" i="6" s="1"/>
  <c r="I43" i="6"/>
  <c r="F43" i="6"/>
  <c r="H44" i="6" s="1"/>
  <c r="Q15" i="6"/>
  <c r="O37" i="6"/>
  <c r="O31" i="6"/>
  <c r="O20" i="6"/>
  <c r="O16" i="6"/>
  <c r="E43" i="6"/>
  <c r="B43" i="6"/>
  <c r="C23" i="6"/>
  <c r="Q43" i="5"/>
  <c r="N43" i="5"/>
  <c r="O43" i="5" s="1"/>
  <c r="L43" i="5"/>
  <c r="M43" i="5" s="1"/>
  <c r="J43" i="5"/>
  <c r="K43" i="5" s="1"/>
  <c r="I43" i="5"/>
  <c r="F43" i="5"/>
  <c r="G43" i="5" s="1"/>
  <c r="D43" i="5"/>
  <c r="E43" i="5" s="1"/>
  <c r="B43" i="5"/>
  <c r="C43" i="5" s="1"/>
  <c r="B7" i="8"/>
  <c r="C7" i="8"/>
  <c r="D7" i="8"/>
  <c r="E7" i="8"/>
  <c r="F7" i="8"/>
  <c r="G7" i="8"/>
  <c r="H7" i="8"/>
  <c r="I7" i="8"/>
  <c r="J7" i="8"/>
  <c r="K7" i="8"/>
  <c r="L7" i="8"/>
  <c r="B13" i="8"/>
  <c r="C13" i="8"/>
  <c r="D13" i="8"/>
  <c r="E13" i="8"/>
  <c r="F13" i="8"/>
  <c r="G13" i="8"/>
  <c r="H13" i="8"/>
  <c r="I13" i="8"/>
  <c r="J13" i="8"/>
  <c r="K13" i="8"/>
  <c r="L13" i="8"/>
  <c r="B22" i="8"/>
  <c r="C22" i="8"/>
  <c r="D22" i="8"/>
  <c r="E22" i="8"/>
  <c r="F22" i="8"/>
  <c r="G22" i="8"/>
  <c r="H22" i="8"/>
  <c r="I22" i="8"/>
  <c r="J22" i="8"/>
  <c r="K22" i="8"/>
  <c r="L22" i="8"/>
  <c r="B38" i="8"/>
  <c r="C38" i="8"/>
  <c r="D38" i="8"/>
  <c r="E38" i="8"/>
  <c r="F38" i="8"/>
  <c r="G38" i="8"/>
  <c r="H38" i="8"/>
  <c r="I38" i="8"/>
  <c r="J38" i="8"/>
  <c r="K38" i="8"/>
  <c r="L38" i="8"/>
  <c r="B61" i="8"/>
  <c r="C61" i="8"/>
  <c r="D61" i="8"/>
  <c r="E61" i="8"/>
  <c r="F61" i="8"/>
  <c r="G61" i="8"/>
  <c r="H61" i="8"/>
  <c r="I61" i="8"/>
  <c r="J61" i="8"/>
  <c r="K61" i="8"/>
  <c r="L61" i="8"/>
  <c r="B66" i="8"/>
  <c r="C66" i="8"/>
  <c r="D66" i="8"/>
  <c r="E66" i="8"/>
  <c r="F66" i="8"/>
  <c r="G66" i="8"/>
  <c r="H66" i="8"/>
  <c r="I66" i="8"/>
  <c r="J66" i="8"/>
  <c r="K66" i="8"/>
  <c r="L66" i="8"/>
  <c r="R42" i="7"/>
  <c r="T42" i="7"/>
  <c r="V43" i="7" s="1"/>
  <c r="H43" i="7"/>
  <c r="U44" i="7"/>
  <c r="W44" i="7"/>
  <c r="R43" i="6"/>
  <c r="R44" i="6" s="1"/>
  <c r="T43" i="6"/>
  <c r="V43" i="6"/>
  <c r="X44" i="6" s="1"/>
  <c r="U45" i="6"/>
  <c r="W45" i="6"/>
  <c r="Y45" i="6"/>
  <c r="R43" i="5"/>
  <c r="T44" i="5" s="1"/>
  <c r="T43" i="5"/>
  <c r="U45" i="5"/>
  <c r="W45" i="5"/>
  <c r="Y45" i="5"/>
  <c r="E17" i="4"/>
  <c r="E24" i="4"/>
  <c r="M7" i="6"/>
  <c r="M11" i="6"/>
  <c r="M11" i="7"/>
  <c r="M19" i="6"/>
  <c r="M19" i="7"/>
  <c r="M23" i="6"/>
  <c r="M23" i="7"/>
  <c r="M27" i="6"/>
  <c r="M27" i="7"/>
  <c r="M31" i="6"/>
  <c r="M31" i="7"/>
  <c r="I9" i="6"/>
  <c r="I13" i="6"/>
  <c r="I17" i="6"/>
  <c r="I21" i="6"/>
  <c r="I29" i="6"/>
  <c r="I33" i="6"/>
  <c r="I37" i="6"/>
  <c r="I9" i="7"/>
  <c r="I13" i="7"/>
  <c r="I17" i="7"/>
  <c r="I21" i="7"/>
  <c r="I29" i="7"/>
  <c r="I33" i="7"/>
  <c r="I37" i="7"/>
  <c r="K38" i="7"/>
  <c r="K22" i="7"/>
  <c r="K14" i="7"/>
  <c r="K38" i="6"/>
  <c r="K22" i="6"/>
  <c r="K14" i="6"/>
  <c r="AF43" i="7"/>
  <c r="C43" i="6"/>
  <c r="Q7" i="6"/>
  <c r="Q32" i="6"/>
  <c r="Q11" i="6"/>
  <c r="Q23" i="6"/>
  <c r="R43" i="7"/>
  <c r="M32" i="7"/>
  <c r="Q35" i="6"/>
  <c r="M16" i="7"/>
  <c r="Q18" i="6"/>
  <c r="M22" i="7"/>
  <c r="E16" i="6"/>
  <c r="Q16" i="6"/>
  <c r="M34" i="6"/>
  <c r="G27" i="6"/>
  <c r="O27" i="6"/>
  <c r="Q8" i="6"/>
  <c r="Q37" i="6"/>
  <c r="O39" i="6"/>
  <c r="Q41" i="6"/>
  <c r="V44" i="5"/>
  <c r="O28" i="6"/>
  <c r="O35" i="6"/>
  <c r="G17" i="6"/>
  <c r="O24" i="6"/>
  <c r="Q20" i="6"/>
  <c r="I7" i="6"/>
  <c r="I31" i="6"/>
  <c r="I39" i="7"/>
  <c r="I7" i="7"/>
  <c r="I39" i="6"/>
  <c r="M18" i="7"/>
  <c r="M34" i="7"/>
  <c r="M18" i="6"/>
  <c r="K37" i="7"/>
  <c r="H44" i="5"/>
  <c r="M26" i="7"/>
  <c r="K25" i="7"/>
  <c r="K41" i="7"/>
  <c r="I40" i="6"/>
  <c r="I24" i="6"/>
  <c r="G35" i="6"/>
  <c r="O16" i="7"/>
  <c r="M26" i="6"/>
  <c r="M14" i="7"/>
  <c r="C22" i="6"/>
  <c r="K11" i="7"/>
  <c r="K19" i="7"/>
  <c r="I30" i="6"/>
  <c r="I26" i="6"/>
  <c r="I14" i="6"/>
  <c r="E36" i="6"/>
  <c r="G13" i="6"/>
  <c r="E12" i="6"/>
  <c r="G9" i="6"/>
  <c r="K35" i="7"/>
  <c r="E24" i="6"/>
  <c r="G21" i="6"/>
  <c r="G29" i="6"/>
  <c r="G41" i="6"/>
  <c r="K28" i="6"/>
  <c r="I31" i="7"/>
  <c r="C26" i="6"/>
  <c r="C34" i="6"/>
  <c r="C41" i="6"/>
  <c r="E9" i="6"/>
  <c r="E13" i="6"/>
  <c r="E17" i="6"/>
  <c r="E25" i="6"/>
  <c r="E37" i="6"/>
  <c r="E41" i="6"/>
  <c r="G10" i="6"/>
  <c r="O29" i="6"/>
  <c r="Q10" i="6"/>
  <c r="C9" i="6"/>
  <c r="K17" i="7"/>
  <c r="C10" i="6"/>
  <c r="C25" i="6"/>
  <c r="K12" i="7"/>
  <c r="C13" i="6"/>
  <c r="C29" i="6"/>
  <c r="G14" i="6"/>
  <c r="O14" i="6"/>
  <c r="O32" i="6"/>
  <c r="O36" i="6"/>
  <c r="O40" i="6"/>
  <c r="Q34" i="6"/>
  <c r="O14" i="7"/>
  <c r="O22" i="7"/>
  <c r="M33" i="7"/>
  <c r="M17" i="7"/>
  <c r="M9" i="6"/>
  <c r="C21" i="6"/>
  <c r="G22" i="6"/>
  <c r="G38" i="6"/>
  <c r="I11" i="7"/>
  <c r="C17" i="6"/>
  <c r="G18" i="6"/>
  <c r="G34" i="6"/>
  <c r="O7" i="6"/>
  <c r="O11" i="6"/>
  <c r="O19" i="6"/>
  <c r="O7" i="7"/>
  <c r="O9" i="7"/>
  <c r="C12" i="6"/>
  <c r="C28" i="6"/>
  <c r="C36" i="6"/>
  <c r="C40" i="6"/>
  <c r="G20" i="6"/>
  <c r="G36" i="6"/>
  <c r="G40" i="6"/>
  <c r="I45" i="5"/>
  <c r="AO45" i="6"/>
  <c r="F43" i="7" l="1"/>
  <c r="G44" i="7"/>
  <c r="O45" i="6"/>
  <c r="J44" i="6"/>
  <c r="V44" i="6"/>
  <c r="K43" i="6"/>
  <c r="M45" i="6" s="1"/>
  <c r="AC7" i="8"/>
  <c r="AD66" i="8"/>
  <c r="AD7" i="8"/>
  <c r="AC13" i="8"/>
  <c r="AD38" i="8"/>
  <c r="AE61" i="8"/>
  <c r="AE38" i="8"/>
  <c r="AC66" i="8"/>
  <c r="AC38" i="8"/>
  <c r="AE66" i="8"/>
  <c r="AE7" i="8"/>
  <c r="AE13" i="8"/>
  <c r="AF61" i="8"/>
  <c r="AF38" i="8"/>
  <c r="AF13" i="8"/>
  <c r="AD22" i="8"/>
  <c r="AE22" i="8"/>
  <c r="AC61" i="8"/>
  <c r="AC22" i="8"/>
  <c r="AF66" i="8"/>
  <c r="AF7" i="8"/>
  <c r="AD61" i="8"/>
  <c r="AD13" i="8"/>
  <c r="AF22" i="8"/>
  <c r="C39" i="9"/>
  <c r="O44" i="7"/>
  <c r="AX44" i="6"/>
  <c r="I27" i="7"/>
  <c r="G15" i="6"/>
  <c r="C14" i="6"/>
  <c r="K9" i="7"/>
  <c r="E10" i="6"/>
  <c r="I19" i="7"/>
  <c r="I35" i="7"/>
  <c r="K39" i="7"/>
  <c r="C38" i="6"/>
  <c r="E23" i="6"/>
  <c r="O41" i="6"/>
  <c r="G39" i="6"/>
  <c r="G31" i="6"/>
  <c r="K23" i="7"/>
  <c r="M36" i="7"/>
  <c r="G28" i="6"/>
  <c r="K15" i="7"/>
  <c r="E39" i="6"/>
  <c r="O33" i="6"/>
  <c r="K31" i="7"/>
  <c r="M12" i="7"/>
  <c r="O25" i="7"/>
  <c r="M36" i="6"/>
  <c r="O17" i="7"/>
  <c r="K28" i="7"/>
  <c r="E34" i="6"/>
  <c r="E18" i="6"/>
  <c r="O30" i="6"/>
  <c r="N43" i="7"/>
  <c r="C32" i="2"/>
  <c r="BK33" i="5" s="1"/>
  <c r="BL33" i="5" s="1"/>
  <c r="C41" i="1"/>
  <c r="BJ41" i="5"/>
  <c r="BJ33" i="7"/>
  <c r="BJ25" i="7"/>
  <c r="BJ17" i="7"/>
  <c r="BJ9" i="7"/>
  <c r="BJ40" i="7"/>
  <c r="BJ32" i="7"/>
  <c r="C24" i="1"/>
  <c r="BJ24" i="5"/>
  <c r="BJ16" i="7"/>
  <c r="BJ8" i="7"/>
  <c r="BJ39" i="7"/>
  <c r="BJ31" i="7"/>
  <c r="BJ23" i="7"/>
  <c r="BJ15" i="7"/>
  <c r="BJ7" i="7"/>
  <c r="BJ38" i="7"/>
  <c r="C30" i="1"/>
  <c r="BJ30" i="5"/>
  <c r="BJ22" i="7"/>
  <c r="BJ14" i="7"/>
  <c r="BJ37" i="7"/>
  <c r="BJ29" i="7"/>
  <c r="BJ21" i="7"/>
  <c r="BJ13" i="7"/>
  <c r="BJ36" i="7"/>
  <c r="BJ28" i="7"/>
  <c r="BJ20" i="7"/>
  <c r="BJ12" i="7"/>
  <c r="BJ35" i="7"/>
  <c r="BJ27" i="7"/>
  <c r="BJ19" i="7"/>
  <c r="BJ11" i="7"/>
  <c r="BJ34" i="7"/>
  <c r="BJ26" i="7"/>
  <c r="BJ18" i="7"/>
  <c r="BJ10" i="7"/>
  <c r="AB7" i="8"/>
  <c r="AB22" i="8"/>
  <c r="AB13" i="8"/>
  <c r="AB38" i="8"/>
  <c r="AB66" i="8"/>
  <c r="AB61" i="8"/>
  <c r="T43" i="7"/>
  <c r="I44" i="7"/>
  <c r="T44" i="6"/>
  <c r="Q45" i="6"/>
  <c r="G24" i="6"/>
  <c r="M29" i="6"/>
  <c r="Q30" i="6"/>
  <c r="AR44" i="5"/>
  <c r="M21" i="7"/>
  <c r="Q14" i="6"/>
  <c r="C8" i="6"/>
  <c r="M21" i="6"/>
  <c r="I12" i="6"/>
  <c r="I36" i="6"/>
  <c r="Q39" i="6"/>
  <c r="M29" i="7"/>
  <c r="M37" i="6"/>
  <c r="K45" i="5"/>
  <c r="C27" i="1"/>
  <c r="C13" i="1"/>
  <c r="C35" i="2"/>
  <c r="BK36" i="5" s="1"/>
  <c r="BL36" i="5" s="1"/>
  <c r="K45" i="6"/>
  <c r="AT44" i="6"/>
  <c r="O45" i="5"/>
  <c r="C21" i="2"/>
  <c r="BK22" i="5" s="1"/>
  <c r="BL22" i="5" s="1"/>
  <c r="K44" i="7"/>
  <c r="M44" i="7"/>
  <c r="M25" i="7"/>
  <c r="M15" i="7"/>
  <c r="M7" i="7"/>
  <c r="E27" i="6"/>
  <c r="AV44" i="6"/>
  <c r="G19" i="6"/>
  <c r="K29" i="7"/>
  <c r="G11" i="6"/>
  <c r="O21" i="7"/>
  <c r="Q38" i="6"/>
  <c r="C37" i="6"/>
  <c r="O10" i="6"/>
  <c r="E21" i="6"/>
  <c r="G25" i="6"/>
  <c r="I18" i="6"/>
  <c r="M10" i="7"/>
  <c r="K21" i="7"/>
  <c r="I11" i="6"/>
  <c r="O29" i="7"/>
  <c r="J43" i="7"/>
  <c r="O26" i="6"/>
  <c r="K18" i="7"/>
  <c r="M15" i="6"/>
  <c r="C7" i="6"/>
  <c r="G43" i="6"/>
  <c r="C20" i="7"/>
  <c r="E17" i="7"/>
  <c r="E23" i="7"/>
  <c r="G32" i="7"/>
  <c r="M17" i="6"/>
  <c r="G23" i="6"/>
  <c r="I8" i="6"/>
  <c r="G30" i="6"/>
  <c r="M40" i="6"/>
  <c r="L43" i="7"/>
  <c r="X43" i="7"/>
  <c r="K34" i="7"/>
  <c r="F44" i="6"/>
  <c r="C39" i="6"/>
  <c r="C12" i="2"/>
  <c r="BK13" i="5" s="1"/>
  <c r="BL13" i="5" s="1"/>
  <c r="M37" i="7"/>
  <c r="O13" i="7"/>
  <c r="G37" i="6"/>
  <c r="P44" i="6"/>
  <c r="C33" i="6"/>
  <c r="E8" i="6"/>
  <c r="I38" i="6"/>
  <c r="M30" i="7"/>
  <c r="E38" i="6"/>
  <c r="K18" i="6"/>
  <c r="AT44" i="5"/>
  <c r="C24" i="6"/>
  <c r="Q44" i="7"/>
  <c r="Q29" i="6"/>
  <c r="C18" i="6"/>
  <c r="C30" i="6"/>
  <c r="E30" i="6"/>
  <c r="M10" i="6"/>
  <c r="P43" i="7"/>
  <c r="I41" i="7"/>
  <c r="I41" i="6"/>
  <c r="AX44" i="5"/>
  <c r="AZ44" i="5"/>
  <c r="N44" i="6"/>
  <c r="Q21" i="6"/>
  <c r="I15" i="7"/>
  <c r="K34" i="6"/>
  <c r="E15" i="6"/>
  <c r="C7" i="1"/>
  <c r="C6" i="2"/>
  <c r="BK7" i="5" s="1"/>
  <c r="BL7" i="5" s="1"/>
  <c r="C30" i="2"/>
  <c r="BK31" i="5" s="1"/>
  <c r="BL31" i="5" s="1"/>
  <c r="C23" i="2"/>
  <c r="BK24" i="5" s="1"/>
  <c r="BL24" i="5" s="1"/>
  <c r="BF30" i="7"/>
  <c r="I39" i="9"/>
  <c r="C9" i="1"/>
  <c r="B43" i="2"/>
  <c r="C8" i="2"/>
  <c r="BK9" i="5" s="1"/>
  <c r="BL9" i="5" s="1"/>
  <c r="C39" i="1"/>
  <c r="C22" i="1"/>
  <c r="C34" i="1"/>
  <c r="C15" i="1"/>
  <c r="C37" i="2"/>
  <c r="BK38" i="5" s="1"/>
  <c r="BL38" i="5" s="1"/>
  <c r="C13" i="2"/>
  <c r="BK14" i="5" s="1"/>
  <c r="BL14" i="5" s="1"/>
  <c r="H68" i="8"/>
  <c r="O68" i="8"/>
  <c r="Q68" i="8"/>
  <c r="K68" i="8"/>
  <c r="J68" i="8"/>
  <c r="C68" i="8"/>
  <c r="G68" i="8"/>
  <c r="F68" i="8"/>
  <c r="B68" i="8"/>
  <c r="I68" i="8"/>
  <c r="E68" i="8"/>
  <c r="N68" i="8"/>
  <c r="L68" i="8"/>
  <c r="D68" i="8"/>
  <c r="M68" i="8"/>
  <c r="T68" i="8"/>
  <c r="P68" i="8"/>
  <c r="Q31" i="7"/>
  <c r="Q40" i="6"/>
  <c r="G16" i="6"/>
  <c r="L44" i="5"/>
  <c r="Q17" i="6"/>
  <c r="K16" i="7"/>
  <c r="E33" i="6"/>
  <c r="O8" i="6"/>
  <c r="G26" i="6"/>
  <c r="I27" i="6"/>
  <c r="K10" i="7"/>
  <c r="K26" i="7"/>
  <c r="M39" i="7"/>
  <c r="G45" i="5"/>
  <c r="Q36" i="7"/>
  <c r="Q31" i="6"/>
  <c r="G12" i="6"/>
  <c r="C32" i="6"/>
  <c r="C16" i="6"/>
  <c r="O23" i="7"/>
  <c r="O23" i="6"/>
  <c r="K32" i="6"/>
  <c r="N44" i="5"/>
  <c r="Q13" i="6"/>
  <c r="O12" i="6"/>
  <c r="E40" i="6"/>
  <c r="G33" i="6"/>
  <c r="I10" i="6"/>
  <c r="K10" i="6"/>
  <c r="K26" i="6"/>
  <c r="I15" i="6"/>
  <c r="M39" i="6"/>
  <c r="Q45" i="5"/>
  <c r="AO44" i="7"/>
  <c r="AS44" i="7"/>
  <c r="G8" i="6"/>
  <c r="M9" i="7"/>
  <c r="K32" i="7"/>
  <c r="K16" i="6"/>
  <c r="I34" i="6"/>
  <c r="Q24" i="6"/>
  <c r="K13" i="7"/>
  <c r="F44" i="5"/>
  <c r="O38" i="6"/>
  <c r="Q27" i="6"/>
  <c r="E7" i="6"/>
  <c r="AN44" i="5"/>
  <c r="AQ44" i="7"/>
  <c r="AU44" i="7"/>
  <c r="E11" i="7"/>
  <c r="E29" i="7"/>
  <c r="E29" i="6"/>
  <c r="K20" i="6"/>
  <c r="K40" i="7"/>
  <c r="M20" i="6"/>
  <c r="M24" i="7"/>
  <c r="M24" i="6"/>
  <c r="M28" i="7"/>
  <c r="M35" i="6"/>
  <c r="AP44" i="5"/>
  <c r="S45" i="5"/>
  <c r="M13" i="7"/>
  <c r="K20" i="7"/>
  <c r="I16" i="7"/>
  <c r="I22" i="7"/>
  <c r="I22" i="6"/>
  <c r="I28" i="7"/>
  <c r="K7" i="6"/>
  <c r="K24" i="7"/>
  <c r="K24" i="6"/>
  <c r="K27" i="6"/>
  <c r="K27" i="7"/>
  <c r="K30" i="7"/>
  <c r="K30" i="6"/>
  <c r="K33" i="6"/>
  <c r="K33" i="7"/>
  <c r="K37" i="6"/>
  <c r="M45" i="5"/>
  <c r="J44" i="5"/>
  <c r="O15" i="7"/>
  <c r="O15" i="6"/>
  <c r="K40" i="6"/>
  <c r="Q9" i="6"/>
  <c r="M13" i="6"/>
  <c r="K7" i="7"/>
  <c r="R44" i="5"/>
  <c r="I16" i="6"/>
  <c r="I19" i="6"/>
  <c r="I35" i="6"/>
  <c r="Q12" i="6"/>
  <c r="M35" i="7"/>
  <c r="E35" i="6"/>
  <c r="E35" i="7"/>
  <c r="G7" i="7"/>
  <c r="G10" i="7"/>
  <c r="G41" i="7"/>
  <c r="I14" i="7"/>
  <c r="I20" i="7"/>
  <c r="I20" i="6"/>
  <c r="I23" i="6"/>
  <c r="I25" i="6"/>
  <c r="I25" i="7"/>
  <c r="I32" i="7"/>
  <c r="I32" i="6"/>
  <c r="K8" i="7"/>
  <c r="M41" i="6"/>
  <c r="M41" i="7"/>
  <c r="Q15" i="7"/>
  <c r="Q22" i="7"/>
  <c r="Q22" i="6"/>
  <c r="Q25" i="7"/>
  <c r="Q25" i="6"/>
  <c r="Q28" i="7"/>
  <c r="Q28" i="6"/>
  <c r="Q33" i="7"/>
  <c r="Q33" i="6"/>
  <c r="Q37" i="7"/>
  <c r="C11" i="7"/>
  <c r="C11" i="6"/>
  <c r="C19" i="7"/>
  <c r="C19" i="6"/>
  <c r="C27" i="7"/>
  <c r="C27" i="6"/>
  <c r="E14" i="7"/>
  <c r="E26" i="7"/>
  <c r="E26" i="6"/>
  <c r="K36" i="6"/>
  <c r="M20" i="7"/>
  <c r="E20" i="6"/>
  <c r="M28" i="6"/>
  <c r="P44" i="5"/>
  <c r="C35" i="6"/>
  <c r="E19" i="7"/>
  <c r="E19" i="6"/>
  <c r="E22" i="7"/>
  <c r="E22" i="6"/>
  <c r="E25" i="7"/>
  <c r="E28" i="7"/>
  <c r="E28" i="6"/>
  <c r="E32" i="7"/>
  <c r="E32" i="6"/>
  <c r="M8" i="7"/>
  <c r="M38" i="6"/>
  <c r="M38" i="7"/>
  <c r="O18" i="7"/>
  <c r="O18" i="6"/>
  <c r="O22" i="6"/>
  <c r="O34" i="7"/>
  <c r="Q16" i="7"/>
  <c r="Q19" i="6"/>
  <c r="Q26" i="7"/>
  <c r="Q26" i="6"/>
  <c r="Z44" i="5"/>
  <c r="X44" i="5"/>
  <c r="C15" i="7"/>
  <c r="C15" i="6"/>
  <c r="C31" i="7"/>
  <c r="C31" i="6"/>
  <c r="E31" i="7"/>
  <c r="E31" i="6"/>
  <c r="AT42" i="7"/>
  <c r="AN42" i="7"/>
  <c r="AW44" i="7"/>
  <c r="AY44" i="7"/>
  <c r="AR42" i="7"/>
  <c r="AX42" i="7"/>
  <c r="AP42" i="7"/>
  <c r="C25" i="2"/>
  <c r="BK26" i="5" s="1"/>
  <c r="BL26" i="5" s="1"/>
  <c r="C26" i="1"/>
  <c r="C37" i="1"/>
  <c r="C31" i="1"/>
  <c r="C32" i="1"/>
  <c r="C17" i="1"/>
  <c r="C36" i="2"/>
  <c r="BK37" i="5" s="1"/>
  <c r="BL37" i="5" s="1"/>
  <c r="C33" i="2"/>
  <c r="BK34" i="5" s="1"/>
  <c r="BL34" i="5" s="1"/>
  <c r="C10" i="2"/>
  <c r="BK11" i="5" s="1"/>
  <c r="BL11" i="5" s="1"/>
  <c r="C35" i="1"/>
  <c r="C28" i="1"/>
  <c r="C23" i="1"/>
  <c r="BF27" i="7"/>
  <c r="C15" i="2"/>
  <c r="BK16" i="5" s="1"/>
  <c r="BL16" i="5" s="1"/>
  <c r="C36" i="1"/>
  <c r="C19" i="1"/>
  <c r="C11" i="1"/>
  <c r="D11" i="1" s="1"/>
  <c r="E11" i="1" s="1"/>
  <c r="AF11" i="4" s="1"/>
  <c r="C8" i="1"/>
  <c r="C27" i="2"/>
  <c r="BK28" i="5" s="1"/>
  <c r="BL28" i="5" s="1"/>
  <c r="BF32" i="7"/>
  <c r="BF40" i="7"/>
  <c r="BF12" i="7"/>
  <c r="C34" i="2"/>
  <c r="BK35" i="5" s="1"/>
  <c r="BL35" i="5" s="1"/>
  <c r="G39" i="9"/>
  <c r="E39" i="9"/>
  <c r="BF38" i="7"/>
  <c r="BF18" i="7"/>
  <c r="BF15" i="7"/>
  <c r="C14" i="1"/>
  <c r="C26" i="2"/>
  <c r="BK27" i="5" s="1"/>
  <c r="BL27" i="5" s="1"/>
  <c r="C19" i="2"/>
  <c r="BK20" i="5" s="1"/>
  <c r="BL20" i="5" s="1"/>
  <c r="C33" i="1"/>
  <c r="C29" i="1"/>
  <c r="C25" i="1"/>
  <c r="C21" i="1"/>
  <c r="C38" i="1"/>
  <c r="C18" i="1"/>
  <c r="C10" i="1"/>
  <c r="C39" i="2"/>
  <c r="BK40" i="5" s="1"/>
  <c r="BL40" i="5" s="1"/>
  <c r="C28" i="2"/>
  <c r="BK29" i="5" s="1"/>
  <c r="BL29" i="5" s="1"/>
  <c r="C20" i="2"/>
  <c r="BK21" i="5" s="1"/>
  <c r="BL21" i="5" s="1"/>
  <c r="C17" i="2"/>
  <c r="BK18" i="5" s="1"/>
  <c r="BL18" i="5" s="1"/>
  <c r="C40" i="1"/>
  <c r="C20" i="1"/>
  <c r="C16" i="1"/>
  <c r="C12" i="1"/>
  <c r="AL42" i="7"/>
  <c r="AP44" i="6"/>
  <c r="AV42" i="7"/>
  <c r="C31" i="2"/>
  <c r="BK32" i="5" s="1"/>
  <c r="BL32" i="5" s="1"/>
  <c r="C22" i="2"/>
  <c r="BK23" i="5" s="1"/>
  <c r="BL23" i="5" s="1"/>
  <c r="C18" i="2"/>
  <c r="BK19" i="5" s="1"/>
  <c r="BL19" i="5" s="1"/>
  <c r="C11" i="2"/>
  <c r="BK12" i="5" s="1"/>
  <c r="BL12" i="5" s="1"/>
  <c r="C40" i="2"/>
  <c r="BK41" i="5" s="1"/>
  <c r="BL41" i="5" s="1"/>
  <c r="C16" i="2"/>
  <c r="BK17" i="5" s="1"/>
  <c r="BL17" i="5" s="1"/>
  <c r="C29" i="2"/>
  <c r="BK30" i="5" s="1"/>
  <c r="BL30" i="5" s="1"/>
  <c r="C24" i="2"/>
  <c r="BK25" i="5" s="1"/>
  <c r="BL25" i="5" s="1"/>
  <c r="C9" i="2"/>
  <c r="BK10" i="5" s="1"/>
  <c r="BL10" i="5" s="1"/>
  <c r="C38" i="2"/>
  <c r="BK39" i="5" s="1"/>
  <c r="BL39" i="5" s="1"/>
  <c r="C14" i="2"/>
  <c r="BK15" i="5" s="1"/>
  <c r="BL15" i="5" s="1"/>
  <c r="BF29" i="7"/>
  <c r="D27" i="1"/>
  <c r="E27" i="1" s="1"/>
  <c r="AF27" i="4" s="1"/>
  <c r="D41" i="1"/>
  <c r="E41" i="1" s="1"/>
  <c r="AF41" i="4" s="1"/>
  <c r="AD68" i="8" l="1"/>
  <c r="AF68" i="8"/>
  <c r="AC68" i="8"/>
  <c r="AE68" i="8"/>
  <c r="B39" i="9"/>
  <c r="BK33" i="7"/>
  <c r="D30" i="1"/>
  <c r="E30" i="1" s="1"/>
  <c r="AF30" i="4" s="1"/>
  <c r="BJ24" i="7"/>
  <c r="BJ43" i="5"/>
  <c r="BJ30" i="7"/>
  <c r="BJ41" i="7"/>
  <c r="BK22" i="7"/>
  <c r="BL22" i="7" s="1"/>
  <c r="BK12" i="7"/>
  <c r="BL12" i="7" s="1"/>
  <c r="BK27" i="7"/>
  <c r="BL27" i="7" s="1"/>
  <c r="BK34" i="7"/>
  <c r="BL34" i="7" s="1"/>
  <c r="BK19" i="7"/>
  <c r="BL19" i="7" s="1"/>
  <c r="BK35" i="7"/>
  <c r="BL35" i="7" s="1"/>
  <c r="BK28" i="7"/>
  <c r="BL28" i="7" s="1"/>
  <c r="BK37" i="7"/>
  <c r="BL37" i="7" s="1"/>
  <c r="BK14" i="7"/>
  <c r="BL14" i="7" s="1"/>
  <c r="BK24" i="7"/>
  <c r="BL24" i="7" s="1"/>
  <c r="BK30" i="7"/>
  <c r="BL30" i="7" s="1"/>
  <c r="BK9" i="7"/>
  <c r="BL9" i="7" s="1"/>
  <c r="BK23" i="7"/>
  <c r="BL23" i="7" s="1"/>
  <c r="BK31" i="7"/>
  <c r="BL31" i="7" s="1"/>
  <c r="BK13" i="7"/>
  <c r="BL13" i="7" s="1"/>
  <c r="BK21" i="7"/>
  <c r="BL21" i="7" s="1"/>
  <c r="BK10" i="7"/>
  <c r="BL10" i="7" s="1"/>
  <c r="BK25" i="7"/>
  <c r="BL25" i="7" s="1"/>
  <c r="BK32" i="7"/>
  <c r="BL32" i="7" s="1"/>
  <c r="BK15" i="7"/>
  <c r="BL15" i="7" s="1"/>
  <c r="BK41" i="7"/>
  <c r="BL41" i="7" s="1"/>
  <c r="BK29" i="7"/>
  <c r="BL29" i="7" s="1"/>
  <c r="BK16" i="7"/>
  <c r="BL16" i="7" s="1"/>
  <c r="BK36" i="7"/>
  <c r="BL36" i="7" s="1"/>
  <c r="BK18" i="7"/>
  <c r="BL18" i="7" s="1"/>
  <c r="BK17" i="7"/>
  <c r="BL17" i="7" s="1"/>
  <c r="BK39" i="7"/>
  <c r="BL39" i="7" s="1"/>
  <c r="BK40" i="7"/>
  <c r="BL40" i="7" s="1"/>
  <c r="BK20" i="7"/>
  <c r="BL20" i="7" s="1"/>
  <c r="BK11" i="7"/>
  <c r="BL11" i="7" s="1"/>
  <c r="BK26" i="7"/>
  <c r="BL26" i="7" s="1"/>
  <c r="BK38" i="7"/>
  <c r="BL38" i="7" s="1"/>
  <c r="BK7" i="7"/>
  <c r="BL7" i="7" s="1"/>
  <c r="AB68" i="8"/>
  <c r="D13" i="1"/>
  <c r="E13" i="1" s="1"/>
  <c r="AF13" i="4" s="1"/>
  <c r="D7" i="1"/>
  <c r="E7" i="1" s="1"/>
  <c r="AF7" i="4" s="1"/>
  <c r="D9" i="1"/>
  <c r="E9" i="1" s="1"/>
  <c r="AF9" i="4" s="1"/>
  <c r="G45" i="6"/>
  <c r="I45" i="6"/>
  <c r="D15" i="1"/>
  <c r="E15" i="1" s="1"/>
  <c r="AF15" i="4" s="1"/>
  <c r="D23" i="1"/>
  <c r="E23" i="1" s="1"/>
  <c r="AF23" i="4" s="1"/>
  <c r="D36" i="1"/>
  <c r="E36" i="1" s="1"/>
  <c r="AF36" i="4" s="1"/>
  <c r="D31" i="1"/>
  <c r="E31" i="1" s="1"/>
  <c r="AF31" i="4" s="1"/>
  <c r="D38" i="1"/>
  <c r="E38" i="1" s="1"/>
  <c r="AF38" i="4" s="1"/>
  <c r="D29" i="1"/>
  <c r="E29" i="1" s="1"/>
  <c r="BF22" i="7"/>
  <c r="AX43" i="7"/>
  <c r="AZ43" i="7"/>
  <c r="BF26" i="7"/>
  <c r="BF17" i="7"/>
  <c r="BF9" i="7"/>
  <c r="BF21" i="7"/>
  <c r="BF11" i="7"/>
  <c r="BF41" i="7"/>
  <c r="BF35" i="7"/>
  <c r="BF37" i="7"/>
  <c r="BF7" i="7"/>
  <c r="BF24" i="7"/>
  <c r="BF36" i="7"/>
  <c r="BF31" i="7"/>
  <c r="BF14" i="7"/>
  <c r="BF33" i="7"/>
  <c r="BF34" i="7"/>
  <c r="BF20" i="7"/>
  <c r="BF28" i="7"/>
  <c r="BF10" i="7"/>
  <c r="BF8" i="7"/>
  <c r="BF16" i="7"/>
  <c r="BF25" i="7"/>
  <c r="BF13" i="7"/>
  <c r="BF39" i="7"/>
  <c r="BF19" i="7"/>
  <c r="BF23" i="7"/>
  <c r="D17" i="1"/>
  <c r="E17" i="1" s="1"/>
  <c r="AF17" i="4" s="1"/>
  <c r="D22" i="1"/>
  <c r="E22" i="1" s="1"/>
  <c r="AF22" i="4" s="1"/>
  <c r="D19" i="1"/>
  <c r="E19" i="1" s="1"/>
  <c r="AF19" i="4" s="1"/>
  <c r="D39" i="1"/>
  <c r="E39" i="1" s="1"/>
  <c r="AF39" i="4" s="1"/>
  <c r="D35" i="1"/>
  <c r="E35" i="1" s="1"/>
  <c r="AF35" i="4" s="1"/>
  <c r="BG7" i="7"/>
  <c r="BG12" i="7"/>
  <c r="BG40" i="7"/>
  <c r="BG15" i="7"/>
  <c r="BG41" i="7"/>
  <c r="BG23" i="7"/>
  <c r="BG9" i="7"/>
  <c r="AT43" i="7"/>
  <c r="AR43" i="7"/>
  <c r="BG29" i="7"/>
  <c r="BG11" i="7"/>
  <c r="AP43" i="7"/>
  <c r="BG35" i="7"/>
  <c r="BG31" i="7"/>
  <c r="D21" i="1"/>
  <c r="E21" i="1" s="1"/>
  <c r="AF21" i="4" s="1"/>
  <c r="D28" i="1"/>
  <c r="E28" i="1" s="1"/>
  <c r="AF28" i="4" s="1"/>
  <c r="D37" i="1"/>
  <c r="E37" i="1" s="1"/>
  <c r="BG19" i="7"/>
  <c r="BG37" i="7"/>
  <c r="D10" i="1"/>
  <c r="E10" i="1" s="1"/>
  <c r="AF10" i="4" s="1"/>
  <c r="D33" i="1"/>
  <c r="E33" i="1" s="1"/>
  <c r="AF33" i="4" s="1"/>
  <c r="C43" i="1"/>
  <c r="BG17" i="7"/>
  <c r="BG14" i="7"/>
  <c r="BG21" i="7"/>
  <c r="BG22" i="7"/>
  <c r="BG38" i="7"/>
  <c r="BG13" i="7"/>
  <c r="D20" i="1"/>
  <c r="E20" i="1" s="1"/>
  <c r="AF20" i="4" s="1"/>
  <c r="D14" i="1"/>
  <c r="E14" i="1" s="1"/>
  <c r="AF14" i="4" s="1"/>
  <c r="BG27" i="7"/>
  <c r="E25" i="1"/>
  <c r="AF25" i="4" s="1"/>
  <c r="BG33" i="7"/>
  <c r="BG25" i="7"/>
  <c r="AV43" i="7"/>
  <c r="BG30" i="7"/>
  <c r="W68" i="8"/>
  <c r="AL43" i="7"/>
  <c r="AN43" i="7"/>
  <c r="C7" i="2"/>
  <c r="BK8" i="5" s="1"/>
  <c r="BL8" i="5" s="1"/>
  <c r="D43" i="2"/>
  <c r="C43" i="2" s="1"/>
  <c r="BG32" i="7"/>
  <c r="BG39" i="7"/>
  <c r="D40" i="1"/>
  <c r="E40" i="1" s="1"/>
  <c r="AF40" i="4" s="1"/>
  <c r="D32" i="1"/>
  <c r="E32" i="1" s="1"/>
  <c r="AF32" i="4" s="1"/>
  <c r="D12" i="1"/>
  <c r="E12" i="1" s="1"/>
  <c r="AF12" i="4" s="1"/>
  <c r="D18" i="1"/>
  <c r="E18" i="1" s="1"/>
  <c r="AF18" i="4" s="1"/>
  <c r="D34" i="1"/>
  <c r="E34" i="1" s="1"/>
  <c r="AF34" i="4" s="1"/>
  <c r="D16" i="1"/>
  <c r="E16" i="1" s="1"/>
  <c r="AF16" i="4" s="1"/>
  <c r="BG26" i="7"/>
  <c r="BG24" i="7"/>
  <c r="BG18" i="7"/>
  <c r="D8" i="1"/>
  <c r="BG34" i="7"/>
  <c r="B43" i="1"/>
  <c r="BG28" i="7"/>
  <c r="BG10" i="7"/>
  <c r="D24" i="1"/>
  <c r="E24" i="1" s="1"/>
  <c r="AF24" i="4" s="1"/>
  <c r="BG36" i="7"/>
  <c r="D26" i="1"/>
  <c r="E26" i="1" s="1"/>
  <c r="AF26" i="4" s="1"/>
  <c r="BG20" i="7"/>
  <c r="BG16" i="7"/>
  <c r="BJ44" i="5" l="1"/>
  <c r="BL33" i="7"/>
  <c r="BO47" i="5"/>
  <c r="BO48" i="5" s="1"/>
  <c r="BJ42" i="7"/>
  <c r="BJ43" i="7" s="1"/>
  <c r="BK8" i="7"/>
  <c r="BL8" i="7" s="1"/>
  <c r="BK43" i="5"/>
  <c r="BG45" i="6"/>
  <c r="BF44" i="5"/>
  <c r="BG45" i="5"/>
  <c r="Z68" i="8"/>
  <c r="AF37" i="4"/>
  <c r="E43" i="1"/>
  <c r="AF43" i="4" s="1"/>
  <c r="BF42" i="7"/>
  <c r="BH43" i="7" s="1"/>
  <c r="BG8" i="7"/>
  <c r="BG42" i="7"/>
  <c r="BI44" i="7" s="1"/>
  <c r="D39" i="9"/>
  <c r="F39" i="9"/>
  <c r="H39" i="9"/>
  <c r="E8" i="1"/>
  <c r="AF8" i="4" s="1"/>
  <c r="D43" i="1"/>
  <c r="BK45" i="5" l="1"/>
  <c r="BL43" i="5"/>
  <c r="BO45" i="5"/>
  <c r="BK42" i="7"/>
  <c r="BF43" i="7"/>
  <c r="BG44" i="7"/>
  <c r="BK44" i="7" l="1"/>
  <c r="BL42" i="7"/>
</calcChain>
</file>

<file path=xl/sharedStrings.xml><?xml version="1.0" encoding="utf-8"?>
<sst xmlns="http://schemas.openxmlformats.org/spreadsheetml/2006/main" count="878" uniqueCount="189">
  <si>
    <t>Tons</t>
  </si>
  <si>
    <t>Wasteshed</t>
  </si>
  <si>
    <t>Disposed</t>
  </si>
  <si>
    <t>Recovered</t>
  </si>
  <si>
    <t>Generated</t>
  </si>
  <si>
    <t>Rate</t>
  </si>
  <si>
    <t>Baker</t>
  </si>
  <si>
    <t>Benton</t>
  </si>
  <si>
    <t>Clatsop</t>
  </si>
  <si>
    <t>Columbia</t>
  </si>
  <si>
    <t>Coos</t>
  </si>
  <si>
    <t>Crook</t>
  </si>
  <si>
    <t>Curry</t>
  </si>
  <si>
    <t>Deschutes</t>
  </si>
  <si>
    <t>Douglas</t>
  </si>
  <si>
    <t>Gilliam</t>
  </si>
  <si>
    <t>Grant</t>
  </si>
  <si>
    <t>Harney</t>
  </si>
  <si>
    <t>Hood River</t>
  </si>
  <si>
    <t>Jackson</t>
  </si>
  <si>
    <t>Jefferson</t>
  </si>
  <si>
    <t>Josephine</t>
  </si>
  <si>
    <t>Klamath</t>
  </si>
  <si>
    <t>Lake</t>
  </si>
  <si>
    <t>Lane</t>
  </si>
  <si>
    <t>Lincoln</t>
  </si>
  <si>
    <t>Linn</t>
  </si>
  <si>
    <t>Malheur</t>
  </si>
  <si>
    <t>Marion</t>
  </si>
  <si>
    <t>Metro</t>
  </si>
  <si>
    <t>Morrow</t>
  </si>
  <si>
    <t>Polk</t>
  </si>
  <si>
    <t>Sherman</t>
  </si>
  <si>
    <t>Tillamook</t>
  </si>
  <si>
    <t>Umatilla</t>
  </si>
  <si>
    <t>Union</t>
  </si>
  <si>
    <t>Wallowa</t>
  </si>
  <si>
    <t>Wasco</t>
  </si>
  <si>
    <t>Wheeler</t>
  </si>
  <si>
    <t>Yamhill</t>
  </si>
  <si>
    <t>Rounding adj.</t>
  </si>
  <si>
    <t>OREGON TOTALS</t>
  </si>
  <si>
    <t>Per Capita</t>
  </si>
  <si>
    <t>Population</t>
  </si>
  <si>
    <t>(tons)</t>
  </si>
  <si>
    <t>(lbs.)</t>
  </si>
  <si>
    <t>Change in</t>
  </si>
  <si>
    <t>Material Type</t>
  </si>
  <si>
    <t>Container glass</t>
  </si>
  <si>
    <t>Other glass</t>
  </si>
  <si>
    <t>Total glass</t>
  </si>
  <si>
    <t>Aluminum</t>
  </si>
  <si>
    <t>Scrap metal</t>
  </si>
  <si>
    <t>Tinned cans</t>
  </si>
  <si>
    <t>Aerosol cans</t>
  </si>
  <si>
    <t>Total metals</t>
  </si>
  <si>
    <t>Cardboard/kraft paper</t>
  </si>
  <si>
    <t>Magazines</t>
  </si>
  <si>
    <t>Fiber-based fuel</t>
  </si>
  <si>
    <t>Total papers</t>
  </si>
  <si>
    <t>#1 PET beverage</t>
  </si>
  <si>
    <t>#1 other</t>
  </si>
  <si>
    <t>#2 milk jugs</t>
  </si>
  <si>
    <t>#2 other</t>
  </si>
  <si>
    <t>#3 PVC</t>
  </si>
  <si>
    <t>#4 LDPE</t>
  </si>
  <si>
    <t>#5</t>
  </si>
  <si>
    <t>#6</t>
  </si>
  <si>
    <t>Composite plastic</t>
  </si>
  <si>
    <t>Mixed plastic</t>
  </si>
  <si>
    <t>Other plastic (P7)</t>
  </si>
  <si>
    <t>Total plastic</t>
  </si>
  <si>
    <t>Antifreeze</t>
  </si>
  <si>
    <t>Gypsum wallboard</t>
  </si>
  <si>
    <t>Old broken crayons</t>
  </si>
  <si>
    <t>Porcelain</t>
  </si>
  <si>
    <t>Scrap film (X-ray)</t>
  </si>
  <si>
    <t>Textiles</t>
  </si>
  <si>
    <t>Total other</t>
  </si>
  <si>
    <t>Animal waste/grease</t>
  </si>
  <si>
    <t>Food waste</t>
  </si>
  <si>
    <t>Total organics</t>
  </si>
  <si>
    <t>NiCad batteries</t>
  </si>
  <si>
    <t>Carpeting -- used</t>
  </si>
  <si>
    <t>Calculated</t>
  </si>
  <si>
    <t>Per</t>
  </si>
  <si>
    <t>Capita</t>
  </si>
  <si>
    <t>Compost</t>
  </si>
  <si>
    <t>% of Total</t>
  </si>
  <si>
    <t>Recycled</t>
  </si>
  <si>
    <t>Stock</t>
  </si>
  <si>
    <t>Rate*</t>
  </si>
  <si>
    <t>*does not include 2% credits</t>
  </si>
  <si>
    <t>Fluorescent lamps</t>
  </si>
  <si>
    <t xml:space="preserve"> </t>
  </si>
  <si>
    <t>Calc.</t>
  </si>
  <si>
    <t>Rvd</t>
  </si>
  <si>
    <t>Tinned cans/aluminum</t>
  </si>
  <si>
    <t>Plastic film</t>
  </si>
  <si>
    <t>Rigid plastic containers</t>
  </si>
  <si>
    <t>Plastic other</t>
  </si>
  <si>
    <t>Electronics</t>
  </si>
  <si>
    <t>Household Haz Waste</t>
  </si>
  <si>
    <t>Marion*</t>
  </si>
  <si>
    <t>**50%</t>
  </si>
  <si>
    <t>Alkaline batteries</t>
  </si>
  <si>
    <t>Adj. rounding/unspecified</t>
  </si>
  <si>
    <t>change in total from previous year</t>
  </si>
  <si>
    <t>change in per capita from previous year</t>
  </si>
  <si>
    <t xml:space="preserve">     </t>
  </si>
  <si>
    <t>Lithium batteries</t>
  </si>
  <si>
    <t>Diesel</t>
  </si>
  <si>
    <t>**does include certain Marion County recyclable materials burned for energy</t>
  </si>
  <si>
    <t>*Includes certain Marion County recyclable materials burned for energy (per ORS 459A.010(3)(f)(B)).</t>
  </si>
  <si>
    <t>*Excludes certain Marion County recyclable materials burned for energy recovery (per ORS 459A.010(3)(f)(B)).</t>
  </si>
  <si>
    <t>Certain recoverable materials in mixed waste burned at the waste-to-energy facility in Brooks are excluded from Marion County and Statewide recovery in years prior to 2001 but included in 2001 and subsequent years (per ORS 459A.010(3)(f)(B)).</t>
  </si>
  <si>
    <t>Certain recoverable materials in mixed waste burned at the waste-to-energy facility in Brooks are included in Marion County and Statewide disposal in years prior to 2001 but excluded in 2001 and subsequent years (per ORS 459A.010(3)(f)(B)).</t>
  </si>
  <si>
    <t>Mixed batteries</t>
  </si>
  <si>
    <t>Total Recovered</t>
  </si>
  <si>
    <t>Energy Recovery</t>
  </si>
  <si>
    <t>*includes flood debris</t>
  </si>
  <si>
    <t>SB 263</t>
  </si>
  <si>
    <t>OR Totals</t>
  </si>
  <si>
    <t>34,317*</t>
  </si>
  <si>
    <t>1,443*</t>
  </si>
  <si>
    <t>**49.4%</t>
  </si>
  <si>
    <t>**52.2%</t>
  </si>
  <si>
    <t>**53.8%</t>
  </si>
  <si>
    <t>**55.2%</t>
  </si>
  <si>
    <t>**54.4%</t>
  </si>
  <si>
    <t>**54.7%</t>
  </si>
  <si>
    <t>**50.1%</t>
  </si>
  <si>
    <t>**52.4%</t>
  </si>
  <si>
    <t>**50.4%</t>
  </si>
  <si>
    <t>**51.9%</t>
  </si>
  <si>
    <t>**49.6%</t>
  </si>
  <si>
    <t>**47.4%</t>
  </si>
  <si>
    <t>**47.0%</t>
  </si>
  <si>
    <t>**50.9%</t>
  </si>
  <si>
    <t xml:space="preserve">     Data from some years is not shown due to page formatting.  Please contact DEQ directly for data from these years.</t>
  </si>
  <si>
    <t>**49.7%</t>
  </si>
  <si>
    <t>**48.3%</t>
  </si>
  <si>
    <t>**48.4%</t>
  </si>
  <si>
    <t>**47.7%</t>
  </si>
  <si>
    <t>2022-2021</t>
  </si>
  <si>
    <t>2022 to 1992 per capita comparison</t>
  </si>
  <si>
    <t>Table 7: Oregon Solid Waste Generated by Wasteshed, 1992-2022</t>
  </si>
  <si>
    <t>Table 6: Oregon Solid Waste Disposed by Wasteshed, 1992-2022</t>
  </si>
  <si>
    <t>Table 5: Oregon Amount Recovered by Wasteshed, 1992-2022</t>
  </si>
  <si>
    <t>Table 9:  Disposition of Recovered Materials, 2022</t>
  </si>
  <si>
    <t>Table 1: Wasteshed Recovery Rates, 2022</t>
  </si>
  <si>
    <t>Table 2: Amount Recovered in 2022 by Wasteshed</t>
  </si>
  <si>
    <t>2022 Tons</t>
  </si>
  <si>
    <t>2022 Pounds</t>
  </si>
  <si>
    <t>2022 Wasteshed</t>
  </si>
  <si>
    <t>Table 3: Solid Waste Disposed in 2022 by Wasteshed</t>
  </si>
  <si>
    <t>Increase/Decrease of tons recovered between 2021-2022</t>
  </si>
  <si>
    <t>**46.7%</t>
  </si>
  <si>
    <t>**40.6%</t>
  </si>
  <si>
    <r>
      <t>Goal</t>
    </r>
    <r>
      <rPr>
        <b/>
        <vertAlign val="superscript"/>
        <sz val="10"/>
        <rFont val="Segoe UI"/>
        <family val="2"/>
      </rPr>
      <t>3</t>
    </r>
  </si>
  <si>
    <r>
      <t>Recovery Rate</t>
    </r>
    <r>
      <rPr>
        <b/>
        <vertAlign val="superscript"/>
        <sz val="10"/>
        <rFont val="Segoe UI"/>
        <family val="2"/>
      </rPr>
      <t>1</t>
    </r>
  </si>
  <si>
    <r>
      <t>Marion</t>
    </r>
    <r>
      <rPr>
        <vertAlign val="superscript"/>
        <sz val="10"/>
        <rFont val="Segoe UI"/>
        <family val="2"/>
      </rPr>
      <t>2</t>
    </r>
  </si>
  <si>
    <t>Table 4: Oregon Calculated Recovery Rates by Wasteshed, 1992-2022</t>
  </si>
  <si>
    <r>
      <t>Paper Fiber</t>
    </r>
    <r>
      <rPr>
        <vertAlign val="superscript"/>
        <sz val="10"/>
        <rFont val="Segoe UI"/>
        <family val="2"/>
      </rPr>
      <t>6</t>
    </r>
  </si>
  <si>
    <r>
      <t>High-grade paper</t>
    </r>
    <r>
      <rPr>
        <vertAlign val="superscript"/>
        <sz val="10"/>
        <rFont val="Segoe UI"/>
        <family val="2"/>
      </rPr>
      <t>6</t>
    </r>
  </si>
  <si>
    <r>
      <t>Phone books</t>
    </r>
    <r>
      <rPr>
        <vertAlign val="superscript"/>
        <sz val="10"/>
        <rFont val="Segoe UI"/>
        <family val="2"/>
      </rPr>
      <t>1</t>
    </r>
  </si>
  <si>
    <r>
      <t>Mixed waste paper</t>
    </r>
    <r>
      <rPr>
        <vertAlign val="superscript"/>
        <sz val="10"/>
        <rFont val="Segoe UI"/>
        <family val="2"/>
      </rPr>
      <t>6</t>
    </r>
  </si>
  <si>
    <r>
      <t>Newspaper</t>
    </r>
    <r>
      <rPr>
        <vertAlign val="superscript"/>
        <sz val="10"/>
        <rFont val="Segoe UI"/>
        <family val="2"/>
      </rPr>
      <t>6</t>
    </r>
  </si>
  <si>
    <r>
      <t>Plastic bottles</t>
    </r>
    <r>
      <rPr>
        <vertAlign val="superscript"/>
        <sz val="10"/>
        <rFont val="Segoe UI"/>
        <family val="2"/>
      </rPr>
      <t>2</t>
    </r>
  </si>
  <si>
    <r>
      <t>C &amp; D -- roofing</t>
    </r>
    <r>
      <rPr>
        <vertAlign val="superscript"/>
        <sz val="10"/>
        <rFont val="Segoe UI"/>
        <family val="2"/>
      </rPr>
      <t>7</t>
    </r>
  </si>
  <si>
    <r>
      <t>Lead acid batteries</t>
    </r>
    <r>
      <rPr>
        <vertAlign val="superscript"/>
        <sz val="10"/>
        <rFont val="Segoe UI"/>
        <family val="2"/>
      </rPr>
      <t>3</t>
    </r>
  </si>
  <si>
    <r>
      <t>Paint</t>
    </r>
    <r>
      <rPr>
        <vertAlign val="superscript"/>
        <sz val="10"/>
        <rFont val="Segoe UI"/>
        <family val="2"/>
      </rPr>
      <t>5</t>
    </r>
  </si>
  <si>
    <r>
      <t>Rubber tire buffings</t>
    </r>
    <r>
      <rPr>
        <vertAlign val="superscript"/>
        <sz val="10"/>
        <rFont val="Segoe UI"/>
        <family val="2"/>
      </rPr>
      <t>4</t>
    </r>
  </si>
  <si>
    <r>
      <t>Solvents</t>
    </r>
    <r>
      <rPr>
        <vertAlign val="superscript"/>
        <sz val="10"/>
        <rFont val="Segoe UI"/>
        <family val="2"/>
      </rPr>
      <t>5</t>
    </r>
  </si>
  <si>
    <r>
      <t>Tires</t>
    </r>
    <r>
      <rPr>
        <vertAlign val="superscript"/>
        <sz val="10"/>
        <rFont val="Segoe UI"/>
        <family val="2"/>
      </rPr>
      <t>5</t>
    </r>
  </si>
  <si>
    <r>
      <t>Used Motor Oil</t>
    </r>
    <r>
      <rPr>
        <vertAlign val="superscript"/>
        <sz val="10"/>
        <rFont val="Segoe UI"/>
        <family val="2"/>
      </rPr>
      <t>5</t>
    </r>
  </si>
  <si>
    <r>
      <t>Wood waste</t>
    </r>
    <r>
      <rPr>
        <vertAlign val="superscript"/>
        <sz val="10"/>
        <rFont val="Segoe UI"/>
        <family val="2"/>
      </rPr>
      <t>5</t>
    </r>
  </si>
  <si>
    <r>
      <t>Yard debris</t>
    </r>
    <r>
      <rPr>
        <vertAlign val="superscript"/>
        <sz val="10"/>
        <rFont val="Segoe UI"/>
        <family val="2"/>
      </rPr>
      <t>5</t>
    </r>
  </si>
  <si>
    <r>
      <t xml:space="preserve">   </t>
    </r>
    <r>
      <rPr>
        <vertAlign val="superscript"/>
        <sz val="10"/>
        <rFont val="Segoe UI"/>
        <family val="2"/>
      </rPr>
      <t>1</t>
    </r>
    <r>
      <rPr>
        <sz val="8"/>
        <rFont val="Segoe UI"/>
        <family val="2"/>
      </rPr>
      <t>Phone books included in mixed waste paper in 1992, 1993 and 2001 and subsequent years.</t>
    </r>
  </si>
  <si>
    <r>
      <t xml:space="preserve">     </t>
    </r>
    <r>
      <rPr>
        <vertAlign val="superscript"/>
        <sz val="8"/>
        <rFont val="Segoe UI"/>
        <family val="2"/>
      </rPr>
      <t>2</t>
    </r>
    <r>
      <rPr>
        <sz val="8"/>
        <rFont val="Segoe UI"/>
        <family val="2"/>
      </rPr>
      <t>About 900 tons of plastic bottles was included with mixed plastics in the 1995 survey.</t>
    </r>
  </si>
  <si>
    <r>
      <t xml:space="preserve">    </t>
    </r>
    <r>
      <rPr>
        <vertAlign val="superscript"/>
        <sz val="8"/>
        <rFont val="Segoe UI"/>
        <family val="2"/>
      </rPr>
      <t>3</t>
    </r>
    <r>
      <rPr>
        <sz val="8"/>
        <rFont val="Segoe UI"/>
        <family val="2"/>
      </rPr>
      <t>Includes only batteries collected at household hazardous waste collection events until 2001</t>
    </r>
    <r>
      <rPr>
        <sz val="10"/>
        <rFont val="Segoe UI"/>
        <family val="2"/>
      </rPr>
      <t>.</t>
    </r>
  </si>
  <si>
    <r>
      <t xml:space="preserve">    </t>
    </r>
    <r>
      <rPr>
        <vertAlign val="superscript"/>
        <sz val="8"/>
        <rFont val="Segoe UI"/>
        <family val="2"/>
      </rPr>
      <t>4</t>
    </r>
    <r>
      <rPr>
        <sz val="8"/>
        <rFont val="Segoe UI"/>
        <family val="2"/>
      </rPr>
      <t>From 1998 rubber tire buffings were included with tires</t>
    </r>
    <r>
      <rPr>
        <sz val="10"/>
        <rFont val="Segoe UI"/>
        <family val="2"/>
      </rPr>
      <t>.</t>
    </r>
  </si>
  <si>
    <r>
      <t xml:space="preserve">        5</t>
    </r>
    <r>
      <rPr>
        <sz val="8"/>
        <rFont val="Segoe UI"/>
        <family val="2"/>
      </rPr>
      <t>Includes Marion Co. materials in 2001 and subsequent years burned for energy.</t>
    </r>
  </si>
  <si>
    <r>
      <t xml:space="preserve">     </t>
    </r>
    <r>
      <rPr>
        <vertAlign val="superscript"/>
        <sz val="8"/>
        <rFont val="Segoe UI"/>
        <family val="2"/>
      </rPr>
      <t>6</t>
    </r>
    <r>
      <rPr>
        <sz val="8"/>
        <rFont val="Segoe UI"/>
        <family val="2"/>
      </rPr>
      <t>In 2007 and subsequent years, Mixed Waste Paper, Hi Grade &amp; Newspaper was combined into Paper Fiber</t>
    </r>
  </si>
  <si>
    <r>
      <t xml:space="preserve">     </t>
    </r>
    <r>
      <rPr>
        <vertAlign val="superscript"/>
        <sz val="8"/>
        <rFont val="Segoe UI"/>
        <family val="2"/>
      </rPr>
      <t>7</t>
    </r>
    <r>
      <rPr>
        <sz val="8"/>
        <rFont val="Segoe UI"/>
        <family val="2"/>
      </rPr>
      <t>Asphalt Roofing was included as burned for energy only in years 2001-2006</t>
    </r>
  </si>
  <si>
    <t>Table 8: Oregon Materials Recovered, 1992-2022</t>
  </si>
  <si>
    <t>Source for population data is the Center for Population Research and Census, Portland State University, published April 2023. Wastesheds populations are not the same as County populations for the Wastesheds of Benton, Linn, Marion, Metro, Milton-Freewater, Polk, Umatilla, and Yamhill (see OAR 340-090-0050).</t>
  </si>
  <si>
    <t>Milton Freewater</t>
  </si>
  <si>
    <t>Oregon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</si>
</sst>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_(* #,##0_);_(* \(#,##0\);_(* &quot;-&quot;??_);_(@_)"/>
    <numFmt numFmtId="167" formatCode="_(* #,##0.00000_);_(* \(#,##0.00000\);_(* &quot;-&quot;??_);_(@_)"/>
    <numFmt numFmtId="168" formatCode="#,##0.0000"/>
    <numFmt numFmtId="169" formatCode="0.000"/>
  </numFmts>
  <fonts count="21" x14ac:knownFonts="1">
    <font>
      <sz val="10"/>
      <name val="Arial"/>
    </font>
    <font>
      <sz val="11"/>
      <color theme="1"/>
      <name val="Calibri"/>
      <family val="2"/>
      <scheme val="minor"/>
    </font>
    <font>
      <sz val="10"/>
      <name val="Arial"/>
      <family val="2"/>
    </font>
    <font>
      <sz val="8"/>
      <name val="Arial"/>
      <family val="2"/>
    </font>
    <font>
      <sz val="10"/>
      <color indexed="8"/>
      <name val="Arial"/>
      <family val="2"/>
    </font>
    <font>
      <sz val="12"/>
      <name val="Courier"/>
      <family val="3"/>
    </font>
    <font>
      <b/>
      <sz val="14"/>
      <name val="Segoe UI"/>
      <family val="2"/>
    </font>
    <font>
      <sz val="10"/>
      <name val="Segoe UI"/>
      <family val="2"/>
    </font>
    <font>
      <b/>
      <sz val="10"/>
      <name val="Segoe UI"/>
      <family val="2"/>
    </font>
    <font>
      <sz val="14"/>
      <name val="Segoe UI"/>
      <family val="2"/>
    </font>
    <font>
      <b/>
      <vertAlign val="superscript"/>
      <sz val="10"/>
      <name val="Segoe UI"/>
      <family val="2"/>
    </font>
    <font>
      <sz val="8"/>
      <name val="Segoe UI"/>
      <family val="2"/>
    </font>
    <font>
      <vertAlign val="superscript"/>
      <sz val="10"/>
      <name val="Segoe UI"/>
      <family val="2"/>
    </font>
    <font>
      <vertAlign val="superscript"/>
      <sz val="8"/>
      <name val="Segoe UI"/>
      <family val="2"/>
    </font>
    <font>
      <b/>
      <sz val="8"/>
      <name val="Segoe UI"/>
      <family val="2"/>
    </font>
    <font>
      <b/>
      <sz val="12"/>
      <name val="Segoe UI"/>
      <family val="2"/>
    </font>
    <font>
      <sz val="9"/>
      <name val="Segoe UI"/>
      <family val="2"/>
    </font>
    <font>
      <sz val="10"/>
      <color indexed="8"/>
      <name val="Segoe UI"/>
      <family val="2"/>
    </font>
    <font>
      <sz val="11"/>
      <name val="Segoe UI"/>
      <family val="2"/>
    </font>
    <font>
      <b/>
      <sz val="11"/>
      <name val="Segoe UI"/>
      <family val="2"/>
    </font>
    <font>
      <b/>
      <sz val="9"/>
      <name val="Segoe UI"/>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2" tint="-0.24997711111789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double">
        <color indexed="64"/>
      </right>
      <top/>
      <bottom style="double">
        <color indexed="64"/>
      </bottom>
      <diagonal/>
    </border>
    <border>
      <left style="double">
        <color indexed="64"/>
      </left>
      <right/>
      <top/>
      <bottom/>
      <diagonal/>
    </border>
    <border>
      <left style="double">
        <color indexed="64"/>
      </left>
      <right/>
      <top/>
      <bottom style="thin">
        <color indexed="64"/>
      </bottom>
      <diagonal/>
    </border>
    <border>
      <left/>
      <right/>
      <top/>
      <bottom style="thin">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right style="medium">
        <color indexed="64"/>
      </right>
      <top/>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medium">
        <color indexed="64"/>
      </top>
      <bottom/>
      <diagonal/>
    </border>
    <border>
      <left style="double">
        <color indexed="64"/>
      </left>
      <right style="thin">
        <color indexed="64"/>
      </right>
      <top/>
      <bottom style="double">
        <color indexed="64"/>
      </bottom>
      <diagonal/>
    </border>
    <border>
      <left style="double">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top style="medium">
        <color indexed="64"/>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style="double">
        <color indexed="64"/>
      </left>
      <right/>
      <top style="medium">
        <color indexed="64"/>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double">
        <color indexed="64"/>
      </right>
      <top style="thick">
        <color indexed="64"/>
      </top>
      <bottom/>
      <diagonal/>
    </border>
    <border>
      <left/>
      <right/>
      <top style="thick">
        <color indexed="64"/>
      </top>
      <bottom/>
      <diagonal/>
    </border>
    <border>
      <left style="thick">
        <color indexed="64"/>
      </left>
      <right/>
      <top/>
      <bottom/>
      <diagonal/>
    </border>
    <border>
      <left style="thick">
        <color indexed="64"/>
      </left>
      <right/>
      <top style="medium">
        <color indexed="64"/>
      </top>
      <bottom style="thick">
        <color indexed="64"/>
      </bottom>
      <diagonal/>
    </border>
    <border>
      <left style="double">
        <color indexed="64"/>
      </left>
      <right style="thin">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thick">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diagonal/>
    </border>
    <border>
      <left style="thin">
        <color indexed="64"/>
      </left>
      <right/>
      <top style="thin">
        <color indexed="64"/>
      </top>
      <bottom style="medium">
        <color indexed="64"/>
      </bottom>
      <diagonal/>
    </border>
    <border>
      <left style="medium">
        <color indexed="64"/>
      </left>
      <right style="double">
        <color indexed="64"/>
      </right>
      <top style="thin">
        <color indexed="64"/>
      </top>
      <bottom/>
      <diagonal/>
    </border>
    <border>
      <left style="medium">
        <color indexed="64"/>
      </left>
      <right style="medium">
        <color indexed="64"/>
      </right>
      <top/>
      <bottom style="double">
        <color indexed="64"/>
      </bottom>
      <diagonal/>
    </border>
    <border>
      <left style="thin">
        <color indexed="64"/>
      </left>
      <right style="thin">
        <color indexed="64"/>
      </right>
      <top style="thick">
        <color indexed="64"/>
      </top>
      <bottom style="thin">
        <color indexed="22"/>
      </bottom>
      <diagonal/>
    </border>
    <border>
      <left style="thin">
        <color indexed="64"/>
      </left>
      <right style="medium">
        <color indexed="64"/>
      </right>
      <top style="thin">
        <color indexed="64"/>
      </top>
      <bottom/>
      <diagonal/>
    </border>
    <border>
      <left style="thin">
        <color indexed="64"/>
      </left>
      <right/>
      <top style="thick">
        <color indexed="64"/>
      </top>
      <bottom/>
      <diagonal/>
    </border>
    <border>
      <left style="thin">
        <color indexed="64"/>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ck">
        <color indexed="64"/>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diagonal/>
    </border>
    <border>
      <left style="thin">
        <color indexed="64"/>
      </left>
      <right style="medium">
        <color indexed="64"/>
      </right>
      <top style="double">
        <color indexed="64"/>
      </top>
      <bottom/>
      <diagonal/>
    </border>
    <border>
      <left style="thin">
        <color indexed="64"/>
      </left>
      <right/>
      <top/>
      <bottom style="thin">
        <color indexed="22"/>
      </bottom>
      <diagonal/>
    </border>
    <border>
      <left style="thin">
        <color indexed="64"/>
      </left>
      <right/>
      <top style="thin">
        <color indexed="22"/>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style="thin">
        <color indexed="22"/>
      </bottom>
      <diagonal/>
    </border>
    <border>
      <left style="thick">
        <color indexed="64"/>
      </left>
      <right style="thick">
        <color indexed="64"/>
      </right>
      <top/>
      <bottom/>
      <diagonal/>
    </border>
    <border>
      <left style="thick">
        <color indexed="64"/>
      </left>
      <right style="thick">
        <color indexed="64"/>
      </right>
      <top style="thin">
        <color indexed="22"/>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double">
        <color indexed="64"/>
      </right>
      <top/>
      <bottom style="thick">
        <color indexed="64"/>
      </bottom>
      <diagonal/>
    </border>
    <border>
      <left style="thin">
        <color indexed="64"/>
      </left>
      <right/>
      <top style="medium">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s>
  <cellStyleXfs count="10">
    <xf numFmtId="0" fontId="0" fillId="0" borderId="0"/>
    <xf numFmtId="43" fontId="2" fillId="0" borderId="0" applyFont="0" applyFill="0" applyBorder="0" applyAlignment="0" applyProtection="0"/>
    <xf numFmtId="165" fontId="5" fillId="0" borderId="0"/>
    <xf numFmtId="0" fontId="4" fillId="0" borderId="0"/>
    <xf numFmtId="0" fontId="4" fillId="0" borderId="0"/>
    <xf numFmtId="9" fontId="2" fillId="0" borderId="0" applyFont="0" applyFill="0" applyBorder="0" applyAlignment="0" applyProtection="0"/>
    <xf numFmtId="0" fontId="2" fillId="0" borderId="0"/>
    <xf numFmtId="0" fontId="1" fillId="0" borderId="0"/>
    <xf numFmtId="0" fontId="2" fillId="0" borderId="0"/>
    <xf numFmtId="0" fontId="2" fillId="0" borderId="0"/>
  </cellStyleXfs>
  <cellXfs count="459">
    <xf numFmtId="0" fontId="0" fillId="0" borderId="0" xfId="0"/>
    <xf numFmtId="4" fontId="6" fillId="0" borderId="0" xfId="0" applyNumberFormat="1" applyFont="1" applyAlignment="1">
      <alignment horizontal="left"/>
    </xf>
    <xf numFmtId="166" fontId="7" fillId="0" borderId="0" xfId="1" applyNumberFormat="1" applyFont="1" applyAlignment="1">
      <alignment horizontal="left"/>
    </xf>
    <xf numFmtId="3" fontId="7" fillId="0" borderId="0" xfId="0" applyNumberFormat="1" applyFont="1" applyAlignment="1">
      <alignment horizontal="left"/>
    </xf>
    <xf numFmtId="9" fontId="8" fillId="0" borderId="0" xfId="0" applyNumberFormat="1" applyFont="1" applyAlignment="1">
      <alignment horizontal="left"/>
    </xf>
    <xf numFmtId="9" fontId="8" fillId="0" borderId="0" xfId="0" applyNumberFormat="1" applyFont="1" applyAlignment="1">
      <alignment horizontal="center"/>
    </xf>
    <xf numFmtId="43" fontId="8" fillId="0" borderId="0" xfId="1" applyFont="1" applyFill="1" applyAlignment="1">
      <alignment horizontal="left"/>
    </xf>
    <xf numFmtId="0" fontId="7" fillId="0" borderId="0" xfId="0" applyFont="1" applyAlignment="1">
      <alignment horizontal="left"/>
    </xf>
    <xf numFmtId="4" fontId="9" fillId="0" borderId="0" xfId="0" applyNumberFormat="1" applyFont="1" applyAlignment="1">
      <alignment horizontal="left"/>
    </xf>
    <xf numFmtId="165" fontId="8" fillId="0" borderId="0" xfId="0" applyNumberFormat="1" applyFont="1" applyAlignment="1">
      <alignment horizontal="left"/>
    </xf>
    <xf numFmtId="43" fontId="8" fillId="0" borderId="0" xfId="1" applyFont="1" applyFill="1" applyBorder="1" applyAlignment="1">
      <alignment horizontal="left"/>
    </xf>
    <xf numFmtId="0" fontId="8" fillId="0" borderId="0" xfId="0" applyFont="1"/>
    <xf numFmtId="166" fontId="7" fillId="0" borderId="0" xfId="1" applyNumberFormat="1" applyFont="1"/>
    <xf numFmtId="3" fontId="7" fillId="0" borderId="0" xfId="0" applyNumberFormat="1" applyFont="1"/>
    <xf numFmtId="165" fontId="8" fillId="0" borderId="0" xfId="0" applyNumberFormat="1" applyFont="1"/>
    <xf numFmtId="0" fontId="8" fillId="0" borderId="0" xfId="0" applyFont="1" applyAlignment="1">
      <alignment horizontal="center"/>
    </xf>
    <xf numFmtId="0" fontId="7" fillId="0" borderId="0" xfId="0" applyFont="1"/>
    <xf numFmtId="0" fontId="8" fillId="0" borderId="0" xfId="0" applyFont="1" applyAlignment="1">
      <alignment horizontal="right"/>
    </xf>
    <xf numFmtId="166" fontId="8" fillId="0" borderId="0" xfId="1" applyNumberFormat="1" applyFont="1" applyAlignment="1">
      <alignment horizontal="right"/>
    </xf>
    <xf numFmtId="3" fontId="8" fillId="0" borderId="0" xfId="0" applyNumberFormat="1" applyFont="1" applyAlignment="1">
      <alignment horizontal="right"/>
    </xf>
    <xf numFmtId="9" fontId="8" fillId="0" borderId="0" xfId="0" applyNumberFormat="1" applyFont="1" applyAlignment="1">
      <alignment horizontal="right"/>
    </xf>
    <xf numFmtId="166" fontId="8" fillId="0" borderId="0" xfId="1" applyNumberFormat="1" applyFont="1" applyAlignment="1">
      <alignment horizontal="right" vertical="top"/>
    </xf>
    <xf numFmtId="3" fontId="8" fillId="0" borderId="0" xfId="0" applyNumberFormat="1" applyFont="1" applyAlignment="1">
      <alignment horizontal="right" vertical="top"/>
    </xf>
    <xf numFmtId="9" fontId="8" fillId="0" borderId="0" xfId="0" applyNumberFormat="1" applyFont="1"/>
    <xf numFmtId="1" fontId="8" fillId="0" borderId="0" xfId="1" applyNumberFormat="1" applyFont="1" applyFill="1" applyAlignment="1">
      <alignment horizontal="center"/>
    </xf>
    <xf numFmtId="3" fontId="7" fillId="0" borderId="0" xfId="1" applyNumberFormat="1" applyFont="1"/>
    <xf numFmtId="9" fontId="7" fillId="0" borderId="0" xfId="0" applyNumberFormat="1" applyFont="1" applyAlignment="1">
      <alignment horizontal="center"/>
    </xf>
    <xf numFmtId="165" fontId="7" fillId="0" borderId="0" xfId="0" applyNumberFormat="1" applyFont="1"/>
    <xf numFmtId="9" fontId="7" fillId="0" borderId="0" xfId="0" applyNumberFormat="1" applyFont="1"/>
    <xf numFmtId="165" fontId="8" fillId="0" borderId="0" xfId="5" applyNumberFormat="1" applyFont="1"/>
    <xf numFmtId="3" fontId="7" fillId="0" borderId="0" xfId="1" applyNumberFormat="1" applyFont="1" applyFill="1"/>
    <xf numFmtId="9" fontId="7" fillId="0" borderId="0" xfId="0" applyNumberFormat="1" applyFont="1" applyAlignment="1">
      <alignment horizontal="right"/>
    </xf>
    <xf numFmtId="0" fontId="8" fillId="0" borderId="28" xfId="0" applyFont="1" applyBorder="1"/>
    <xf numFmtId="3" fontId="7" fillId="0" borderId="28" xfId="1" applyNumberFormat="1" applyFont="1" applyBorder="1"/>
    <xf numFmtId="3" fontId="7" fillId="0" borderId="28" xfId="0" applyNumberFormat="1" applyFont="1" applyBorder="1"/>
    <xf numFmtId="165" fontId="8" fillId="0" borderId="28" xfId="0" applyNumberFormat="1" applyFont="1" applyBorder="1"/>
    <xf numFmtId="10" fontId="8" fillId="0" borderId="0" xfId="0" applyNumberFormat="1" applyFont="1" applyAlignment="1">
      <alignment horizontal="center"/>
    </xf>
    <xf numFmtId="0" fontId="7" fillId="0" borderId="29" xfId="0" applyFont="1" applyBorder="1"/>
    <xf numFmtId="4" fontId="7" fillId="0" borderId="0" xfId="0" applyNumberFormat="1" applyFont="1"/>
    <xf numFmtId="3" fontId="8" fillId="0" borderId="0" xfId="0" applyNumberFormat="1" applyFont="1"/>
    <xf numFmtId="165" fontId="8" fillId="0" borderId="0" xfId="0" applyNumberFormat="1" applyFont="1" applyAlignment="1">
      <alignment horizontal="center"/>
    </xf>
    <xf numFmtId="166" fontId="8" fillId="0" borderId="0" xfId="1" applyNumberFormat="1" applyFont="1" applyBorder="1"/>
    <xf numFmtId="0" fontId="13" fillId="0" borderId="0" xfId="0" applyFont="1"/>
    <xf numFmtId="166" fontId="11" fillId="0" borderId="0" xfId="1" applyNumberFormat="1" applyFont="1"/>
    <xf numFmtId="3" fontId="11" fillId="0" borderId="0" xfId="0" applyNumberFormat="1" applyFont="1"/>
    <xf numFmtId="9" fontId="14" fillId="0" borderId="0" xfId="0" applyNumberFormat="1" applyFont="1"/>
    <xf numFmtId="165" fontId="14" fillId="0" borderId="0" xfId="0" applyNumberFormat="1" applyFont="1" applyAlignment="1">
      <alignment horizontal="center"/>
    </xf>
    <xf numFmtId="165" fontId="14" fillId="0" borderId="0" xfId="0" applyNumberFormat="1" applyFont="1"/>
    <xf numFmtId="0" fontId="11" fillId="0" borderId="0" xfId="0" applyFont="1"/>
    <xf numFmtId="9" fontId="14" fillId="0" borderId="0" xfId="0" applyNumberFormat="1" applyFont="1" applyAlignment="1">
      <alignment horizontal="center"/>
    </xf>
    <xf numFmtId="43" fontId="11" fillId="0" borderId="0" xfId="1" applyFont="1"/>
    <xf numFmtId="166" fontId="7" fillId="0" borderId="0" xfId="1" applyNumberFormat="1" applyFont="1" applyFill="1"/>
    <xf numFmtId="4" fontId="8" fillId="0" borderId="0" xfId="0" applyNumberFormat="1" applyFont="1"/>
    <xf numFmtId="0" fontId="15" fillId="0" borderId="0" xfId="0" applyFont="1" applyAlignment="1">
      <alignment horizontal="right"/>
    </xf>
    <xf numFmtId="3" fontId="15" fillId="0" borderId="0" xfId="0" applyNumberFormat="1" applyFont="1" applyAlignment="1">
      <alignment horizontal="right"/>
    </xf>
    <xf numFmtId="1" fontId="15" fillId="0" borderId="0" xfId="0" applyNumberFormat="1" applyFont="1" applyAlignment="1">
      <alignment horizontal="right"/>
    </xf>
    <xf numFmtId="0" fontId="15" fillId="0" borderId="0" xfId="0" applyFont="1"/>
    <xf numFmtId="3" fontId="7" fillId="0" borderId="0" xfId="2" applyNumberFormat="1" applyFont="1"/>
    <xf numFmtId="0" fontId="8" fillId="0" borderId="2" xfId="0" applyFont="1" applyBorder="1"/>
    <xf numFmtId="3" fontId="8" fillId="0" borderId="2" xfId="0" applyNumberFormat="1" applyFont="1" applyBorder="1"/>
    <xf numFmtId="166" fontId="17" fillId="0" borderId="0" xfId="1" applyNumberFormat="1" applyFont="1" applyFill="1" applyBorder="1" applyAlignment="1">
      <alignment horizontal="right"/>
    </xf>
    <xf numFmtId="166" fontId="7" fillId="0" borderId="0" xfId="1" applyNumberFormat="1" applyFont="1" applyFill="1" applyBorder="1"/>
    <xf numFmtId="3" fontId="8" fillId="0" borderId="0" xfId="2" applyNumberFormat="1" applyFont="1"/>
    <xf numFmtId="3" fontId="8" fillId="0" borderId="29" xfId="0" applyNumberFormat="1" applyFont="1" applyBorder="1"/>
    <xf numFmtId="0" fontId="6" fillId="0" borderId="0" xfId="0" applyFont="1"/>
    <xf numFmtId="0" fontId="18" fillId="0" borderId="39" xfId="0" applyFont="1" applyBorder="1"/>
    <xf numFmtId="1" fontId="19" fillId="0" borderId="57" xfId="0" applyNumberFormat="1" applyFont="1" applyBorder="1" applyAlignment="1">
      <alignment horizontal="center"/>
    </xf>
    <xf numFmtId="1" fontId="19" fillId="0" borderId="27" xfId="0" applyNumberFormat="1" applyFont="1" applyBorder="1" applyAlignment="1">
      <alignment horizontal="center"/>
    </xf>
    <xf numFmtId="1" fontId="19" fillId="0" borderId="29" xfId="0" applyNumberFormat="1" applyFont="1" applyBorder="1" applyAlignment="1">
      <alignment horizontal="center"/>
    </xf>
    <xf numFmtId="1" fontId="19" fillId="0" borderId="58" xfId="0" applyNumberFormat="1" applyFont="1" applyBorder="1" applyAlignment="1">
      <alignment horizontal="center"/>
    </xf>
    <xf numFmtId="1" fontId="19" fillId="0" borderId="41" xfId="0" applyNumberFormat="1" applyFont="1" applyBorder="1" applyAlignment="1">
      <alignment horizontal="center"/>
    </xf>
    <xf numFmtId="1" fontId="19" fillId="0" borderId="59" xfId="0" applyNumberFormat="1" applyFont="1" applyBorder="1" applyAlignment="1">
      <alignment horizontal="center"/>
    </xf>
    <xf numFmtId="1" fontId="19" fillId="0" borderId="20" xfId="0" applyNumberFormat="1" applyFont="1" applyBorder="1" applyAlignment="1">
      <alignment horizontal="center"/>
    </xf>
    <xf numFmtId="1" fontId="19" fillId="4" borderId="20" xfId="0" applyNumberFormat="1" applyFont="1" applyFill="1" applyBorder="1" applyAlignment="1">
      <alignment horizontal="center"/>
    </xf>
    <xf numFmtId="0" fontId="18" fillId="0" borderId="0" xfId="0" applyFont="1"/>
    <xf numFmtId="0" fontId="18" fillId="0" borderId="3" xfId="0" applyFont="1" applyBorder="1"/>
    <xf numFmtId="1" fontId="19" fillId="0" borderId="5" xfId="0" applyNumberFormat="1" applyFont="1" applyBorder="1" applyAlignment="1">
      <alignment horizontal="center"/>
    </xf>
    <xf numFmtId="1" fontId="19" fillId="0" borderId="4" xfId="0" applyNumberFormat="1" applyFont="1" applyBorder="1" applyAlignment="1">
      <alignment horizontal="center"/>
    </xf>
    <xf numFmtId="1" fontId="19" fillId="0" borderId="0" xfId="0" applyNumberFormat="1" applyFont="1" applyAlignment="1">
      <alignment horizontal="center"/>
    </xf>
    <xf numFmtId="1" fontId="19" fillId="0" borderId="8" xfId="0" applyNumberFormat="1" applyFont="1" applyBorder="1" applyAlignment="1">
      <alignment horizontal="center"/>
    </xf>
    <xf numFmtId="1" fontId="19" fillId="0" borderId="60" xfId="0" applyNumberFormat="1" applyFont="1" applyBorder="1" applyAlignment="1">
      <alignment horizontal="center"/>
    </xf>
    <xf numFmtId="1" fontId="19" fillId="0" borderId="17" xfId="0" applyNumberFormat="1" applyFont="1" applyBorder="1" applyAlignment="1">
      <alignment horizontal="center"/>
    </xf>
    <xf numFmtId="1" fontId="19" fillId="4" borderId="17" xfId="0" applyNumberFormat="1" applyFont="1" applyFill="1" applyBorder="1" applyAlignment="1">
      <alignment horizontal="center"/>
    </xf>
    <xf numFmtId="0" fontId="19" fillId="0" borderId="38" xfId="0" applyFont="1" applyBorder="1"/>
    <xf numFmtId="9" fontId="19" fillId="0" borderId="21" xfId="0" applyNumberFormat="1" applyFont="1" applyBorder="1" applyAlignment="1">
      <alignment horizontal="center"/>
    </xf>
    <xf numFmtId="9" fontId="19" fillId="0" borderId="18" xfId="0" applyNumberFormat="1" applyFont="1" applyBorder="1" applyAlignment="1">
      <alignment horizontal="center"/>
    </xf>
    <xf numFmtId="9" fontId="19" fillId="0" borderId="37" xfId="0" applyNumberFormat="1" applyFont="1" applyBorder="1" applyAlignment="1">
      <alignment horizontal="center"/>
    </xf>
    <xf numFmtId="9" fontId="19" fillId="0" borderId="45" xfId="0" applyNumberFormat="1" applyFont="1" applyBorder="1" applyAlignment="1">
      <alignment horizontal="center"/>
    </xf>
    <xf numFmtId="9" fontId="19" fillId="0" borderId="8" xfId="0" applyNumberFormat="1" applyFont="1" applyBorder="1" applyAlignment="1">
      <alignment horizontal="center"/>
    </xf>
    <xf numFmtId="9" fontId="19" fillId="0" borderId="0" xfId="0" applyNumberFormat="1" applyFont="1" applyAlignment="1">
      <alignment horizontal="center"/>
    </xf>
    <xf numFmtId="9" fontId="19" fillId="0" borderId="4" xfId="0" applyNumberFormat="1" applyFont="1" applyBorder="1" applyAlignment="1">
      <alignment horizontal="center"/>
    </xf>
    <xf numFmtId="9" fontId="19" fillId="0" borderId="60" xfId="0" applyNumberFormat="1" applyFont="1" applyBorder="1" applyAlignment="1">
      <alignment horizontal="center"/>
    </xf>
    <xf numFmtId="9" fontId="19" fillId="0" borderId="17" xfId="0" applyNumberFormat="1" applyFont="1" applyBorder="1" applyAlignment="1">
      <alignment horizontal="center"/>
    </xf>
    <xf numFmtId="9" fontId="19" fillId="4" borderId="17" xfId="0" applyNumberFormat="1" applyFont="1" applyFill="1" applyBorder="1" applyAlignment="1">
      <alignment horizontal="center"/>
    </xf>
    <xf numFmtId="0" fontId="7" fillId="0" borderId="3" xfId="0" applyFont="1" applyBorder="1"/>
    <xf numFmtId="3" fontId="7" fillId="0" borderId="5" xfId="0" applyNumberFormat="1" applyFont="1" applyBorder="1"/>
    <xf numFmtId="3" fontId="7" fillId="0" borderId="4" xfId="0" applyNumberFormat="1" applyFont="1" applyBorder="1"/>
    <xf numFmtId="9" fontId="7" fillId="0" borderId="4" xfId="0" applyNumberFormat="1" applyFont="1" applyBorder="1"/>
    <xf numFmtId="9" fontId="7" fillId="0" borderId="8" xfId="0" applyNumberFormat="1" applyFont="1" applyBorder="1"/>
    <xf numFmtId="9" fontId="7" fillId="0" borderId="80" xfId="0" applyNumberFormat="1" applyFont="1" applyBorder="1"/>
    <xf numFmtId="9" fontId="7" fillId="0" borderId="40" xfId="0" applyNumberFormat="1" applyFont="1" applyBorder="1"/>
    <xf numFmtId="9" fontId="7" fillId="0" borderId="34" xfId="0" applyNumberFormat="1" applyFont="1" applyBorder="1"/>
    <xf numFmtId="10" fontId="7" fillId="0" borderId="99" xfId="5" applyNumberFormat="1" applyFont="1" applyFill="1" applyBorder="1"/>
    <xf numFmtId="9" fontId="7" fillId="0" borderId="97" xfId="0" applyNumberFormat="1" applyFont="1" applyBorder="1"/>
    <xf numFmtId="9" fontId="7" fillId="4" borderId="97" xfId="0" applyNumberFormat="1" applyFont="1" applyFill="1" applyBorder="1"/>
    <xf numFmtId="9" fontId="7" fillId="0" borderId="5" xfId="0" applyNumberFormat="1" applyFont="1" applyBorder="1"/>
    <xf numFmtId="165" fontId="7" fillId="0" borderId="8" xfId="0" applyNumberFormat="1" applyFont="1" applyBorder="1"/>
    <xf numFmtId="165" fontId="7" fillId="0" borderId="8" xfId="6" applyNumberFormat="1" applyFont="1" applyBorder="1"/>
    <xf numFmtId="165" fontId="7" fillId="0" borderId="4" xfId="0" applyNumberFormat="1" applyFont="1" applyBorder="1"/>
    <xf numFmtId="165" fontId="7" fillId="0" borderId="60" xfId="5" applyNumberFormat="1" applyFont="1" applyFill="1" applyBorder="1"/>
    <xf numFmtId="165" fontId="7" fillId="0" borderId="93" xfId="0" applyNumberFormat="1" applyFont="1" applyBorder="1"/>
    <xf numFmtId="165" fontId="7" fillId="4" borderId="93" xfId="0" applyNumberFormat="1" applyFont="1" applyFill="1" applyBorder="1"/>
    <xf numFmtId="169" fontId="7" fillId="0" borderId="0" xfId="0" applyNumberFormat="1" applyFont="1"/>
    <xf numFmtId="0" fontId="7" fillId="0" borderId="61" xfId="0" applyFont="1" applyBorder="1"/>
    <xf numFmtId="9" fontId="7" fillId="0" borderId="6" xfId="0" applyNumberFormat="1" applyFont="1" applyBorder="1"/>
    <xf numFmtId="9" fontId="7" fillId="0" borderId="7" xfId="0" applyNumberFormat="1" applyFont="1" applyBorder="1"/>
    <xf numFmtId="9" fontId="7" fillId="0" borderId="12" xfId="0" applyNumberFormat="1" applyFont="1" applyBorder="1"/>
    <xf numFmtId="165" fontId="7" fillId="0" borderId="46" xfId="0" applyNumberFormat="1" applyFont="1" applyBorder="1"/>
    <xf numFmtId="165" fontId="7" fillId="0" borderId="12" xfId="0" applyNumberFormat="1" applyFont="1" applyBorder="1"/>
    <xf numFmtId="165" fontId="7" fillId="0" borderId="46" xfId="6" applyNumberFormat="1" applyFont="1" applyBorder="1"/>
    <xf numFmtId="165" fontId="7" fillId="0" borderId="7" xfId="0" applyNumberFormat="1" applyFont="1" applyBorder="1"/>
    <xf numFmtId="165" fontId="7" fillId="0" borderId="62" xfId="5" applyNumberFormat="1" applyFont="1" applyFill="1" applyBorder="1"/>
    <xf numFmtId="165" fontId="7" fillId="0" borderId="94" xfId="0" applyNumberFormat="1" applyFont="1" applyBorder="1"/>
    <xf numFmtId="165" fontId="7" fillId="4" borderId="94" xfId="0" applyNumberFormat="1" applyFont="1" applyFill="1" applyBorder="1"/>
    <xf numFmtId="165" fontId="7" fillId="0" borderId="81" xfId="0" applyNumberFormat="1" applyFont="1" applyBorder="1"/>
    <xf numFmtId="165" fontId="7" fillId="0" borderId="32" xfId="0" applyNumberFormat="1" applyFont="1" applyBorder="1"/>
    <xf numFmtId="165" fontId="7" fillId="0" borderId="35" xfId="0" applyNumberFormat="1" applyFont="1" applyBorder="1"/>
    <xf numFmtId="165" fontId="7" fillId="0" borderId="89" xfId="5" applyNumberFormat="1" applyFont="1" applyFill="1" applyBorder="1"/>
    <xf numFmtId="165" fontId="7" fillId="0" borderId="98" xfId="0" applyNumberFormat="1" applyFont="1" applyBorder="1"/>
    <xf numFmtId="165" fontId="7" fillId="4" borderId="98" xfId="0" applyNumberFormat="1" applyFont="1" applyFill="1" applyBorder="1"/>
    <xf numFmtId="165" fontId="7" fillId="0" borderId="8" xfId="0" applyNumberFormat="1" applyFont="1" applyBorder="1" applyAlignment="1">
      <alignment horizontal="right"/>
    </xf>
    <xf numFmtId="165" fontId="7" fillId="0" borderId="0" xfId="0" applyNumberFormat="1" applyFont="1" applyAlignment="1">
      <alignment horizontal="right"/>
    </xf>
    <xf numFmtId="165" fontId="7" fillId="0" borderId="8" xfId="6" applyNumberFormat="1" applyFont="1" applyBorder="1" applyAlignment="1">
      <alignment horizontal="right"/>
    </xf>
    <xf numFmtId="165" fontId="7" fillId="0" borderId="4" xfId="0" applyNumberFormat="1" applyFont="1" applyBorder="1" applyAlignment="1">
      <alignment horizontal="right"/>
    </xf>
    <xf numFmtId="165" fontId="7" fillId="0" borderId="60" xfId="5" applyNumberFormat="1" applyFont="1" applyFill="1" applyBorder="1" applyAlignment="1">
      <alignment horizontal="right"/>
    </xf>
    <xf numFmtId="165" fontId="7" fillId="0" borderId="93" xfId="0" applyNumberFormat="1" applyFont="1" applyBorder="1" applyAlignment="1">
      <alignment horizontal="right"/>
    </xf>
    <xf numFmtId="165" fontId="7" fillId="4" borderId="93" xfId="0" applyNumberFormat="1" applyFont="1" applyFill="1" applyBorder="1" applyAlignment="1">
      <alignment horizontal="right"/>
    </xf>
    <xf numFmtId="9" fontId="7" fillId="0" borderId="46" xfId="0" applyNumberFormat="1" applyFont="1" applyBorder="1"/>
    <xf numFmtId="9" fontId="7" fillId="0" borderId="74" xfId="0" applyNumberFormat="1" applyFont="1" applyBorder="1"/>
    <xf numFmtId="9" fontId="7" fillId="0" borderId="74" xfId="6" applyNumberFormat="1" applyFont="1" applyBorder="1"/>
    <xf numFmtId="9" fontId="7" fillId="0" borderId="93" xfId="0" applyNumberFormat="1" applyFont="1" applyBorder="1"/>
    <xf numFmtId="9" fontId="7" fillId="4" borderId="93" xfId="0" applyNumberFormat="1" applyFont="1" applyFill="1" applyBorder="1"/>
    <xf numFmtId="0" fontId="8" fillId="0" borderId="1" xfId="0" applyFont="1" applyBorder="1"/>
    <xf numFmtId="165" fontId="8" fillId="0" borderId="22" xfId="0" applyNumberFormat="1" applyFont="1" applyBorder="1"/>
    <xf numFmtId="165" fontId="8" fillId="0" borderId="49" xfId="0" applyNumberFormat="1" applyFont="1" applyBorder="1"/>
    <xf numFmtId="165" fontId="8" fillId="0" borderId="25" xfId="6" applyNumberFormat="1" applyFont="1" applyBorder="1"/>
    <xf numFmtId="165" fontId="8" fillId="0" borderId="2" xfId="0" applyNumberFormat="1" applyFont="1" applyBorder="1"/>
    <xf numFmtId="165" fontId="8" fillId="0" borderId="26" xfId="0" applyNumberFormat="1" applyFont="1" applyBorder="1"/>
    <xf numFmtId="165" fontId="8" fillId="0" borderId="48" xfId="5" applyNumberFormat="1" applyFont="1" applyFill="1" applyBorder="1"/>
    <xf numFmtId="165" fontId="8" fillId="0" borderId="75" xfId="0" applyNumberFormat="1" applyFont="1" applyBorder="1"/>
    <xf numFmtId="165" fontId="8" fillId="4" borderId="75" xfId="0" applyNumberFormat="1" applyFont="1" applyFill="1" applyBorder="1"/>
    <xf numFmtId="0" fontId="16" fillId="0" borderId="0" xfId="0" applyFont="1"/>
    <xf numFmtId="3" fontId="16" fillId="0" borderId="0" xfId="0" applyNumberFormat="1" applyFont="1"/>
    <xf numFmtId="10" fontId="16" fillId="0" borderId="0" xfId="0" applyNumberFormat="1" applyFont="1"/>
    <xf numFmtId="3" fontId="16" fillId="0" borderId="28" xfId="0" applyNumberFormat="1" applyFont="1" applyBorder="1"/>
    <xf numFmtId="0" fontId="17" fillId="0" borderId="0" xfId="3" applyFont="1" applyAlignment="1">
      <alignment horizontal="center"/>
    </xf>
    <xf numFmtId="3" fontId="17" fillId="0" borderId="0" xfId="3" applyNumberFormat="1" applyFont="1" applyAlignment="1">
      <alignment horizontal="right" wrapText="1"/>
    </xf>
    <xf numFmtId="0" fontId="17" fillId="0" borderId="0" xfId="3" applyFont="1" applyAlignment="1">
      <alignment wrapText="1"/>
    </xf>
    <xf numFmtId="0" fontId="7" fillId="0" borderId="50" xfId="0" applyFont="1" applyBorder="1"/>
    <xf numFmtId="3" fontId="16" fillId="0" borderId="4" xfId="0" applyNumberFormat="1" applyFont="1" applyBorder="1"/>
    <xf numFmtId="0" fontId="7" fillId="0" borderId="16" xfId="0" applyFont="1" applyBorder="1" applyAlignment="1">
      <alignment horizontal="left"/>
    </xf>
    <xf numFmtId="168" fontId="7" fillId="0" borderId="0" xfId="0" applyNumberFormat="1" applyFont="1"/>
    <xf numFmtId="0" fontId="7" fillId="0" borderId="51" xfId="0" applyFont="1" applyBorder="1" applyAlignment="1">
      <alignment horizontal="left"/>
    </xf>
    <xf numFmtId="3" fontId="17" fillId="0" borderId="0" xfId="3" applyNumberFormat="1" applyFont="1" applyAlignment="1">
      <alignment horizontal="left"/>
    </xf>
    <xf numFmtId="3" fontId="20" fillId="0" borderId="0" xfId="0" applyNumberFormat="1" applyFont="1" applyAlignment="1">
      <alignment horizontal="right"/>
    </xf>
    <xf numFmtId="0" fontId="7" fillId="0" borderId="52" xfId="0" applyFont="1" applyBorder="1" applyAlignment="1">
      <alignment horizontal="left"/>
    </xf>
    <xf numFmtId="3" fontId="16" fillId="0" borderId="29" xfId="0" applyNumberFormat="1" applyFont="1" applyBorder="1"/>
    <xf numFmtId="165" fontId="16" fillId="0" borderId="0" xfId="0" applyNumberFormat="1" applyFont="1"/>
    <xf numFmtId="10" fontId="16" fillId="0" borderId="0" xfId="5" applyNumberFormat="1" applyFont="1" applyFill="1"/>
    <xf numFmtId="10" fontId="16" fillId="0" borderId="0" xfId="5" applyNumberFormat="1" applyFont="1"/>
    <xf numFmtId="10" fontId="16" fillId="0" borderId="29" xfId="0" applyNumberFormat="1" applyFont="1" applyBorder="1"/>
    <xf numFmtId="10" fontId="7" fillId="0" borderId="0" xfId="0" applyNumberFormat="1" applyFont="1"/>
    <xf numFmtId="10" fontId="7" fillId="0" borderId="0" xfId="5" applyNumberFormat="1" applyFont="1"/>
    <xf numFmtId="168" fontId="16" fillId="0" borderId="0" xfId="0" applyNumberFormat="1" applyFont="1"/>
    <xf numFmtId="0" fontId="16" fillId="0" borderId="0" xfId="0" applyFont="1" applyAlignment="1">
      <alignment horizontal="center"/>
    </xf>
    <xf numFmtId="10" fontId="16" fillId="0" borderId="0" xfId="5" applyNumberFormat="1" applyFont="1" applyFill="1" applyBorder="1"/>
    <xf numFmtId="0" fontId="9" fillId="0" borderId="0" xfId="0" applyFont="1"/>
    <xf numFmtId="166" fontId="16" fillId="0" borderId="0" xfId="0" applyNumberFormat="1" applyFont="1"/>
    <xf numFmtId="43" fontId="16" fillId="0" borderId="0" xfId="0" applyNumberFormat="1" applyFont="1"/>
    <xf numFmtId="3" fontId="20" fillId="0" borderId="29" xfId="0" applyNumberFormat="1" applyFont="1" applyBorder="1" applyAlignment="1">
      <alignment horizontal="right"/>
    </xf>
    <xf numFmtId="10" fontId="16" fillId="0" borderId="0" xfId="0" applyNumberFormat="1" applyFont="1" applyAlignment="1">
      <alignment horizontal="right"/>
    </xf>
    <xf numFmtId="164" fontId="7" fillId="0" borderId="0" xfId="0" applyNumberFormat="1" applyFont="1"/>
    <xf numFmtId="3" fontId="7" fillId="0" borderId="77" xfId="0" applyNumberFormat="1" applyFont="1" applyBorder="1"/>
    <xf numFmtId="0" fontId="7" fillId="0" borderId="77" xfId="0" applyFont="1" applyBorder="1"/>
    <xf numFmtId="0" fontId="8" fillId="0" borderId="66" xfId="0" applyFont="1" applyBorder="1"/>
    <xf numFmtId="1" fontId="8" fillId="0" borderId="64" xfId="0" applyNumberFormat="1" applyFont="1" applyBorder="1" applyAlignment="1">
      <alignment horizontal="center"/>
    </xf>
    <xf numFmtId="1" fontId="8" fillId="0" borderId="65" xfId="0" applyNumberFormat="1" applyFont="1" applyBorder="1" applyAlignment="1">
      <alignment horizontal="center"/>
    </xf>
    <xf numFmtId="1" fontId="8" fillId="0" borderId="67" xfId="0" applyNumberFormat="1" applyFont="1" applyBorder="1" applyAlignment="1">
      <alignment horizontal="center"/>
    </xf>
    <xf numFmtId="1" fontId="8" fillId="0" borderId="90" xfId="0" applyNumberFormat="1" applyFont="1" applyBorder="1" applyAlignment="1">
      <alignment horizontal="center"/>
    </xf>
    <xf numFmtId="0" fontId="8" fillId="0" borderId="65" xfId="0" applyFont="1" applyBorder="1" applyAlignment="1">
      <alignment horizontal="center"/>
    </xf>
    <xf numFmtId="1" fontId="8" fillId="0" borderId="111" xfId="0" applyNumberFormat="1" applyFont="1" applyBorder="1" applyAlignment="1">
      <alignment horizontal="center"/>
    </xf>
    <xf numFmtId="1" fontId="8" fillId="4" borderId="102" xfId="0" applyNumberFormat="1" applyFont="1" applyFill="1" applyBorder="1" applyAlignment="1">
      <alignment horizontal="center"/>
    </xf>
    <xf numFmtId="0" fontId="7" fillId="0" borderId="68" xfId="0" applyFont="1" applyBorder="1"/>
    <xf numFmtId="0" fontId="7" fillId="0" borderId="109" xfId="0" applyFont="1" applyBorder="1"/>
    <xf numFmtId="3" fontId="8" fillId="0" borderId="4" xfId="0" applyNumberFormat="1" applyFont="1" applyBorder="1" applyAlignment="1">
      <alignment horizontal="center"/>
    </xf>
    <xf numFmtId="3" fontId="8" fillId="0" borderId="8" xfId="0" applyNumberFormat="1" applyFont="1" applyBorder="1" applyAlignment="1">
      <alignment horizontal="center"/>
    </xf>
    <xf numFmtId="3" fontId="8" fillId="0" borderId="73" xfId="0" applyNumberFormat="1" applyFont="1" applyBorder="1" applyAlignment="1">
      <alignment horizontal="center"/>
    </xf>
    <xf numFmtId="3" fontId="8" fillId="0" borderId="91" xfId="0" applyNumberFormat="1" applyFont="1" applyBorder="1" applyAlignment="1">
      <alignment horizontal="center"/>
    </xf>
    <xf numFmtId="3" fontId="8" fillId="0" borderId="77" xfId="0" applyNumberFormat="1" applyFont="1" applyBorder="1" applyAlignment="1">
      <alignment horizontal="center"/>
    </xf>
    <xf numFmtId="3" fontId="8" fillId="0" borderId="112" xfId="0" applyNumberFormat="1" applyFont="1" applyBorder="1" applyAlignment="1">
      <alignment horizontal="center"/>
    </xf>
    <xf numFmtId="3" fontId="8" fillId="4" borderId="103" xfId="0" applyNumberFormat="1" applyFont="1" applyFill="1" applyBorder="1" applyAlignment="1">
      <alignment horizontal="center"/>
    </xf>
    <xf numFmtId="166" fontId="7" fillId="0" borderId="63" xfId="1" applyNumberFormat="1" applyFont="1" applyBorder="1"/>
    <xf numFmtId="166" fontId="7" fillId="0" borderId="64" xfId="1" applyNumberFormat="1" applyFont="1" applyBorder="1"/>
    <xf numFmtId="166" fontId="7" fillId="0" borderId="65" xfId="1" applyNumberFormat="1" applyFont="1" applyBorder="1"/>
    <xf numFmtId="166" fontId="7" fillId="0" borderId="65" xfId="1" applyNumberFormat="1" applyFont="1" applyFill="1" applyBorder="1"/>
    <xf numFmtId="166" fontId="17" fillId="0" borderId="65" xfId="1" applyNumberFormat="1" applyFont="1" applyFill="1" applyBorder="1" applyAlignment="1">
      <alignment horizontal="right"/>
    </xf>
    <xf numFmtId="166" fontId="17" fillId="0" borderId="64" xfId="1" applyNumberFormat="1" applyFont="1" applyFill="1" applyBorder="1" applyAlignment="1">
      <alignment horizontal="right" wrapText="1"/>
    </xf>
    <xf numFmtId="166" fontId="17" fillId="0" borderId="65" xfId="1" applyNumberFormat="1" applyFont="1" applyFill="1" applyBorder="1" applyAlignment="1">
      <alignment horizontal="right" wrapText="1"/>
    </xf>
    <xf numFmtId="166" fontId="17" fillId="0" borderId="88" xfId="1" applyNumberFormat="1" applyFont="1" applyFill="1" applyBorder="1" applyAlignment="1">
      <alignment horizontal="right" wrapText="1"/>
    </xf>
    <xf numFmtId="166" fontId="17" fillId="0" borderId="88" xfId="1" applyNumberFormat="1" applyFont="1" applyFill="1" applyBorder="1" applyAlignment="1">
      <alignment horizontal="right"/>
    </xf>
    <xf numFmtId="166" fontId="17" fillId="0" borderId="90" xfId="1" applyNumberFormat="1" applyFont="1" applyFill="1" applyBorder="1" applyAlignment="1">
      <alignment horizontal="right"/>
    </xf>
    <xf numFmtId="166" fontId="17" fillId="4" borderId="102" xfId="1" applyNumberFormat="1" applyFont="1" applyFill="1" applyBorder="1" applyAlignment="1">
      <alignment horizontal="right"/>
    </xf>
    <xf numFmtId="3" fontId="17" fillId="0" borderId="0" xfId="4" applyNumberFormat="1" applyFont="1" applyAlignment="1">
      <alignment horizontal="right" wrapText="1"/>
    </xf>
    <xf numFmtId="166" fontId="7" fillId="0" borderId="5" xfId="1" applyNumberFormat="1" applyFont="1" applyBorder="1"/>
    <xf numFmtId="166" fontId="7" fillId="0" borderId="4" xfId="1" applyNumberFormat="1" applyFont="1" applyBorder="1"/>
    <xf numFmtId="166" fontId="7" fillId="0" borderId="8" xfId="1" applyNumberFormat="1" applyFont="1" applyBorder="1"/>
    <xf numFmtId="166" fontId="7" fillId="0" borderId="8" xfId="1" applyNumberFormat="1" applyFont="1" applyFill="1" applyBorder="1"/>
    <xf numFmtId="166" fontId="17" fillId="0" borderId="8" xfId="1" applyNumberFormat="1" applyFont="1" applyFill="1" applyBorder="1" applyAlignment="1">
      <alignment horizontal="right"/>
    </xf>
    <xf numFmtId="166" fontId="17" fillId="0" borderId="4" xfId="1" applyNumberFormat="1" applyFont="1" applyFill="1" applyBorder="1" applyAlignment="1">
      <alignment horizontal="right" wrapText="1"/>
    </xf>
    <xf numFmtId="166" fontId="17" fillId="0" borderId="82" xfId="1" applyNumberFormat="1" applyFont="1" applyFill="1" applyBorder="1" applyAlignment="1">
      <alignment horizontal="right"/>
    </xf>
    <xf numFmtId="166" fontId="17" fillId="0" borderId="100" xfId="1" applyNumberFormat="1" applyFont="1" applyFill="1" applyBorder="1" applyAlignment="1">
      <alignment horizontal="right"/>
    </xf>
    <xf numFmtId="166" fontId="17" fillId="4" borderId="104" xfId="1" applyNumberFormat="1" applyFont="1" applyFill="1" applyBorder="1" applyAlignment="1">
      <alignment horizontal="right"/>
    </xf>
    <xf numFmtId="0" fontId="8" fillId="3" borderId="68" xfId="0" applyFont="1" applyFill="1" applyBorder="1"/>
    <xf numFmtId="166" fontId="8" fillId="3" borderId="5" xfId="1" applyNumberFormat="1" applyFont="1" applyFill="1" applyBorder="1"/>
    <xf numFmtId="166" fontId="8" fillId="3" borderId="4" xfId="1" applyNumberFormat="1" applyFont="1" applyFill="1" applyBorder="1"/>
    <xf numFmtId="166" fontId="8" fillId="3" borderId="8" xfId="1" applyNumberFormat="1" applyFont="1" applyFill="1" applyBorder="1"/>
    <xf numFmtId="166" fontId="8" fillId="3" borderId="8" xfId="1" applyNumberFormat="1" applyFont="1" applyFill="1" applyBorder="1" applyAlignment="1"/>
    <xf numFmtId="166" fontId="8" fillId="3" borderId="23" xfId="1" applyNumberFormat="1" applyFont="1" applyFill="1" applyBorder="1" applyAlignment="1"/>
    <xf numFmtId="166" fontId="8" fillId="5" borderId="105" xfId="1" applyNumberFormat="1" applyFont="1" applyFill="1" applyBorder="1" applyAlignment="1"/>
    <xf numFmtId="0" fontId="7" fillId="2" borderId="0" xfId="0" applyFont="1" applyFill="1"/>
    <xf numFmtId="166" fontId="17" fillId="0" borderId="8" xfId="1" applyNumberFormat="1" applyFont="1" applyFill="1" applyBorder="1" applyAlignment="1">
      <alignment horizontal="right" wrapText="1"/>
    </xf>
    <xf numFmtId="166" fontId="17" fillId="0" borderId="4" xfId="1" applyNumberFormat="1" applyFont="1" applyFill="1" applyBorder="1" applyAlignment="1">
      <alignment horizontal="right"/>
    </xf>
    <xf numFmtId="166" fontId="17" fillId="0" borderId="84" xfId="1" applyNumberFormat="1" applyFont="1" applyFill="1" applyBorder="1" applyAlignment="1">
      <alignment horizontal="right"/>
    </xf>
    <xf numFmtId="166" fontId="17" fillId="0" borderId="101" xfId="1" applyNumberFormat="1" applyFont="1" applyFill="1" applyBorder="1" applyAlignment="1">
      <alignment horizontal="right"/>
    </xf>
    <xf numFmtId="166" fontId="17" fillId="4" borderId="106" xfId="1" applyNumberFormat="1" applyFont="1" applyFill="1" applyBorder="1" applyAlignment="1">
      <alignment horizontal="right"/>
    </xf>
    <xf numFmtId="3" fontId="17" fillId="0" borderId="0" xfId="4" applyNumberFormat="1" applyFont="1" applyAlignment="1">
      <alignment horizontal="right"/>
    </xf>
    <xf numFmtId="166" fontId="17" fillId="0" borderId="23" xfId="1" applyNumberFormat="1" applyFont="1" applyFill="1" applyBorder="1" applyAlignment="1">
      <alignment horizontal="right"/>
    </xf>
    <xf numFmtId="166" fontId="17" fillId="4" borderId="105" xfId="1" applyNumberFormat="1" applyFont="1" applyFill="1" applyBorder="1" applyAlignment="1">
      <alignment horizontal="right"/>
    </xf>
    <xf numFmtId="166" fontId="17" fillId="0" borderId="83" xfId="1" applyNumberFormat="1" applyFont="1" applyFill="1" applyBorder="1" applyAlignment="1">
      <alignment horizontal="right"/>
    </xf>
    <xf numFmtId="166" fontId="17" fillId="0" borderId="84" xfId="1" applyNumberFormat="1" applyFont="1" applyFill="1" applyBorder="1" applyAlignment="1">
      <alignment horizontal="right" wrapText="1"/>
    </xf>
    <xf numFmtId="166" fontId="7" fillId="0" borderId="4" xfId="1" applyNumberFormat="1" applyFont="1" applyFill="1" applyBorder="1"/>
    <xf numFmtId="166" fontId="7" fillId="0" borderId="8" xfId="1" applyNumberFormat="1" applyFont="1" applyFill="1" applyBorder="1" applyAlignment="1"/>
    <xf numFmtId="166" fontId="7" fillId="0" borderId="23" xfId="1" applyNumberFormat="1" applyFont="1" applyFill="1" applyBorder="1" applyAlignment="1"/>
    <xf numFmtId="166" fontId="7" fillId="4" borderId="105" xfId="1" applyNumberFormat="1" applyFont="1" applyFill="1" applyBorder="1" applyAlignment="1"/>
    <xf numFmtId="166" fontId="7" fillId="0" borderId="8" xfId="1" applyNumberFormat="1" applyFont="1" applyBorder="1" applyAlignment="1"/>
    <xf numFmtId="166" fontId="7" fillId="0" borderId="23" xfId="1" applyNumberFormat="1" applyFont="1" applyBorder="1" applyAlignment="1"/>
    <xf numFmtId="166" fontId="17" fillId="0" borderId="83" xfId="1" applyNumberFormat="1" applyFont="1" applyFill="1" applyBorder="1" applyAlignment="1">
      <alignment horizontal="right" wrapText="1"/>
    </xf>
    <xf numFmtId="166" fontId="8" fillId="3" borderId="84" xfId="1" applyNumberFormat="1" applyFont="1" applyFill="1" applyBorder="1"/>
    <xf numFmtId="166" fontId="8" fillId="3" borderId="0" xfId="1" applyNumberFormat="1" applyFont="1" applyFill="1" applyBorder="1" applyAlignment="1"/>
    <xf numFmtId="166" fontId="8" fillId="3" borderId="84" xfId="1" applyNumberFormat="1" applyFont="1" applyFill="1" applyBorder="1" applyAlignment="1"/>
    <xf numFmtId="166" fontId="7" fillId="0" borderId="74" xfId="1" applyNumberFormat="1" applyFont="1" applyFill="1" applyBorder="1"/>
    <xf numFmtId="166" fontId="7" fillId="0" borderId="30" xfId="1" applyNumberFormat="1" applyFont="1" applyBorder="1"/>
    <xf numFmtId="166" fontId="7" fillId="0" borderId="74" xfId="1" applyNumberFormat="1" applyFont="1" applyBorder="1"/>
    <xf numFmtId="166" fontId="7" fillId="0" borderId="74" xfId="1" applyNumberFormat="1" applyFont="1" applyBorder="1" applyAlignment="1"/>
    <xf numFmtId="166" fontId="7" fillId="0" borderId="28" xfId="1" applyNumberFormat="1" applyFont="1" applyBorder="1" applyAlignment="1"/>
    <xf numFmtId="166" fontId="7" fillId="0" borderId="47" xfId="1" applyNumberFormat="1" applyFont="1" applyBorder="1" applyAlignment="1"/>
    <xf numFmtId="166" fontId="7" fillId="4" borderId="107" xfId="1" applyNumberFormat="1" applyFont="1" applyFill="1" applyBorder="1" applyAlignment="1"/>
    <xf numFmtId="0" fontId="8" fillId="3" borderId="69" xfId="0" applyFont="1" applyFill="1" applyBorder="1"/>
    <xf numFmtId="166" fontId="8" fillId="3" borderId="70" xfId="1" applyNumberFormat="1" applyFont="1" applyFill="1" applyBorder="1"/>
    <xf numFmtId="166" fontId="8" fillId="3" borderId="71" xfId="1" applyNumberFormat="1" applyFont="1" applyFill="1" applyBorder="1"/>
    <xf numFmtId="166" fontId="8" fillId="3" borderId="72" xfId="1" applyNumberFormat="1" applyFont="1" applyFill="1" applyBorder="1"/>
    <xf numFmtId="166" fontId="8" fillId="3" borderId="73" xfId="1" applyNumberFormat="1" applyFont="1" applyFill="1" applyBorder="1"/>
    <xf numFmtId="166" fontId="8" fillId="3" borderId="96" xfId="1" applyNumberFormat="1" applyFont="1" applyFill="1" applyBorder="1" applyAlignment="1"/>
    <xf numFmtId="166" fontId="8" fillId="3" borderId="72" xfId="1" applyNumberFormat="1" applyFont="1" applyFill="1" applyBorder="1" applyAlignment="1"/>
    <xf numFmtId="166" fontId="8" fillId="3" borderId="110" xfId="1" applyNumberFormat="1" applyFont="1" applyFill="1" applyBorder="1" applyAlignment="1"/>
    <xf numFmtId="166" fontId="8" fillId="5" borderId="108" xfId="1" applyNumberFormat="1" applyFont="1" applyFill="1" applyBorder="1" applyAlignment="1"/>
    <xf numFmtId="164" fontId="6" fillId="0" borderId="0" xfId="0" applyNumberFormat="1" applyFont="1"/>
    <xf numFmtId="164" fontId="7" fillId="0" borderId="0" xfId="1" applyNumberFormat="1" applyFont="1" applyFill="1" applyAlignment="1"/>
    <xf numFmtId="164" fontId="15" fillId="0" borderId="56" xfId="0" applyNumberFormat="1" applyFont="1" applyBorder="1" applyAlignment="1">
      <alignment horizontal="left" vertical="center" wrapText="1"/>
    </xf>
    <xf numFmtId="164" fontId="15" fillId="0" borderId="54" xfId="0" applyNumberFormat="1" applyFont="1" applyBorder="1" applyAlignment="1">
      <alignment horizontal="center" vertical="center" wrapText="1"/>
    </xf>
    <xf numFmtId="164" fontId="15" fillId="0" borderId="55" xfId="0" applyNumberFormat="1" applyFont="1" applyBorder="1" applyAlignment="1">
      <alignment horizontal="center" vertical="center" wrapText="1"/>
    </xf>
    <xf numFmtId="164" fontId="15" fillId="0" borderId="78" xfId="1" applyNumberFormat="1" applyFont="1" applyFill="1" applyBorder="1" applyAlignment="1">
      <alignment horizontal="center" vertical="center" wrapText="1"/>
    </xf>
    <xf numFmtId="164" fontId="15" fillId="0" borderId="0" xfId="0" applyNumberFormat="1" applyFont="1"/>
    <xf numFmtId="164" fontId="7" fillId="0" borderId="50" xfId="0" applyNumberFormat="1" applyFont="1" applyBorder="1"/>
    <xf numFmtId="166" fontId="7" fillId="0" borderId="4" xfId="1" applyNumberFormat="1" applyFont="1" applyBorder="1" applyAlignment="1"/>
    <xf numFmtId="9" fontId="7" fillId="0" borderId="8" xfId="5" applyFont="1" applyFill="1" applyBorder="1" applyAlignment="1"/>
    <xf numFmtId="164" fontId="7" fillId="0" borderId="16" xfId="0" applyNumberFormat="1" applyFont="1" applyBorder="1"/>
    <xf numFmtId="164" fontId="7" fillId="0" borderId="51" xfId="0" applyNumberFormat="1" applyFont="1" applyBorder="1"/>
    <xf numFmtId="166" fontId="7" fillId="0" borderId="6" xfId="1" applyNumberFormat="1" applyFont="1" applyBorder="1" applyAlignment="1"/>
    <xf numFmtId="166" fontId="7" fillId="0" borderId="46" xfId="1" applyNumberFormat="1" applyFont="1" applyBorder="1" applyAlignment="1"/>
    <xf numFmtId="9" fontId="7" fillId="0" borderId="46" xfId="5" applyFont="1" applyFill="1" applyBorder="1" applyAlignment="1"/>
    <xf numFmtId="164" fontId="7" fillId="0" borderId="86" xfId="0" applyNumberFormat="1" applyFont="1" applyBorder="1"/>
    <xf numFmtId="164" fontId="8" fillId="0" borderId="53" xfId="0" applyNumberFormat="1" applyFont="1" applyBorder="1"/>
    <xf numFmtId="166" fontId="8" fillId="0" borderId="26" xfId="1" applyNumberFormat="1" applyFont="1" applyBorder="1" applyAlignment="1"/>
    <xf numFmtId="166" fontId="8" fillId="0" borderId="49" xfId="1" applyNumberFormat="1" applyFont="1" applyFill="1" applyBorder="1" applyAlignment="1"/>
    <xf numFmtId="9" fontId="8" fillId="0" borderId="49" xfId="0" applyNumberFormat="1" applyFont="1" applyBorder="1"/>
    <xf numFmtId="166" fontId="8" fillId="0" borderId="48" xfId="1" applyNumberFormat="1" applyFont="1" applyFill="1" applyBorder="1" applyAlignment="1"/>
    <xf numFmtId="164" fontId="8" fillId="0" borderId="0" xfId="0" applyNumberFormat="1" applyFont="1"/>
    <xf numFmtId="165" fontId="7" fillId="0" borderId="0" xfId="5" applyNumberFormat="1" applyFont="1" applyFill="1" applyBorder="1" applyAlignment="1"/>
    <xf numFmtId="166" fontId="7" fillId="0" borderId="0" xfId="1" applyNumberFormat="1" applyFont="1" applyBorder="1" applyAlignment="1"/>
    <xf numFmtId="0" fontId="8" fillId="0" borderId="15" xfId="0" applyFont="1" applyBorder="1"/>
    <xf numFmtId="1" fontId="8" fillId="0" borderId="29" xfId="0" applyNumberFormat="1" applyFont="1" applyBorder="1" applyAlignment="1">
      <alignment horizontal="center"/>
    </xf>
    <xf numFmtId="0" fontId="8" fillId="0" borderId="27" xfId="0" applyFont="1" applyBorder="1" applyAlignment="1">
      <alignment horizontal="center"/>
    </xf>
    <xf numFmtId="0" fontId="8" fillId="0" borderId="29" xfId="0" applyFont="1" applyBorder="1" applyAlignment="1">
      <alignment horizontal="center"/>
    </xf>
    <xf numFmtId="0" fontId="8" fillId="0" borderId="41" xfId="0" applyFont="1" applyBorder="1" applyAlignment="1">
      <alignment horizontal="center"/>
    </xf>
    <xf numFmtId="0" fontId="8" fillId="4" borderId="41" xfId="0" applyFont="1" applyFill="1" applyBorder="1" applyAlignment="1">
      <alignment horizontal="center"/>
    </xf>
    <xf numFmtId="0" fontId="8" fillId="4" borderId="29" xfId="0" applyFont="1" applyFill="1" applyBorder="1" applyAlignment="1">
      <alignment horizontal="center"/>
    </xf>
    <xf numFmtId="10" fontId="8" fillId="0" borderId="92" xfId="0" applyNumberFormat="1" applyFont="1" applyBorder="1" applyAlignment="1">
      <alignment horizontal="center"/>
    </xf>
    <xf numFmtId="0" fontId="8" fillId="0" borderId="16" xfId="0" applyFont="1" applyBorder="1" applyAlignment="1">
      <alignment horizontal="left"/>
    </xf>
    <xf numFmtId="3" fontId="8" fillId="0" borderId="0" xfId="0" applyNumberFormat="1" applyFont="1" applyAlignment="1">
      <alignment horizontal="center"/>
    </xf>
    <xf numFmtId="3" fontId="8" fillId="0" borderId="23" xfId="0" applyNumberFormat="1" applyFont="1" applyBorder="1" applyAlignment="1">
      <alignment horizontal="center"/>
    </xf>
    <xf numFmtId="3" fontId="8" fillId="4" borderId="23" xfId="0" applyNumberFormat="1" applyFont="1" applyFill="1" applyBorder="1" applyAlignment="1">
      <alignment horizontal="center"/>
    </xf>
    <xf numFmtId="3" fontId="8" fillId="4" borderId="0" xfId="0" applyNumberFormat="1" applyFont="1" applyFill="1" applyAlignment="1">
      <alignment horizontal="center"/>
    </xf>
    <xf numFmtId="10" fontId="8" fillId="0" borderId="93" xfId="0" applyNumberFormat="1" applyFont="1" applyBorder="1" applyAlignment="1">
      <alignment horizontal="center"/>
    </xf>
    <xf numFmtId="0" fontId="8" fillId="0" borderId="9" xfId="0" applyFont="1" applyBorder="1" applyAlignment="1">
      <alignment horizontal="left"/>
    </xf>
    <xf numFmtId="0" fontId="8" fillId="0" borderId="37" xfId="0" applyFont="1" applyBorder="1" applyAlignment="1">
      <alignment horizontal="center"/>
    </xf>
    <xf numFmtId="3" fontId="8" fillId="0" borderId="18" xfId="0" applyNumberFormat="1" applyFont="1" applyBorder="1" applyAlignment="1">
      <alignment horizontal="center"/>
    </xf>
    <xf numFmtId="3" fontId="8" fillId="0" borderId="37" xfId="0" applyNumberFormat="1" applyFont="1" applyBorder="1" applyAlignment="1">
      <alignment horizontal="center"/>
    </xf>
    <xf numFmtId="0" fontId="8" fillId="0" borderId="42" xfId="0" applyFont="1" applyBorder="1" applyAlignment="1">
      <alignment horizontal="center"/>
    </xf>
    <xf numFmtId="0" fontId="8" fillId="4" borderId="42" xfId="0" applyFont="1" applyFill="1" applyBorder="1" applyAlignment="1">
      <alignment horizontal="center"/>
    </xf>
    <xf numFmtId="10" fontId="8" fillId="0" borderId="87" xfId="0" applyNumberFormat="1" applyFont="1" applyBorder="1" applyAlignment="1">
      <alignment horizontal="center"/>
    </xf>
    <xf numFmtId="0" fontId="7" fillId="0" borderId="10" xfId="0" applyFont="1" applyBorder="1" applyAlignment="1">
      <alignment horizontal="center"/>
    </xf>
    <xf numFmtId="3" fontId="7" fillId="0" borderId="0" xfId="0" applyNumberFormat="1" applyFont="1" applyAlignment="1">
      <alignment horizontal="center"/>
    </xf>
    <xf numFmtId="0" fontId="7" fillId="0" borderId="23" xfId="0" applyFont="1" applyBorder="1" applyAlignment="1">
      <alignment horizontal="center"/>
    </xf>
    <xf numFmtId="3" fontId="7" fillId="0" borderId="0" xfId="0" applyNumberFormat="1" applyFont="1" applyAlignment="1">
      <alignment horizontal="right"/>
    </xf>
    <xf numFmtId="0" fontId="7" fillId="0" borderId="23" xfId="0" applyFont="1" applyBorder="1"/>
    <xf numFmtId="3" fontId="7" fillId="0" borderId="34" xfId="0" applyNumberFormat="1" applyFont="1" applyBorder="1"/>
    <xf numFmtId="0" fontId="7" fillId="0" borderId="33" xfId="0" applyFont="1" applyBorder="1"/>
    <xf numFmtId="3" fontId="7" fillId="0" borderId="40" xfId="0" applyNumberFormat="1" applyFont="1" applyBorder="1"/>
    <xf numFmtId="3" fontId="7" fillId="0" borderId="33" xfId="0" applyNumberFormat="1" applyFont="1" applyBorder="1"/>
    <xf numFmtId="0" fontId="7" fillId="4" borderId="33" xfId="0" applyFont="1" applyFill="1" applyBorder="1"/>
    <xf numFmtId="3" fontId="7" fillId="4" borderId="40" xfId="0" applyNumberFormat="1" applyFont="1" applyFill="1" applyBorder="1"/>
    <xf numFmtId="3" fontId="7" fillId="0" borderId="10" xfId="0" applyNumberFormat="1" applyFont="1" applyBorder="1"/>
    <xf numFmtId="3" fontId="7" fillId="0" borderId="23" xfId="0" applyNumberFormat="1" applyFont="1" applyBorder="1"/>
    <xf numFmtId="3" fontId="7" fillId="0" borderId="4" xfId="0" applyNumberFormat="1" applyFont="1" applyBorder="1" applyAlignment="1">
      <alignment horizontal="right"/>
    </xf>
    <xf numFmtId="3" fontId="7" fillId="0" borderId="23" xfId="6" applyNumberFormat="1" applyFont="1" applyBorder="1"/>
    <xf numFmtId="3" fontId="7" fillId="0" borderId="4" xfId="6" applyNumberFormat="1" applyFont="1" applyBorder="1"/>
    <xf numFmtId="3" fontId="7" fillId="4" borderId="23" xfId="0" applyNumberFormat="1" applyFont="1" applyFill="1" applyBorder="1"/>
    <xf numFmtId="3" fontId="7" fillId="0" borderId="11" xfId="0" applyNumberFormat="1" applyFont="1" applyBorder="1"/>
    <xf numFmtId="3" fontId="7" fillId="0" borderId="12" xfId="0" applyNumberFormat="1" applyFont="1" applyBorder="1" applyAlignment="1">
      <alignment horizontal="right"/>
    </xf>
    <xf numFmtId="3" fontId="7" fillId="0" borderId="24" xfId="0" applyNumberFormat="1" applyFont="1" applyBorder="1"/>
    <xf numFmtId="3" fontId="7" fillId="0" borderId="7" xfId="0" applyNumberFormat="1" applyFont="1" applyBorder="1" applyAlignment="1">
      <alignment horizontal="right"/>
    </xf>
    <xf numFmtId="3" fontId="7" fillId="0" borderId="12" xfId="0" applyNumberFormat="1" applyFont="1" applyBorder="1"/>
    <xf numFmtId="3" fontId="7" fillId="0" borderId="7" xfId="0" applyNumberFormat="1" applyFont="1" applyBorder="1"/>
    <xf numFmtId="3" fontId="7" fillId="0" borderId="31" xfId="0" applyNumberFormat="1" applyFont="1" applyBorder="1"/>
    <xf numFmtId="3" fontId="7" fillId="0" borderId="35" xfId="0" applyNumberFormat="1" applyFont="1" applyBorder="1"/>
    <xf numFmtId="3" fontId="7" fillId="0" borderId="32" xfId="0" applyNumberFormat="1" applyFont="1" applyBorder="1"/>
    <xf numFmtId="3" fontId="7" fillId="0" borderId="31" xfId="6" applyNumberFormat="1" applyFont="1" applyBorder="1"/>
    <xf numFmtId="3" fontId="7" fillId="0" borderId="24" xfId="6" applyNumberFormat="1" applyFont="1" applyBorder="1"/>
    <xf numFmtId="3" fontId="7" fillId="0" borderId="7" xfId="6" applyNumberFormat="1" applyFont="1" applyBorder="1"/>
    <xf numFmtId="3" fontId="7" fillId="4" borderId="24" xfId="0" applyNumberFormat="1" applyFont="1" applyFill="1" applyBorder="1"/>
    <xf numFmtId="3" fontId="7" fillId="0" borderId="30" xfId="0" applyNumberFormat="1" applyFont="1" applyBorder="1" applyAlignment="1">
      <alignment horizontal="right"/>
    </xf>
    <xf numFmtId="3" fontId="7" fillId="0" borderId="47" xfId="0" applyNumberFormat="1" applyFont="1" applyBorder="1" applyAlignment="1">
      <alignment horizontal="right"/>
    </xf>
    <xf numFmtId="3" fontId="7" fillId="0" borderId="85" xfId="0" applyNumberFormat="1" applyFont="1" applyBorder="1" applyAlignment="1">
      <alignment horizontal="right"/>
    </xf>
    <xf numFmtId="3" fontId="7" fillId="0" borderId="85" xfId="0" applyNumberFormat="1" applyFont="1" applyBorder="1"/>
    <xf numFmtId="3" fontId="7" fillId="0" borderId="79" xfId="0" applyNumberFormat="1" applyFont="1" applyBorder="1" applyAlignment="1">
      <alignment horizontal="right"/>
    </xf>
    <xf numFmtId="3" fontId="7" fillId="0" borderId="47" xfId="6" applyNumberFormat="1" applyFont="1" applyBorder="1" applyAlignment="1">
      <alignment horizontal="right"/>
    </xf>
    <xf numFmtId="3" fontId="7" fillId="0" borderId="30" xfId="6" applyNumberFormat="1" applyFont="1" applyBorder="1" applyAlignment="1">
      <alignment horizontal="right"/>
    </xf>
    <xf numFmtId="3" fontId="7" fillId="0" borderId="85" xfId="6" applyNumberFormat="1" applyFont="1" applyBorder="1" applyAlignment="1">
      <alignment horizontal="right"/>
    </xf>
    <xf numFmtId="3" fontId="7" fillId="0" borderId="28" xfId="0" applyNumberFormat="1" applyFont="1" applyBorder="1" applyAlignment="1">
      <alignment horizontal="right"/>
    </xf>
    <xf numFmtId="3" fontId="7" fillId="4" borderId="85" xfId="0" applyNumberFormat="1" applyFont="1" applyFill="1" applyBorder="1" applyAlignment="1">
      <alignment horizontal="right"/>
    </xf>
    <xf numFmtId="3" fontId="7" fillId="4" borderId="28" xfId="0" applyNumberFormat="1" applyFont="1" applyFill="1" applyBorder="1" applyAlignment="1">
      <alignment horizontal="right"/>
    </xf>
    <xf numFmtId="10" fontId="7" fillId="0" borderId="95" xfId="0" applyNumberFormat="1" applyFont="1" applyBorder="1"/>
    <xf numFmtId="3" fontId="8" fillId="0" borderId="13" xfId="0" applyNumberFormat="1" applyFont="1" applyBorder="1"/>
    <xf numFmtId="3" fontId="8" fillId="0" borderId="14" xfId="0" applyNumberFormat="1" applyFont="1" applyBorder="1" applyAlignment="1">
      <alignment horizontal="right"/>
    </xf>
    <xf numFmtId="3" fontId="8" fillId="0" borderId="2" xfId="0" applyNumberFormat="1" applyFont="1" applyBorder="1" applyAlignment="1">
      <alignment horizontal="right"/>
    </xf>
    <xf numFmtId="3" fontId="8" fillId="0" borderId="25" xfId="0" applyNumberFormat="1" applyFont="1" applyBorder="1"/>
    <xf numFmtId="3" fontId="8" fillId="0" borderId="1" xfId="0" applyNumberFormat="1" applyFont="1" applyBorder="1"/>
    <xf numFmtId="3" fontId="8" fillId="0" borderId="1" xfId="0" applyNumberFormat="1" applyFont="1" applyBorder="1" applyAlignment="1">
      <alignment horizontal="right"/>
    </xf>
    <xf numFmtId="3" fontId="8" fillId="0" borderId="14" xfId="0" applyNumberFormat="1" applyFont="1" applyBorder="1"/>
    <xf numFmtId="3" fontId="8" fillId="0" borderId="1" xfId="6" applyNumberFormat="1" applyFont="1" applyBorder="1"/>
    <xf numFmtId="3" fontId="8" fillId="0" borderId="14" xfId="6" applyNumberFormat="1" applyFont="1" applyBorder="1" applyAlignment="1">
      <alignment horizontal="right"/>
    </xf>
    <xf numFmtId="3" fontId="8" fillId="0" borderId="28" xfId="0" applyNumberFormat="1" applyFont="1" applyBorder="1" applyAlignment="1">
      <alignment horizontal="right"/>
    </xf>
    <xf numFmtId="3" fontId="8" fillId="4" borderId="1" xfId="0" applyNumberFormat="1" applyFont="1" applyFill="1" applyBorder="1"/>
    <xf numFmtId="3" fontId="8" fillId="4" borderId="2" xfId="0" applyNumberFormat="1" applyFont="1" applyFill="1" applyBorder="1" applyAlignment="1">
      <alignment horizontal="right"/>
    </xf>
    <xf numFmtId="10" fontId="8" fillId="0" borderId="95" xfId="0" applyNumberFormat="1" applyFont="1" applyBorder="1"/>
    <xf numFmtId="3" fontId="7" fillId="4" borderId="0" xfId="0" applyNumberFormat="1" applyFont="1" applyFill="1"/>
    <xf numFmtId="3" fontId="7" fillId="0" borderId="35" xfId="6" applyNumberFormat="1" applyFont="1" applyBorder="1"/>
    <xf numFmtId="3" fontId="7" fillId="4" borderId="31" xfId="0" applyNumberFormat="1" applyFont="1" applyFill="1" applyBorder="1"/>
    <xf numFmtId="3" fontId="7" fillId="4" borderId="32" xfId="0" applyNumberFormat="1" applyFont="1" applyFill="1" applyBorder="1"/>
    <xf numFmtId="3" fontId="7" fillId="4" borderId="12" xfId="0" applyNumberFormat="1" applyFont="1" applyFill="1" applyBorder="1"/>
    <xf numFmtId="3" fontId="8" fillId="0" borderId="27" xfId="0" applyNumberFormat="1" applyFont="1" applyBorder="1" applyAlignment="1">
      <alignment horizontal="center"/>
    </xf>
    <xf numFmtId="10" fontId="8" fillId="0" borderId="59" xfId="0" applyNumberFormat="1" applyFont="1" applyBorder="1" applyAlignment="1">
      <alignment horizontal="center"/>
    </xf>
    <xf numFmtId="0" fontId="8" fillId="0" borderId="16" xfId="0" applyFont="1" applyBorder="1"/>
    <xf numFmtId="10" fontId="8" fillId="0" borderId="60" xfId="0" applyNumberFormat="1" applyFont="1" applyBorder="1" applyAlignment="1">
      <alignment horizontal="center"/>
    </xf>
    <xf numFmtId="0" fontId="8" fillId="0" borderId="23" xfId="0" applyFont="1" applyBorder="1" applyAlignment="1">
      <alignment horizontal="center"/>
    </xf>
    <xf numFmtId="0" fontId="8" fillId="4" borderId="23" xfId="0" applyFont="1" applyFill="1" applyBorder="1" applyAlignment="1">
      <alignment horizontal="center"/>
    </xf>
    <xf numFmtId="0" fontId="7" fillId="0" borderId="16" xfId="0" applyFont="1" applyBorder="1"/>
    <xf numFmtId="166" fontId="7" fillId="0" borderId="0" xfId="1" applyNumberFormat="1" applyFont="1" applyBorder="1"/>
    <xf numFmtId="166" fontId="7" fillId="0" borderId="23" xfId="1" applyNumberFormat="1" applyFont="1" applyBorder="1"/>
    <xf numFmtId="3" fontId="7" fillId="4" borderId="4" xfId="0" applyNumberFormat="1" applyFont="1" applyFill="1" applyBorder="1"/>
    <xf numFmtId="10" fontId="7" fillId="0" borderId="60" xfId="0" applyNumberFormat="1" applyFont="1" applyBorder="1"/>
    <xf numFmtId="0" fontId="7" fillId="0" borderId="51" xfId="0" applyFont="1" applyBorder="1"/>
    <xf numFmtId="166" fontId="7" fillId="0" borderId="12" xfId="1" applyNumberFormat="1" applyFont="1" applyBorder="1"/>
    <xf numFmtId="166" fontId="7" fillId="0" borderId="24" xfId="1" applyNumberFormat="1" applyFont="1" applyBorder="1"/>
    <xf numFmtId="3" fontId="7" fillId="4" borderId="7" xfId="0" applyNumberFormat="1" applyFont="1" applyFill="1" applyBorder="1"/>
    <xf numFmtId="10" fontId="7" fillId="0" borderId="62" xfId="0" applyNumberFormat="1" applyFont="1" applyBorder="1"/>
    <xf numFmtId="166" fontId="7" fillId="0" borderId="31" xfId="1" applyNumberFormat="1" applyFont="1" applyBorder="1"/>
    <xf numFmtId="3" fontId="7" fillId="0" borderId="32" xfId="0" applyNumberFormat="1" applyFont="1" applyBorder="1" applyAlignment="1">
      <alignment horizontal="right"/>
    </xf>
    <xf numFmtId="3" fontId="7" fillId="0" borderId="35" xfId="0" applyNumberFormat="1" applyFont="1" applyBorder="1" applyAlignment="1">
      <alignment horizontal="right"/>
    </xf>
    <xf numFmtId="3" fontId="7" fillId="0" borderId="47" xfId="0" applyNumberFormat="1" applyFont="1" applyBorder="1"/>
    <xf numFmtId="3" fontId="7" fillId="0" borderId="30" xfId="0" applyNumberFormat="1" applyFont="1" applyBorder="1"/>
    <xf numFmtId="3" fontId="7" fillId="0" borderId="47" xfId="6" applyNumberFormat="1" applyFont="1" applyBorder="1"/>
    <xf numFmtId="3" fontId="7" fillId="0" borderId="0" xfId="6" applyNumberFormat="1" applyFont="1"/>
    <xf numFmtId="3" fontId="7" fillId="0" borderId="79" xfId="0" applyNumberFormat="1" applyFont="1" applyBorder="1"/>
    <xf numFmtId="10" fontId="7" fillId="0" borderId="76" xfId="0" applyNumberFormat="1" applyFont="1" applyBorder="1"/>
    <xf numFmtId="3" fontId="8" fillId="0" borderId="26" xfId="0" applyNumberFormat="1" applyFont="1" applyBorder="1" applyAlignment="1">
      <alignment horizontal="right"/>
    </xf>
    <xf numFmtId="3" fontId="8" fillId="4" borderId="14" xfId="0" applyNumberFormat="1" applyFont="1" applyFill="1" applyBorder="1" applyAlignment="1">
      <alignment horizontal="right"/>
    </xf>
    <xf numFmtId="10" fontId="8" fillId="0" borderId="75" xfId="0" applyNumberFormat="1" applyFont="1" applyBorder="1"/>
    <xf numFmtId="0" fontId="8" fillId="0" borderId="50" xfId="0" applyFont="1" applyBorder="1"/>
    <xf numFmtId="0" fontId="8" fillId="0" borderId="40" xfId="0" applyFont="1" applyBorder="1" applyAlignment="1">
      <alignment horizontal="center"/>
    </xf>
    <xf numFmtId="3" fontId="8" fillId="0" borderId="34" xfId="0" applyNumberFormat="1" applyFont="1" applyBorder="1" applyAlignment="1">
      <alignment horizontal="center"/>
    </xf>
    <xf numFmtId="3" fontId="8" fillId="0" borderId="40" xfId="0" applyNumberFormat="1" applyFont="1" applyBorder="1" applyAlignment="1">
      <alignment horizontal="center"/>
    </xf>
    <xf numFmtId="0" fontId="8" fillId="0" borderId="33" xfId="0" applyFont="1" applyBorder="1" applyAlignment="1">
      <alignment horizontal="center"/>
    </xf>
    <xf numFmtId="3" fontId="8" fillId="4" borderId="40" xfId="0" applyNumberFormat="1" applyFont="1" applyFill="1" applyBorder="1" applyAlignment="1">
      <alignment horizontal="center"/>
    </xf>
    <xf numFmtId="10" fontId="8" fillId="0" borderId="99" xfId="0" applyNumberFormat="1" applyFont="1" applyBorder="1" applyAlignment="1">
      <alignment horizontal="center"/>
    </xf>
    <xf numFmtId="1" fontId="8" fillId="0" borderId="43" xfId="0" applyNumberFormat="1" applyFont="1" applyBorder="1" applyAlignment="1">
      <alignment horizontal="center"/>
    </xf>
    <xf numFmtId="3" fontId="8" fillId="0" borderId="20" xfId="0" applyNumberFormat="1" applyFont="1" applyBorder="1" applyAlignment="1">
      <alignment horizontal="center"/>
    </xf>
    <xf numFmtId="0" fontId="8" fillId="0" borderId="39" xfId="0" applyFont="1" applyBorder="1" applyAlignment="1">
      <alignment horizontal="center"/>
    </xf>
    <xf numFmtId="1" fontId="8" fillId="0" borderId="39" xfId="0" applyNumberFormat="1" applyFont="1" applyBorder="1" applyAlignment="1">
      <alignment horizontal="center"/>
    </xf>
    <xf numFmtId="3" fontId="8" fillId="0" borderId="29" xfId="0" applyNumberFormat="1" applyFont="1" applyBorder="1" applyAlignment="1">
      <alignment horizontal="center"/>
    </xf>
    <xf numFmtId="0" fontId="8" fillId="4" borderId="39" xfId="0" applyFont="1" applyFill="1" applyBorder="1" applyAlignment="1">
      <alignment horizontal="center"/>
    </xf>
    <xf numFmtId="3" fontId="8" fillId="4" borderId="29" xfId="0" applyNumberFormat="1" applyFont="1" applyFill="1" applyBorder="1" applyAlignment="1">
      <alignment horizontal="center"/>
    </xf>
    <xf numFmtId="3" fontId="8" fillId="0" borderId="10" xfId="0" applyNumberFormat="1" applyFont="1" applyBorder="1" applyAlignment="1">
      <alignment horizontal="center"/>
    </xf>
    <xf numFmtId="3" fontId="8" fillId="0" borderId="17" xfId="0" applyNumberFormat="1" applyFont="1" applyBorder="1" applyAlignment="1">
      <alignment horizontal="center"/>
    </xf>
    <xf numFmtId="3" fontId="8" fillId="0" borderId="3" xfId="0" applyNumberFormat="1" applyFont="1" applyBorder="1" applyAlignment="1">
      <alignment horizontal="center"/>
    </xf>
    <xf numFmtId="3" fontId="8" fillId="4" borderId="3" xfId="0" applyNumberFormat="1" applyFont="1" applyFill="1" applyBorder="1" applyAlignment="1">
      <alignment horizontal="center"/>
    </xf>
    <xf numFmtId="0" fontId="8" fillId="0" borderId="9" xfId="0" applyFont="1" applyBorder="1"/>
    <xf numFmtId="0" fontId="8" fillId="0" borderId="44" xfId="0" applyFont="1" applyBorder="1" applyAlignment="1">
      <alignment horizontal="center"/>
    </xf>
    <xf numFmtId="3" fontId="8" fillId="0" borderId="19" xfId="0" applyNumberFormat="1" applyFont="1" applyBorder="1" applyAlignment="1">
      <alignment horizontal="center"/>
    </xf>
    <xf numFmtId="0" fontId="8" fillId="0" borderId="38" xfId="0" applyFont="1" applyBorder="1" applyAlignment="1">
      <alignment horizontal="center"/>
    </xf>
    <xf numFmtId="3" fontId="8" fillId="0" borderId="38" xfId="0" applyNumberFormat="1" applyFont="1" applyBorder="1" applyAlignment="1">
      <alignment horizontal="center"/>
    </xf>
    <xf numFmtId="3" fontId="8" fillId="4" borderId="37" xfId="0" applyNumberFormat="1" applyFont="1" applyFill="1" applyBorder="1" applyAlignment="1">
      <alignment horizontal="center"/>
    </xf>
    <xf numFmtId="0" fontId="8" fillId="0" borderId="10" xfId="0" applyFont="1" applyBorder="1" applyAlignment="1">
      <alignment horizontal="center"/>
    </xf>
    <xf numFmtId="166" fontId="7" fillId="0" borderId="0" xfId="0" applyNumberFormat="1" applyFont="1"/>
    <xf numFmtId="3" fontId="7" fillId="0" borderId="0" xfId="6" applyNumberFormat="1" applyFont="1" applyAlignment="1">
      <alignment horizontal="right"/>
    </xf>
    <xf numFmtId="3" fontId="7" fillId="0" borderId="4" xfId="6" applyNumberFormat="1" applyFont="1" applyBorder="1" applyAlignment="1">
      <alignment horizontal="right"/>
    </xf>
    <xf numFmtId="3" fontId="7" fillId="0" borderId="23" xfId="0" applyNumberFormat="1" applyFont="1" applyBorder="1" applyAlignment="1">
      <alignment horizontal="right"/>
    </xf>
    <xf numFmtId="3" fontId="7" fillId="4" borderId="23" xfId="0" applyNumberFormat="1" applyFont="1" applyFill="1" applyBorder="1" applyAlignment="1">
      <alignment horizontal="right"/>
    </xf>
    <xf numFmtId="3" fontId="7" fillId="4" borderId="0" xfId="0" applyNumberFormat="1" applyFont="1" applyFill="1" applyAlignment="1">
      <alignment horizontal="right"/>
    </xf>
    <xf numFmtId="10" fontId="7" fillId="0" borderId="93" xfId="0" applyNumberFormat="1" applyFont="1" applyBorder="1"/>
    <xf numFmtId="167" fontId="7" fillId="0" borderId="0" xfId="0" applyNumberFormat="1" applyFont="1"/>
    <xf numFmtId="43" fontId="7" fillId="0" borderId="0" xfId="0" applyNumberFormat="1" applyFont="1"/>
    <xf numFmtId="166" fontId="7" fillId="0" borderId="12" xfId="0" applyNumberFormat="1" applyFont="1" applyBorder="1"/>
    <xf numFmtId="3" fontId="7" fillId="0" borderId="12" xfId="6" applyNumberFormat="1" applyFont="1" applyBorder="1" applyAlignment="1">
      <alignment horizontal="right"/>
    </xf>
    <xf numFmtId="3" fontId="7" fillId="0" borderId="7" xfId="6" applyNumberFormat="1" applyFont="1" applyBorder="1" applyAlignment="1">
      <alignment horizontal="right"/>
    </xf>
    <xf numFmtId="3" fontId="7" fillId="0" borderId="24" xfId="0" applyNumberFormat="1" applyFont="1" applyBorder="1" applyAlignment="1">
      <alignment horizontal="right"/>
    </xf>
    <xf numFmtId="3" fontId="7" fillId="4" borderId="24" xfId="0" applyNumberFormat="1" applyFont="1" applyFill="1" applyBorder="1" applyAlignment="1">
      <alignment horizontal="right"/>
    </xf>
    <xf numFmtId="3" fontId="7" fillId="4" borderId="12" xfId="0" applyNumberFormat="1" applyFont="1" applyFill="1" applyBorder="1" applyAlignment="1">
      <alignment horizontal="right"/>
    </xf>
    <xf numFmtId="10" fontId="7" fillId="0" borderId="94" xfId="0" applyNumberFormat="1" applyFont="1" applyBorder="1"/>
    <xf numFmtId="166" fontId="7" fillId="0" borderId="32" xfId="0" applyNumberFormat="1" applyFont="1" applyBorder="1"/>
    <xf numFmtId="3" fontId="7" fillId="0" borderId="32" xfId="6" applyNumberFormat="1" applyFont="1" applyBorder="1" applyAlignment="1">
      <alignment horizontal="right"/>
    </xf>
    <xf numFmtId="3" fontId="7" fillId="0" borderId="35" xfId="6" applyNumberFormat="1" applyFont="1" applyBorder="1" applyAlignment="1">
      <alignment horizontal="right"/>
    </xf>
    <xf numFmtId="3" fontId="7" fillId="0" borderId="31" xfId="0" applyNumberFormat="1" applyFont="1" applyBorder="1" applyAlignment="1">
      <alignment horizontal="right"/>
    </xf>
    <xf numFmtId="3" fontId="7" fillId="4" borderId="31" xfId="0" applyNumberFormat="1" applyFont="1" applyFill="1" applyBorder="1" applyAlignment="1">
      <alignment horizontal="right"/>
    </xf>
    <xf numFmtId="3" fontId="7" fillId="4" borderId="32" xfId="0" applyNumberFormat="1" applyFont="1" applyFill="1" applyBorder="1" applyAlignment="1">
      <alignment horizontal="right"/>
    </xf>
    <xf numFmtId="3" fontId="8" fillId="0" borderId="2" xfId="6" applyNumberFormat="1" applyFont="1" applyBorder="1"/>
    <xf numFmtId="3" fontId="8" fillId="0" borderId="36" xfId="0" applyNumberFormat="1" applyFont="1" applyBorder="1" applyAlignment="1">
      <alignment horizontal="right"/>
    </xf>
    <xf numFmtId="3" fontId="8" fillId="4" borderId="25" xfId="0" applyNumberFormat="1" applyFont="1" applyFill="1" applyBorder="1"/>
    <xf numFmtId="3" fontId="8" fillId="4" borderId="28" xfId="0" applyNumberFormat="1" applyFont="1" applyFill="1" applyBorder="1" applyAlignment="1">
      <alignment horizontal="right"/>
    </xf>
    <xf numFmtId="9" fontId="8" fillId="0" borderId="49" xfId="5" applyFont="1" applyBorder="1"/>
    <xf numFmtId="166" fontId="7" fillId="0" borderId="99" xfId="1" applyNumberFormat="1" applyFont="1" applyBorder="1"/>
    <xf numFmtId="166" fontId="7" fillId="0" borderId="60" xfId="1" applyNumberFormat="1" applyFont="1" applyBorder="1"/>
    <xf numFmtId="166" fontId="7" fillId="0" borderId="62" xfId="1" applyNumberFormat="1" applyFont="1" applyBorder="1"/>
    <xf numFmtId="166" fontId="7" fillId="0" borderId="76" xfId="1" applyNumberFormat="1" applyFont="1" applyBorder="1"/>
    <xf numFmtId="0" fontId="7" fillId="0" borderId="29" xfId="0" applyFont="1" applyBorder="1" applyAlignment="1">
      <alignment wrapText="1"/>
    </xf>
    <xf numFmtId="0" fontId="7" fillId="0" borderId="29" xfId="0" applyFont="1" applyBorder="1"/>
    <xf numFmtId="0" fontId="16" fillId="0" borderId="0" xfId="0" applyFont="1" applyAlignment="1">
      <alignment horizontal="left" vertical="top" wrapText="1"/>
    </xf>
    <xf numFmtId="0" fontId="16" fillId="0" borderId="0" xfId="0" applyFont="1" applyAlignment="1">
      <alignment horizontal="left" wrapText="1"/>
    </xf>
  </cellXfs>
  <cellStyles count="10">
    <cellStyle name="Comma" xfId="1" builtinId="3"/>
    <cellStyle name="Normal" xfId="0" builtinId="0"/>
    <cellStyle name="Normal 2" xfId="6" xr:uid="{00000000-0005-0000-0000-000004000000}"/>
    <cellStyle name="Normal 2 2" xfId="7" xr:uid="{00000000-0005-0000-0000-000005000000}"/>
    <cellStyle name="Normal 2 3" xfId="9" xr:uid="{00000000-0005-0000-0000-000006000000}"/>
    <cellStyle name="Normal 3" xfId="8" xr:uid="{00000000-0005-0000-0000-000007000000}"/>
    <cellStyle name="Normal_Allocations2005" xfId="2" xr:uid="{00000000-0005-0000-0000-000009000000}"/>
    <cellStyle name="Normal_Table 5" xfId="3" xr:uid="{00000000-0005-0000-0000-000013000000}"/>
    <cellStyle name="Normal_Table 8" xfId="4" xr:uid="{00000000-0005-0000-0000-000014000000}"/>
    <cellStyle name="Perc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466726</xdr:colOff>
      <xdr:row>62</xdr:row>
      <xdr:rowOff>19050</xdr:rowOff>
    </xdr:to>
    <xdr:pic>
      <xdr:nvPicPr>
        <xdr:cNvPr id="2" name="Picture 1">
          <a:extLst>
            <a:ext uri="{FF2B5EF4-FFF2-40B4-BE49-F238E27FC236}">
              <a16:creationId xmlns:a16="http://schemas.microsoft.com/office/drawing/2014/main" id="{64A39671-9754-A998-34DD-985DB6F4DAD5}"/>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002" r="38"/>
        <a:stretch/>
      </xdr:blipFill>
      <xdr:spPr>
        <a:xfrm>
          <a:off x="0" y="0"/>
          <a:ext cx="9610726" cy="10058400"/>
        </a:xfrm>
        <a:prstGeom prst="rect">
          <a:avLst/>
        </a:prstGeom>
      </xdr:spPr>
    </xdr:pic>
    <xdr:clientData/>
  </xdr:twoCellAnchor>
  <xdr:twoCellAnchor>
    <xdr:from>
      <xdr:col>6</xdr:col>
      <xdr:colOff>304800</xdr:colOff>
      <xdr:row>0</xdr:row>
      <xdr:rowOff>0</xdr:rowOff>
    </xdr:from>
    <xdr:to>
      <xdr:col>15</xdr:col>
      <xdr:colOff>552450</xdr:colOff>
      <xdr:row>62</xdr:row>
      <xdr:rowOff>19050</xdr:rowOff>
    </xdr:to>
    <xdr:grpSp>
      <xdr:nvGrpSpPr>
        <xdr:cNvPr id="3" name="Group 2">
          <a:extLst>
            <a:ext uri="{FF2B5EF4-FFF2-40B4-BE49-F238E27FC236}">
              <a16:creationId xmlns:a16="http://schemas.microsoft.com/office/drawing/2014/main" id="{BF1175B2-5F1B-28E7-476F-166A56160FA5}"/>
            </a:ext>
            <a:ext uri="{C183D7F6-B498-43B3-948B-1728B52AA6E4}">
              <adec:decorative xmlns:adec="http://schemas.microsoft.com/office/drawing/2017/decorative" val="1"/>
            </a:ext>
          </a:extLst>
        </xdr:cNvPr>
        <xdr:cNvGrpSpPr/>
      </xdr:nvGrpSpPr>
      <xdr:grpSpPr>
        <a:xfrm>
          <a:off x="3962400" y="0"/>
          <a:ext cx="5734050" cy="10058400"/>
          <a:chOff x="-1910685" y="0"/>
          <a:chExt cx="5002042" cy="10058400"/>
        </a:xfrm>
        <a:solidFill>
          <a:schemeClr val="accent3">
            <a:lumMod val="50000"/>
          </a:schemeClr>
        </a:solidFill>
      </xdr:grpSpPr>
      <xdr:sp macro="" textlink="">
        <xdr:nvSpPr>
          <xdr:cNvPr id="4" name="Rectangle 3" descr="Light vertical">
            <a:extLst>
              <a:ext uri="{FF2B5EF4-FFF2-40B4-BE49-F238E27FC236}">
                <a16:creationId xmlns:a16="http://schemas.microsoft.com/office/drawing/2014/main" id="{7453C2D3-392F-FFC6-A9A4-28634FFB3F32}"/>
              </a:ext>
            </a:extLst>
          </xdr:cNvPr>
          <xdr:cNvSpPr>
            <a:spLocks noChangeArrowheads="1"/>
          </xdr:cNvSpPr>
        </xdr:nvSpPr>
        <xdr:spPr bwMode="auto">
          <a:xfrm>
            <a:off x="0" y="0"/>
            <a:ext cx="138545" cy="10058400"/>
          </a:xfrm>
          <a:prstGeom prst="rect">
            <a:avLst/>
          </a:prstGeom>
          <a:grpFill/>
          <a:extLst>
            <a:ext uri="{91240B29-F687-4F45-9708-019B960494DF}">
              <a14:hiddenLine xmlns:a14="http://schemas.microsoft.com/office/drawing/2010/main" w="12700">
                <a:solidFill>
                  <a:srgbClr val="FFFFFF"/>
                </a:solidFill>
                <a:miter lim="800000"/>
                <a:headEnd/>
                <a:tailEnd/>
              </a14:hiddenLine>
            </a:ex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en-US"/>
          </a:p>
        </xdr:txBody>
      </xdr:sp>
      <xdr:sp macro="" textlink="">
        <xdr:nvSpPr>
          <xdr:cNvPr id="5" name="Rectangle 4">
            <a:extLst>
              <a:ext uri="{FF2B5EF4-FFF2-40B4-BE49-F238E27FC236}">
                <a16:creationId xmlns:a16="http://schemas.microsoft.com/office/drawing/2014/main" id="{37E984EA-8DA9-9865-5CFF-E2363FD75A5C}"/>
              </a:ext>
            </a:extLst>
          </xdr:cNvPr>
          <xdr:cNvSpPr>
            <a:spLocks noChangeArrowheads="1"/>
          </xdr:cNvSpPr>
        </xdr:nvSpPr>
        <xdr:spPr bwMode="auto">
          <a:xfrm>
            <a:off x="-1910685" y="0"/>
            <a:ext cx="5002042" cy="10058400"/>
          </a:xfrm>
          <a:prstGeom prst="rect">
            <a:avLst/>
          </a:prstGeom>
          <a:grpFill/>
          <a:extLst>
            <a:ext uri="{91240B29-F687-4F45-9708-019B960494DF}">
              <a14:hiddenLine xmlns:a14="http://schemas.microsoft.com/office/drawing/2010/main" w="9525">
                <a:solidFill>
                  <a:srgbClr val="D8D8D8"/>
                </a:solidFill>
                <a:miter lim="800000"/>
                <a:headEnd/>
                <a:tailEnd/>
              </a14:hiddenLine>
            </a:ext>
          </a:extLst>
        </xdr:spPr>
        <xdr:txBody>
          <a:bodyPr rot="0" vert="horz" wrap="square" lIns="91440" tIns="45720" rIns="91440" bIns="45720" anchor="t" anchorCtr="0" upright="1">
            <a:noAutofit/>
          </a:bodyPr>
          <a:lstStyle/>
          <a:p>
            <a:endParaRPr lang="en-US"/>
          </a:p>
        </xdr:txBody>
      </xdr:sp>
    </xdr:grpSp>
    <xdr:clientData/>
  </xdr:twoCellAnchor>
  <xdr:twoCellAnchor>
    <xdr:from>
      <xdr:col>6</xdr:col>
      <xdr:colOff>295275</xdr:colOff>
      <xdr:row>14</xdr:row>
      <xdr:rowOff>95250</xdr:rowOff>
    </xdr:from>
    <xdr:to>
      <xdr:col>15</xdr:col>
      <xdr:colOff>542925</xdr:colOff>
      <xdr:row>51</xdr:row>
      <xdr:rowOff>0</xdr:rowOff>
    </xdr:to>
    <xdr:sp macro="" textlink="">
      <xdr:nvSpPr>
        <xdr:cNvPr id="6" name="TextBox 5">
          <a:extLst>
            <a:ext uri="{FF2B5EF4-FFF2-40B4-BE49-F238E27FC236}">
              <a16:creationId xmlns:a16="http://schemas.microsoft.com/office/drawing/2014/main" id="{DD9AA5A3-1DDE-FBDD-DC17-E76101C99697}"/>
            </a:ext>
          </a:extLst>
        </xdr:cNvPr>
        <xdr:cNvSpPr txBox="1"/>
      </xdr:nvSpPr>
      <xdr:spPr>
        <a:xfrm>
          <a:off x="3952875" y="2362200"/>
          <a:ext cx="5734050" cy="5895975"/>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91440" rIns="274320" bIns="91440" rtlCol="0" anchor="t"/>
        <a:lstStyle/>
        <a:p>
          <a:pPr>
            <a:lnSpc>
              <a:spcPct val="150000"/>
            </a:lnSpc>
          </a:pPr>
          <a:r>
            <a:rPr lang="en-US" sz="3600">
              <a:solidFill>
                <a:schemeClr val="bg1"/>
              </a:solidFill>
              <a:effectLst/>
              <a:latin typeface="Segoe UI" panose="020B0502040204020203" pitchFamily="34" charset="0"/>
              <a:ea typeface="+mn-ea"/>
              <a:cs typeface="Segoe UI" panose="020B0502040204020203" pitchFamily="34" charset="0"/>
            </a:rPr>
            <a:t>2022 Oregon Material Recovery and Waste Generation Rates Report – Tables 1-9 Only</a:t>
          </a:r>
        </a:p>
        <a:p>
          <a:pPr>
            <a:lnSpc>
              <a:spcPct val="150000"/>
            </a:lnSpc>
            <a:spcAft>
              <a:spcPts val="0"/>
            </a:spcAft>
          </a:pPr>
          <a:r>
            <a:rPr lang="en-US" sz="1800">
              <a:solidFill>
                <a:schemeClr val="bg1"/>
              </a:solidFill>
              <a:effectLst/>
              <a:latin typeface="Segoe UI" panose="020B0502040204020203" pitchFamily="34" charset="0"/>
              <a:ea typeface="+mn-ea"/>
              <a:cs typeface="Segoe UI" panose="020B0502040204020203" pitchFamily="34" charset="0"/>
            </a:rPr>
            <a:t>By:</a:t>
          </a:r>
        </a:p>
        <a:p>
          <a:pPr>
            <a:lnSpc>
              <a:spcPct val="150000"/>
            </a:lnSpc>
            <a:spcAft>
              <a:spcPts val="0"/>
            </a:spcAft>
          </a:pPr>
          <a:r>
            <a:rPr lang="en-US" sz="1800">
              <a:solidFill>
                <a:schemeClr val="bg1"/>
              </a:solidFill>
              <a:effectLst/>
              <a:latin typeface="Segoe UI" panose="020B0502040204020203" pitchFamily="34" charset="0"/>
              <a:ea typeface="+mn-ea"/>
              <a:cs typeface="Segoe UI" panose="020B0502040204020203" pitchFamily="34" charset="0"/>
            </a:rPr>
            <a:t>Materials Management Program</a:t>
          </a:r>
          <a:br>
            <a:rPr lang="en-US" sz="1800">
              <a:solidFill>
                <a:schemeClr val="bg1"/>
              </a:solidFill>
              <a:effectLst/>
              <a:latin typeface="Segoe UI" panose="020B0502040204020203" pitchFamily="34" charset="0"/>
              <a:ea typeface="+mn-ea"/>
              <a:cs typeface="Segoe UI" panose="020B0502040204020203" pitchFamily="34" charset="0"/>
            </a:rPr>
          </a:br>
          <a:r>
            <a:rPr lang="en-US" sz="1800">
              <a:solidFill>
                <a:schemeClr val="bg1"/>
              </a:solidFill>
              <a:effectLst/>
              <a:latin typeface="Segoe UI" panose="020B0502040204020203" pitchFamily="34" charset="0"/>
              <a:ea typeface="+mn-ea"/>
              <a:cs typeface="Segoe UI" panose="020B0502040204020203" pitchFamily="34" charset="0"/>
            </a:rPr>
            <a:t>Land Quality Division</a:t>
          </a:r>
          <a:br>
            <a:rPr lang="en-US" sz="1800">
              <a:solidFill>
                <a:schemeClr val="bg1"/>
              </a:solidFill>
              <a:effectLst/>
              <a:latin typeface="Segoe UI" panose="020B0502040204020203" pitchFamily="34" charset="0"/>
              <a:ea typeface="+mn-ea"/>
              <a:cs typeface="Segoe UI" panose="020B0502040204020203" pitchFamily="34" charset="0"/>
            </a:rPr>
          </a:br>
          <a:r>
            <a:rPr lang="en-US" sz="1800">
              <a:solidFill>
                <a:schemeClr val="bg1"/>
              </a:solidFill>
              <a:effectLst/>
              <a:latin typeface="Segoe UI" panose="020B0502040204020203" pitchFamily="34" charset="0"/>
              <a:ea typeface="+mn-ea"/>
              <a:cs typeface="Segoe UI" panose="020B0502040204020203" pitchFamily="34" charset="0"/>
            </a:rPr>
            <a:t>Oregon Department of Environmental Quality</a:t>
          </a:r>
        </a:p>
      </xdr:txBody>
    </xdr:sp>
    <xdr:clientData/>
  </xdr:twoCellAnchor>
  <xdr:twoCellAnchor>
    <xdr:from>
      <xdr:col>6</xdr:col>
      <xdr:colOff>514350</xdr:colOff>
      <xdr:row>1</xdr:row>
      <xdr:rowOff>0</xdr:rowOff>
    </xdr:from>
    <xdr:to>
      <xdr:col>9</xdr:col>
      <xdr:colOff>241300</xdr:colOff>
      <xdr:row>4</xdr:row>
      <xdr:rowOff>32385</xdr:rowOff>
    </xdr:to>
    <xdr:sp macro="" textlink="">
      <xdr:nvSpPr>
        <xdr:cNvPr id="7" name="Text Box 3">
          <a:extLst>
            <a:ext uri="{FF2B5EF4-FFF2-40B4-BE49-F238E27FC236}">
              <a16:creationId xmlns:a16="http://schemas.microsoft.com/office/drawing/2014/main" id="{CCA96184-AEB7-5AD9-7408-DBA3F8D58DDF}"/>
            </a:ext>
            <a:ext uri="{C183D7F6-B498-43B3-948B-1728B52AA6E4}">
              <adec:decorative xmlns:adec="http://schemas.microsoft.com/office/drawing/2017/decorative" val="1"/>
            </a:ext>
          </a:extLst>
        </xdr:cNvPr>
        <xdr:cNvSpPr txBox="1"/>
      </xdr:nvSpPr>
      <xdr:spPr>
        <a:xfrm>
          <a:off x="4171950" y="161925"/>
          <a:ext cx="1555750" cy="5181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15000"/>
            </a:lnSpc>
            <a:spcBef>
              <a:spcPts val="0"/>
            </a:spcBef>
            <a:spcAft>
              <a:spcPts val="1000"/>
            </a:spcAft>
          </a:pPr>
          <a:r>
            <a:rPr lang="en-US" sz="1800">
              <a:solidFill>
                <a:srgbClr val="E7E6E6"/>
              </a:solidFill>
              <a:effectLst/>
              <a:latin typeface="Segoe UI" panose="020B0502040204020203" pitchFamily="34" charset="0"/>
              <a:ea typeface="Times New Roman" panose="02020603050405020304" pitchFamily="18" charset="0"/>
              <a:cs typeface="Segoe UI" panose="020B0502040204020203" pitchFamily="34" charset="0"/>
            </a:rPr>
            <a:t>May 2023</a:t>
          </a:r>
          <a:endParaRPr lang="en-US" sz="1100">
            <a:effectLst/>
            <a:latin typeface="Segoe UI" panose="020B0502040204020203" pitchFamily="34" charset="0"/>
            <a:ea typeface="Times New Roman" panose="02020603050405020304" pitchFamily="18"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43</xdr:row>
      <xdr:rowOff>247650</xdr:rowOff>
    </xdr:from>
    <xdr:to>
      <xdr:col>6</xdr:col>
      <xdr:colOff>304800</xdr:colOff>
      <xdr:row>52</xdr:row>
      <xdr:rowOff>38099</xdr:rowOff>
    </xdr:to>
    <xdr:sp macro="" textlink="">
      <xdr:nvSpPr>
        <xdr:cNvPr id="4097" name="Text Box 1">
          <a:extLst>
            <a:ext uri="{FF2B5EF4-FFF2-40B4-BE49-F238E27FC236}">
              <a16:creationId xmlns:a16="http://schemas.microsoft.com/office/drawing/2014/main" id="{00000000-0008-0000-0000-000001100000}"/>
            </a:ext>
          </a:extLst>
        </xdr:cNvPr>
        <xdr:cNvSpPr txBox="1">
          <a:spLocks noChangeArrowheads="1"/>
        </xdr:cNvSpPr>
      </xdr:nvSpPr>
      <xdr:spPr bwMode="auto">
        <a:xfrm>
          <a:off x="152400" y="8239125"/>
          <a:ext cx="5276850" cy="1295399"/>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900" b="0" i="0" strike="noStrike" baseline="30000">
              <a:solidFill>
                <a:srgbClr val="000000"/>
              </a:solidFill>
              <a:latin typeface="Segoe UI" panose="020B0502040204020203" pitchFamily="34" charset="0"/>
              <a:cs typeface="Segoe UI" panose="020B0502040204020203" pitchFamily="34" charset="0"/>
            </a:rPr>
            <a:t>1 </a:t>
          </a:r>
          <a:r>
            <a:rPr lang="en-US" sz="900" b="0" i="0" strike="noStrike">
              <a:solidFill>
                <a:srgbClr val="000000"/>
              </a:solidFill>
              <a:latin typeface="Segoe UI" panose="020B0502040204020203" pitchFamily="34" charset="0"/>
              <a:cs typeface="Segoe UI" panose="020B0502040204020203" pitchFamily="34" charset="0"/>
            </a:rPr>
            <a:t>The recovery rate is calculated using the following formula:</a:t>
          </a:r>
        </a:p>
        <a:p>
          <a:pPr algn="l" rtl="0">
            <a:defRPr sz="1000"/>
          </a:pPr>
          <a:r>
            <a:rPr lang="en-US" sz="900" b="0" i="0" strike="noStrike">
              <a:solidFill>
                <a:srgbClr val="000000"/>
              </a:solidFill>
              <a:latin typeface="Segoe UI" panose="020B0502040204020203" pitchFamily="34" charset="0"/>
              <a:cs typeface="Segoe UI" panose="020B0502040204020203" pitchFamily="34" charset="0"/>
            </a:rPr>
            <a:t>     1) Tons Disposed + Tons Recovered = Total Tons Generated</a:t>
          </a:r>
        </a:p>
        <a:p>
          <a:pPr algn="l" rtl="0">
            <a:defRPr sz="1000"/>
          </a:pPr>
          <a:r>
            <a:rPr lang="en-US" sz="900" b="0" i="0" strike="noStrike">
              <a:solidFill>
                <a:srgbClr val="000000"/>
              </a:solidFill>
              <a:latin typeface="Segoe UI" panose="020B0502040204020203" pitchFamily="34" charset="0"/>
              <a:cs typeface="Segoe UI" panose="020B0502040204020203" pitchFamily="34" charset="0"/>
            </a:rPr>
            <a:t>     2) Tons Recovered / Total Generated = Calculated Recovery Rate</a:t>
          </a:r>
        </a:p>
        <a:p>
          <a:pPr algn="l" rtl="0">
            <a:defRPr sz="1000"/>
          </a:pPr>
          <a:r>
            <a:rPr lang="en-US" sz="700" b="0" i="0" strike="noStrike" baseline="30000">
              <a:solidFill>
                <a:srgbClr val="000000"/>
              </a:solidFill>
              <a:latin typeface="Segoe UI" panose="020B0502040204020203" pitchFamily="34" charset="0"/>
              <a:cs typeface="Segoe UI" panose="020B0502040204020203" pitchFamily="34" charset="0"/>
            </a:rPr>
            <a:t>2</a:t>
          </a:r>
          <a:r>
            <a:rPr lang="en-US" sz="700" b="0" i="0" strike="noStrike">
              <a:solidFill>
                <a:srgbClr val="000000"/>
              </a:solidFill>
              <a:latin typeface="Segoe UI" panose="020B0502040204020203" pitchFamily="34" charset="0"/>
              <a:cs typeface="Segoe UI" panose="020B0502040204020203" pitchFamily="34" charset="0"/>
            </a:rPr>
            <a:t> </a:t>
          </a:r>
          <a:r>
            <a:rPr lang="en-US" sz="900" b="0" i="0">
              <a:effectLst/>
              <a:latin typeface="Segoe UI" panose="020B0502040204020203" pitchFamily="34" charset="0"/>
              <a:ea typeface="+mn-ea"/>
              <a:cs typeface="Segoe UI" panose="020B0502040204020203" pitchFamily="34" charset="0"/>
            </a:rPr>
            <a:t>The Marion County disposal and recovery rates reflect 12,140 tons of recyclable materials burned for energy in 2022 (per ORS 459A.010(3)(f)(B)).</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0" i="0" baseline="30000">
              <a:effectLst/>
              <a:latin typeface="Segoe UI" panose="020B0502040204020203" pitchFamily="34" charset="0"/>
              <a:ea typeface="+mn-ea"/>
              <a:cs typeface="Segoe UI" panose="020B0502040204020203" pitchFamily="34" charset="0"/>
            </a:rPr>
            <a:t>3</a:t>
          </a:r>
          <a:r>
            <a:rPr lang="en-US" sz="900" b="0" i="0">
              <a:effectLst/>
              <a:latin typeface="Segoe UI" panose="020B0502040204020203" pitchFamily="34" charset="0"/>
              <a:ea typeface="+mn-ea"/>
              <a:cs typeface="Segoe UI" panose="020B0502040204020203" pitchFamily="34" charset="0"/>
            </a:rPr>
            <a:t> ORS 459A.010(6).</a:t>
          </a:r>
          <a:endParaRPr lang="en-US" sz="700">
            <a:effectLst/>
            <a:latin typeface="Segoe UI" panose="020B0502040204020203" pitchFamily="34" charset="0"/>
            <a:cs typeface="Segoe UI" panose="020B0502040204020203"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664A-9738-48EA-B29E-D88BD9E3E041}">
  <sheetPr>
    <tabColor theme="7" tint="0.59999389629810485"/>
  </sheetPr>
  <dimension ref="A1"/>
  <sheetViews>
    <sheetView tabSelected="1" workbookViewId="0">
      <selection activeCell="T10" sqref="T10"/>
    </sheetView>
  </sheetViews>
  <sheetFormatPr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pageSetUpPr fitToPage="1"/>
  </sheetPr>
  <dimension ref="A1:J47"/>
  <sheetViews>
    <sheetView zoomScaleNormal="100" workbookViewId="0"/>
  </sheetViews>
  <sheetFormatPr defaultColWidth="9.140625" defaultRowHeight="14.25" x14ac:dyDescent="0.25"/>
  <cols>
    <col min="1" max="1" width="16.7109375" style="181" customWidth="1"/>
    <col min="2" max="8" width="13.7109375" style="181" customWidth="1"/>
    <col min="9" max="9" width="13.7109375" style="267" customWidth="1"/>
    <col min="10" max="10" width="3.42578125" style="181" customWidth="1"/>
    <col min="11" max="16384" width="9.140625" style="181"/>
  </cols>
  <sheetData>
    <row r="1" spans="1:9" ht="20.25" x14ac:dyDescent="0.35">
      <c r="A1" s="266" t="s">
        <v>149</v>
      </c>
    </row>
    <row r="2" spans="1:9" ht="15" thickBot="1" x14ac:dyDescent="0.3"/>
    <row r="3" spans="1:9" s="272" customFormat="1" ht="35.25" thickBot="1" x14ac:dyDescent="0.35">
      <c r="A3" s="268" t="s">
        <v>1</v>
      </c>
      <c r="B3" s="269" t="s">
        <v>118</v>
      </c>
      <c r="C3" s="270" t="s">
        <v>89</v>
      </c>
      <c r="D3" s="270" t="s">
        <v>88</v>
      </c>
      <c r="E3" s="270" t="s">
        <v>119</v>
      </c>
      <c r="F3" s="270" t="s">
        <v>88</v>
      </c>
      <c r="G3" s="270" t="s">
        <v>87</v>
      </c>
      <c r="H3" s="270" t="s">
        <v>88</v>
      </c>
      <c r="I3" s="271" t="s">
        <v>90</v>
      </c>
    </row>
    <row r="4" spans="1:9" ht="15" customHeight="1" thickTop="1" x14ac:dyDescent="0.25">
      <c r="A4" s="273" t="str">
        <f>'Table 4'!A7</f>
        <v>Baker</v>
      </c>
      <c r="B4" s="274">
        <v>3187.3559999999998</v>
      </c>
      <c r="C4" s="274">
        <v>1985.652</v>
      </c>
      <c r="D4" s="275">
        <v>0.62297779099667572</v>
      </c>
      <c r="E4" s="274">
        <v>186.41900000000001</v>
      </c>
      <c r="F4" s="275">
        <v>5.8487034394651874E-2</v>
      </c>
      <c r="G4" s="274">
        <v>1015.285</v>
      </c>
      <c r="H4" s="275">
        <v>0.31853517460867253</v>
      </c>
      <c r="I4" s="451">
        <v>0</v>
      </c>
    </row>
    <row r="5" spans="1:9" ht="15" customHeight="1" x14ac:dyDescent="0.25">
      <c r="A5" s="276" t="str">
        <f>'Table 4'!A8</f>
        <v>Benton</v>
      </c>
      <c r="B5" s="274">
        <v>32968.419000000002</v>
      </c>
      <c r="C5" s="274">
        <v>20460.136999999999</v>
      </c>
      <c r="D5" s="275">
        <v>0.62059806386226768</v>
      </c>
      <c r="E5" s="274">
        <v>611.54300000000001</v>
      </c>
      <c r="F5" s="275">
        <v>1.8549357796016849E-2</v>
      </c>
      <c r="G5" s="274">
        <v>11896.739</v>
      </c>
      <c r="H5" s="275">
        <v>0.36085257834171541</v>
      </c>
      <c r="I5" s="452">
        <v>0</v>
      </c>
    </row>
    <row r="6" spans="1:9" ht="15" customHeight="1" x14ac:dyDescent="0.25">
      <c r="A6" s="276" t="str">
        <f>'Table 4'!A9</f>
        <v>Clatsop</v>
      </c>
      <c r="B6" s="274">
        <v>20091.325000000001</v>
      </c>
      <c r="C6" s="274">
        <v>13334.054</v>
      </c>
      <c r="D6" s="275">
        <v>0.66367220678576444</v>
      </c>
      <c r="E6" s="274">
        <v>5740.4960000000001</v>
      </c>
      <c r="F6" s="275">
        <v>0.28572013045431299</v>
      </c>
      <c r="G6" s="274">
        <v>1016.775</v>
      </c>
      <c r="H6" s="275">
        <v>5.0607662759922498E-2</v>
      </c>
      <c r="I6" s="452">
        <v>0</v>
      </c>
    </row>
    <row r="7" spans="1:9" ht="15" customHeight="1" x14ac:dyDescent="0.25">
      <c r="A7" s="276" t="str">
        <f>'Table 4'!A10</f>
        <v>Columbia</v>
      </c>
      <c r="B7" s="274">
        <v>9341.344000000001</v>
      </c>
      <c r="C7" s="274">
        <v>7925.3410000000003</v>
      </c>
      <c r="D7" s="275">
        <v>0.84841549567171481</v>
      </c>
      <c r="E7" s="274">
        <v>137.30099999999999</v>
      </c>
      <c r="F7" s="275">
        <v>1.4698206168191641E-2</v>
      </c>
      <c r="G7" s="274">
        <v>1278.702</v>
      </c>
      <c r="H7" s="275">
        <v>0.13688629816009343</v>
      </c>
      <c r="I7" s="452">
        <v>0</v>
      </c>
    </row>
    <row r="8" spans="1:9" ht="15" customHeight="1" x14ac:dyDescent="0.25">
      <c r="A8" s="277" t="str">
        <f>'Table 4'!A11</f>
        <v>Coos</v>
      </c>
      <c r="B8" s="278">
        <v>18081.960999999999</v>
      </c>
      <c r="C8" s="279">
        <v>17923.513999999999</v>
      </c>
      <c r="D8" s="280">
        <v>0.99123728892015639</v>
      </c>
      <c r="E8" s="279">
        <v>131.786</v>
      </c>
      <c r="F8" s="280">
        <v>7.2882581706707585E-3</v>
      </c>
      <c r="G8" s="279">
        <v>26.661000000000001</v>
      </c>
      <c r="H8" s="280">
        <v>1.4744529091728492E-3</v>
      </c>
      <c r="I8" s="453">
        <v>0</v>
      </c>
    </row>
    <row r="9" spans="1:9" ht="15" customHeight="1" x14ac:dyDescent="0.25">
      <c r="A9" s="276" t="str">
        <f>'Table 4'!A12</f>
        <v>Crook</v>
      </c>
      <c r="B9" s="274">
        <v>11310.914999999999</v>
      </c>
      <c r="C9" s="274">
        <v>9665.9699999999993</v>
      </c>
      <c r="D9" s="275">
        <v>0.85457012098490703</v>
      </c>
      <c r="E9" s="274">
        <v>1183.384</v>
      </c>
      <c r="F9" s="275">
        <v>0.10462318919380087</v>
      </c>
      <c r="G9" s="274">
        <v>461.56099999999998</v>
      </c>
      <c r="H9" s="275">
        <v>4.080668982129209E-2</v>
      </c>
      <c r="I9" s="452">
        <v>0</v>
      </c>
    </row>
    <row r="10" spans="1:9" ht="15" customHeight="1" x14ac:dyDescent="0.25">
      <c r="A10" s="276" t="str">
        <f>'Table 4'!A13</f>
        <v>Curry</v>
      </c>
      <c r="B10" s="274">
        <v>5936.1959999999999</v>
      </c>
      <c r="C10" s="274">
        <v>5754.71</v>
      </c>
      <c r="D10" s="275">
        <v>0.96942722241651058</v>
      </c>
      <c r="E10" s="274">
        <v>181.48599999999999</v>
      </c>
      <c r="F10" s="275">
        <v>3.0572777583489492E-2</v>
      </c>
      <c r="G10" s="274">
        <v>0</v>
      </c>
      <c r="H10" s="275">
        <v>0</v>
      </c>
      <c r="I10" s="452">
        <v>0</v>
      </c>
    </row>
    <row r="11" spans="1:9" ht="15" customHeight="1" x14ac:dyDescent="0.25">
      <c r="A11" s="276" t="str">
        <f>'Table 4'!A14</f>
        <v>Deschutes</v>
      </c>
      <c r="B11" s="274">
        <v>84413.03</v>
      </c>
      <c r="C11" s="274">
        <v>54676.97</v>
      </c>
      <c r="D11" s="275">
        <v>0.64773139881366659</v>
      </c>
      <c r="E11" s="274">
        <v>5053.8339999999998</v>
      </c>
      <c r="F11" s="275">
        <v>5.9870306752405407E-2</v>
      </c>
      <c r="G11" s="274">
        <v>24682.225999999999</v>
      </c>
      <c r="H11" s="275">
        <v>0.29239829443392801</v>
      </c>
      <c r="I11" s="452">
        <v>0</v>
      </c>
    </row>
    <row r="12" spans="1:9" ht="15" customHeight="1" x14ac:dyDescent="0.25">
      <c r="A12" s="276" t="str">
        <f>'Table 4'!A15</f>
        <v>Douglas</v>
      </c>
      <c r="B12" s="274">
        <v>25416.13</v>
      </c>
      <c r="C12" s="274">
        <v>22190.291000000001</v>
      </c>
      <c r="D12" s="275">
        <v>0.87307906435794902</v>
      </c>
      <c r="E12" s="274">
        <v>2744.7979999999998</v>
      </c>
      <c r="F12" s="275">
        <v>0.10799433273279604</v>
      </c>
      <c r="G12" s="274">
        <v>481.041</v>
      </c>
      <c r="H12" s="275">
        <v>1.892660290925487E-2</v>
      </c>
      <c r="I12" s="452">
        <v>0</v>
      </c>
    </row>
    <row r="13" spans="1:9" ht="15" customHeight="1" x14ac:dyDescent="0.25">
      <c r="A13" s="277" t="str">
        <f>'Table 4'!A16</f>
        <v>Gilliam</v>
      </c>
      <c r="B13" s="278">
        <v>763.22500000000002</v>
      </c>
      <c r="C13" s="279">
        <v>698.93600000000004</v>
      </c>
      <c r="D13" s="280">
        <v>0.91576664810508046</v>
      </c>
      <c r="E13" s="279">
        <v>62.808999999999997</v>
      </c>
      <c r="F13" s="280">
        <v>8.2294212060663632E-2</v>
      </c>
      <c r="G13" s="279">
        <v>0</v>
      </c>
      <c r="H13" s="280">
        <v>0</v>
      </c>
      <c r="I13" s="453">
        <v>1.48</v>
      </c>
    </row>
    <row r="14" spans="1:9" ht="15" customHeight="1" x14ac:dyDescent="0.25">
      <c r="A14" s="276" t="str">
        <f>'Table 4'!A17</f>
        <v>Grant</v>
      </c>
      <c r="B14" s="274">
        <v>978.7639999999999</v>
      </c>
      <c r="C14" s="274">
        <v>923.69200000000001</v>
      </c>
      <c r="D14" s="275">
        <v>0.94373311646116953</v>
      </c>
      <c r="E14" s="274">
        <v>51.862000000000002</v>
      </c>
      <c r="F14" s="275">
        <v>5.2987236964171146E-2</v>
      </c>
      <c r="G14" s="274">
        <v>2.56</v>
      </c>
      <c r="H14" s="275">
        <v>2.6155436857097322E-3</v>
      </c>
      <c r="I14" s="452">
        <v>0.65</v>
      </c>
    </row>
    <row r="15" spans="1:9" ht="15" customHeight="1" x14ac:dyDescent="0.25">
      <c r="A15" s="276" t="str">
        <f>'Table 4'!A18</f>
        <v>Harney</v>
      </c>
      <c r="B15" s="274">
        <v>1010.27</v>
      </c>
      <c r="C15" s="274">
        <v>948.18</v>
      </c>
      <c r="D15" s="275">
        <v>0.93854118206024129</v>
      </c>
      <c r="E15" s="274">
        <v>62.09</v>
      </c>
      <c r="F15" s="275">
        <v>6.145881793975868E-2</v>
      </c>
      <c r="G15" s="274">
        <v>0</v>
      </c>
      <c r="H15" s="275">
        <v>0</v>
      </c>
      <c r="I15" s="452">
        <v>0</v>
      </c>
    </row>
    <row r="16" spans="1:9" ht="15" customHeight="1" x14ac:dyDescent="0.25">
      <c r="A16" s="276" t="str">
        <f>'Table 4'!A19</f>
        <v>Hood River</v>
      </c>
      <c r="B16" s="274">
        <v>9033.11</v>
      </c>
      <c r="C16" s="274">
        <v>6212.1580000000004</v>
      </c>
      <c r="D16" s="275">
        <v>0.68770976994634181</v>
      </c>
      <c r="E16" s="274">
        <v>218.06800000000001</v>
      </c>
      <c r="F16" s="275">
        <v>2.4140965846757095E-2</v>
      </c>
      <c r="G16" s="274">
        <v>2585.7939999999999</v>
      </c>
      <c r="H16" s="275">
        <v>0.286257335513461</v>
      </c>
      <c r="I16" s="452">
        <v>17.09</v>
      </c>
    </row>
    <row r="17" spans="1:9" ht="15" customHeight="1" x14ac:dyDescent="0.25">
      <c r="A17" s="276" t="str">
        <f>'Table 4'!A20</f>
        <v>Jackson</v>
      </c>
      <c r="B17" s="274">
        <v>111201.36399999999</v>
      </c>
      <c r="C17" s="274">
        <v>70825.100999999995</v>
      </c>
      <c r="D17" s="275">
        <v>0.63690856345970726</v>
      </c>
      <c r="E17" s="274">
        <v>19775.153999999999</v>
      </c>
      <c r="F17" s="275">
        <v>0.17783193738522848</v>
      </c>
      <c r="G17" s="274">
        <v>20601.109</v>
      </c>
      <c r="H17" s="275">
        <v>0.18525949915506434</v>
      </c>
      <c r="I17" s="452">
        <v>0</v>
      </c>
    </row>
    <row r="18" spans="1:9" ht="15" customHeight="1" x14ac:dyDescent="0.25">
      <c r="A18" s="277" t="str">
        <f>'Table 4'!A21</f>
        <v>Jefferson</v>
      </c>
      <c r="B18" s="278">
        <v>6625.1370000000006</v>
      </c>
      <c r="C18" s="279">
        <v>6295.93</v>
      </c>
      <c r="D18" s="280">
        <v>0.95030940492249438</v>
      </c>
      <c r="E18" s="279">
        <v>266.11700000000002</v>
      </c>
      <c r="F18" s="280">
        <v>4.0167773134351784E-2</v>
      </c>
      <c r="G18" s="279">
        <v>63.09</v>
      </c>
      <c r="H18" s="280">
        <v>9.5228219431537798E-3</v>
      </c>
      <c r="I18" s="453">
        <v>0</v>
      </c>
    </row>
    <row r="19" spans="1:9" ht="15" customHeight="1" x14ac:dyDescent="0.25">
      <c r="A19" s="276" t="str">
        <f>'Table 4'!A22</f>
        <v>Josephine</v>
      </c>
      <c r="B19" s="274">
        <v>34186.535000000003</v>
      </c>
      <c r="C19" s="274">
        <v>17250.491000000002</v>
      </c>
      <c r="D19" s="275">
        <v>0.50459898904641842</v>
      </c>
      <c r="E19" s="274">
        <v>10479.766</v>
      </c>
      <c r="F19" s="275">
        <v>0.30654659795150335</v>
      </c>
      <c r="G19" s="274">
        <v>6456.2780000000002</v>
      </c>
      <c r="H19" s="275">
        <v>0.18885441300207814</v>
      </c>
      <c r="I19" s="452">
        <v>0</v>
      </c>
    </row>
    <row r="20" spans="1:9" ht="15" customHeight="1" x14ac:dyDescent="0.25">
      <c r="A20" s="276" t="str">
        <f>'Table 4'!A23</f>
        <v>Klamath</v>
      </c>
      <c r="B20" s="274">
        <v>20070.82</v>
      </c>
      <c r="C20" s="274">
        <v>15811.133</v>
      </c>
      <c r="D20" s="275">
        <v>0.7877671664635526</v>
      </c>
      <c r="E20" s="274">
        <v>3168.0990000000002</v>
      </c>
      <c r="F20" s="275">
        <v>0.15784601725290748</v>
      </c>
      <c r="G20" s="274">
        <v>1091.588</v>
      </c>
      <c r="H20" s="275">
        <v>5.4386816283539981E-2</v>
      </c>
      <c r="I20" s="452">
        <v>0</v>
      </c>
    </row>
    <row r="21" spans="1:9" ht="15" customHeight="1" x14ac:dyDescent="0.25">
      <c r="A21" s="276" t="str">
        <f>'Table 4'!A24</f>
        <v>Lake</v>
      </c>
      <c r="B21" s="274">
        <v>629.57299999999998</v>
      </c>
      <c r="C21" s="274">
        <v>627.678</v>
      </c>
      <c r="D21" s="275">
        <v>0.9969900233968102</v>
      </c>
      <c r="E21" s="274">
        <v>1.895</v>
      </c>
      <c r="F21" s="275">
        <v>3.0099766031897813E-3</v>
      </c>
      <c r="G21" s="274">
        <v>0</v>
      </c>
      <c r="H21" s="275">
        <v>0</v>
      </c>
      <c r="I21" s="452">
        <v>0</v>
      </c>
    </row>
    <row r="22" spans="1:9" ht="15" customHeight="1" x14ac:dyDescent="0.25">
      <c r="A22" s="276" t="str">
        <f>'Table 4'!A25</f>
        <v>Lane</v>
      </c>
      <c r="B22" s="274">
        <v>319447.43199999997</v>
      </c>
      <c r="C22" s="274">
        <v>173402.23699999999</v>
      </c>
      <c r="D22" s="275">
        <v>0.54281931745189305</v>
      </c>
      <c r="E22" s="274">
        <v>65742.857000000004</v>
      </c>
      <c r="F22" s="275">
        <v>0.20580180153083844</v>
      </c>
      <c r="G22" s="274">
        <v>80302.338000000003</v>
      </c>
      <c r="H22" s="275">
        <v>0.25137888101726863</v>
      </c>
      <c r="I22" s="452">
        <v>0</v>
      </c>
    </row>
    <row r="23" spans="1:9" ht="15" customHeight="1" x14ac:dyDescent="0.25">
      <c r="A23" s="277" t="str">
        <f>'Table 4'!A26</f>
        <v>Lincoln</v>
      </c>
      <c r="B23" s="278">
        <v>20328.133999999998</v>
      </c>
      <c r="C23" s="279">
        <v>14030.769</v>
      </c>
      <c r="D23" s="280">
        <v>0.69021431086591623</v>
      </c>
      <c r="E23" s="279">
        <v>178.358</v>
      </c>
      <c r="F23" s="280">
        <v>8.7739484598045262E-3</v>
      </c>
      <c r="G23" s="279">
        <v>6119.0069999999996</v>
      </c>
      <c r="H23" s="280">
        <v>0.30101174067427933</v>
      </c>
      <c r="I23" s="453">
        <v>0</v>
      </c>
    </row>
    <row r="24" spans="1:9" ht="15" customHeight="1" x14ac:dyDescent="0.25">
      <c r="A24" s="281" t="str">
        <f>'Table 4'!A27</f>
        <v>Linn</v>
      </c>
      <c r="B24" s="274">
        <v>85953.376999999993</v>
      </c>
      <c r="C24" s="274">
        <v>67984.963000000003</v>
      </c>
      <c r="D24" s="275">
        <v>0.79095162252903695</v>
      </c>
      <c r="E24" s="274">
        <v>1159.9490000000001</v>
      </c>
      <c r="F24" s="275">
        <v>1.3495095137448761E-2</v>
      </c>
      <c r="G24" s="274">
        <v>16808.465</v>
      </c>
      <c r="H24" s="275">
        <v>0.19555328233351438</v>
      </c>
      <c r="I24" s="452">
        <v>0</v>
      </c>
    </row>
    <row r="25" spans="1:9" ht="15" customHeight="1" x14ac:dyDescent="0.25">
      <c r="A25" s="276" t="str">
        <f>'Table 4'!A28</f>
        <v>Malheur</v>
      </c>
      <c r="B25" s="274">
        <v>6640.91</v>
      </c>
      <c r="C25" s="274">
        <v>5800.2439999999997</v>
      </c>
      <c r="D25" s="275">
        <v>0.8734110234892507</v>
      </c>
      <c r="E25" s="274">
        <v>179.61199999999999</v>
      </c>
      <c r="F25" s="275">
        <v>2.7046293354374626E-2</v>
      </c>
      <c r="G25" s="274">
        <v>661.05399999999997</v>
      </c>
      <c r="H25" s="275">
        <v>9.9542683156374656E-2</v>
      </c>
      <c r="I25" s="452">
        <v>0</v>
      </c>
    </row>
    <row r="26" spans="1:9" ht="15" customHeight="1" x14ac:dyDescent="0.25">
      <c r="A26" s="276" t="str">
        <f>'Table 4'!A29</f>
        <v>Marion</v>
      </c>
      <c r="B26" s="274">
        <v>291951.84600000002</v>
      </c>
      <c r="C26" s="274">
        <v>179911.826</v>
      </c>
      <c r="D26" s="275">
        <v>0.61623801481289486</v>
      </c>
      <c r="E26" s="274">
        <v>49466.557000000001</v>
      </c>
      <c r="F26" s="275">
        <v>0.1694339586398779</v>
      </c>
      <c r="G26" s="274">
        <v>62573.463000000003</v>
      </c>
      <c r="H26" s="275">
        <v>0.21432802654722724</v>
      </c>
      <c r="I26" s="452">
        <v>0</v>
      </c>
    </row>
    <row r="27" spans="1:9" ht="15" customHeight="1" x14ac:dyDescent="0.25">
      <c r="A27" s="276" t="str">
        <f>'Table 4'!A30</f>
        <v>Metro</v>
      </c>
      <c r="B27" s="274">
        <v>1139017.8569999998</v>
      </c>
      <c r="C27" s="274">
        <v>737950.58</v>
      </c>
      <c r="D27" s="275">
        <v>0.64788324034150768</v>
      </c>
      <c r="E27" s="274">
        <v>77747.907999999996</v>
      </c>
      <c r="F27" s="275">
        <v>6.8258726166748773E-2</v>
      </c>
      <c r="G27" s="274">
        <v>323117.91899999999</v>
      </c>
      <c r="H27" s="275">
        <v>0.28368117059292075</v>
      </c>
      <c r="I27" s="452">
        <v>201.45</v>
      </c>
    </row>
    <row r="28" spans="1:9" ht="15" customHeight="1" x14ac:dyDescent="0.25">
      <c r="A28" s="277" t="str">
        <f>'Table 4'!A31</f>
        <v>Milton Freewater</v>
      </c>
      <c r="B28" s="278">
        <v>1276.4279999999999</v>
      </c>
      <c r="C28" s="279">
        <v>1149.7249999999999</v>
      </c>
      <c r="D28" s="280">
        <v>0.90073627341299312</v>
      </c>
      <c r="E28" s="279">
        <v>13.403</v>
      </c>
      <c r="F28" s="280">
        <v>1.0500396418756093E-2</v>
      </c>
      <c r="G28" s="279">
        <v>113.3</v>
      </c>
      <c r="H28" s="280">
        <v>8.8763330168250776E-2</v>
      </c>
      <c r="I28" s="453">
        <v>0</v>
      </c>
    </row>
    <row r="29" spans="1:9" ht="15" customHeight="1" x14ac:dyDescent="0.25">
      <c r="A29" s="276" t="str">
        <f>'Table 4'!A32</f>
        <v>Morrow</v>
      </c>
      <c r="B29" s="274">
        <v>4921.6970000000001</v>
      </c>
      <c r="C29" s="274">
        <v>4877.3530000000001</v>
      </c>
      <c r="D29" s="275">
        <v>0.99099009955306061</v>
      </c>
      <c r="E29" s="274">
        <v>44.344000000000001</v>
      </c>
      <c r="F29" s="275">
        <v>9.0099004469393375E-3</v>
      </c>
      <c r="G29" s="274">
        <v>0</v>
      </c>
      <c r="H29" s="275">
        <v>0</v>
      </c>
      <c r="I29" s="452">
        <v>0</v>
      </c>
    </row>
    <row r="30" spans="1:9" ht="15" customHeight="1" x14ac:dyDescent="0.25">
      <c r="A30" s="276" t="str">
        <f>'Table 4'!A33</f>
        <v>Polk</v>
      </c>
      <c r="B30" s="274">
        <v>34934.883000000002</v>
      </c>
      <c r="C30" s="274">
        <v>20901.688999999998</v>
      </c>
      <c r="D30" s="275">
        <v>0.59830425079711869</v>
      </c>
      <c r="E30" s="274">
        <v>5811.0469999999996</v>
      </c>
      <c r="F30" s="275">
        <v>0.16633938633771864</v>
      </c>
      <c r="G30" s="274">
        <v>8222.1470000000008</v>
      </c>
      <c r="H30" s="275">
        <v>0.23535636286516259</v>
      </c>
      <c r="I30" s="452">
        <v>0</v>
      </c>
    </row>
    <row r="31" spans="1:9" ht="15" customHeight="1" x14ac:dyDescent="0.25">
      <c r="A31" s="276" t="str">
        <f>'Table 4'!A34</f>
        <v>Sherman</v>
      </c>
      <c r="B31" s="274">
        <v>395.96199999999999</v>
      </c>
      <c r="C31" s="274">
        <v>390.01900000000001</v>
      </c>
      <c r="D31" s="275">
        <v>0.98499098398331153</v>
      </c>
      <c r="E31" s="274">
        <v>4.5579999999999998</v>
      </c>
      <c r="F31" s="275">
        <v>1.1511205620741384E-2</v>
      </c>
      <c r="G31" s="274">
        <v>0</v>
      </c>
      <c r="H31" s="275">
        <v>0</v>
      </c>
      <c r="I31" s="452">
        <v>1.385</v>
      </c>
    </row>
    <row r="32" spans="1:9" ht="15" customHeight="1" x14ac:dyDescent="0.25">
      <c r="A32" s="276" t="str">
        <f>'Table 4'!A35</f>
        <v>Tillamook</v>
      </c>
      <c r="B32" s="274">
        <v>12237.826999999999</v>
      </c>
      <c r="C32" s="274">
        <v>10423.61</v>
      </c>
      <c r="D32" s="275">
        <v>0.85175333823561983</v>
      </c>
      <c r="E32" s="274">
        <v>424.17700000000002</v>
      </c>
      <c r="F32" s="275">
        <v>3.4661137144690803E-2</v>
      </c>
      <c r="G32" s="274">
        <v>1370.97</v>
      </c>
      <c r="H32" s="275">
        <v>0.1120272414375526</v>
      </c>
      <c r="I32" s="452">
        <v>19.07</v>
      </c>
    </row>
    <row r="33" spans="1:10" ht="15" customHeight="1" x14ac:dyDescent="0.25">
      <c r="A33" s="277" t="str">
        <f>'Table 4'!A36</f>
        <v>Umatilla</v>
      </c>
      <c r="B33" s="278">
        <v>24805.952999999998</v>
      </c>
      <c r="C33" s="279">
        <v>22240.852999999999</v>
      </c>
      <c r="D33" s="280">
        <v>0.89659337014788354</v>
      </c>
      <c r="E33" s="279">
        <v>2364.1190000000001</v>
      </c>
      <c r="F33" s="280">
        <v>9.5304502108828487E-2</v>
      </c>
      <c r="G33" s="279">
        <v>195.78100000000001</v>
      </c>
      <c r="H33" s="280">
        <v>7.8925006428900366E-3</v>
      </c>
      <c r="I33" s="453">
        <v>5.2</v>
      </c>
    </row>
    <row r="34" spans="1:10" ht="15" customHeight="1" x14ac:dyDescent="0.25">
      <c r="A34" s="276" t="str">
        <f>'Table 4'!A37</f>
        <v>Union</v>
      </c>
      <c r="B34" s="274">
        <v>7864.4430000000002</v>
      </c>
      <c r="C34" s="274">
        <v>5052.4390000000003</v>
      </c>
      <c r="D34" s="275">
        <v>0.64244079332763937</v>
      </c>
      <c r="E34" s="274">
        <v>137.071</v>
      </c>
      <c r="F34" s="275">
        <v>1.7429206365918094E-2</v>
      </c>
      <c r="G34" s="274">
        <v>2674.933</v>
      </c>
      <c r="H34" s="275">
        <v>0.34013000030644253</v>
      </c>
      <c r="I34" s="452">
        <v>0</v>
      </c>
    </row>
    <row r="35" spans="1:10" ht="15" customHeight="1" x14ac:dyDescent="0.25">
      <c r="A35" s="276" t="str">
        <f>'Table 4'!A38</f>
        <v>Wallowa</v>
      </c>
      <c r="B35" s="274">
        <v>1683.3869999999999</v>
      </c>
      <c r="C35" s="274">
        <v>658.74699999999996</v>
      </c>
      <c r="D35" s="275">
        <v>0.39132237566287492</v>
      </c>
      <c r="E35" s="274">
        <v>10.64</v>
      </c>
      <c r="F35" s="275">
        <v>6.320590571270897E-3</v>
      </c>
      <c r="G35" s="274">
        <v>1000</v>
      </c>
      <c r="H35" s="275">
        <v>0.59404046722470827</v>
      </c>
      <c r="I35" s="452">
        <v>14</v>
      </c>
    </row>
    <row r="36" spans="1:10" ht="15" customHeight="1" x14ac:dyDescent="0.25">
      <c r="A36" s="276" t="str">
        <f>'Table 4'!A39</f>
        <v>Wasco</v>
      </c>
      <c r="B36" s="274">
        <v>6923.808</v>
      </c>
      <c r="C36" s="274">
        <v>5065.8140000000003</v>
      </c>
      <c r="D36" s="275">
        <v>0.73165142649825077</v>
      </c>
      <c r="E36" s="274">
        <v>219.55600000000001</v>
      </c>
      <c r="F36" s="275">
        <v>3.1710295837204035E-2</v>
      </c>
      <c r="G36" s="274">
        <v>1619.2729999999999</v>
      </c>
      <c r="H36" s="275">
        <v>0.23387029218603403</v>
      </c>
      <c r="I36" s="452">
        <v>19.164999999999999</v>
      </c>
    </row>
    <row r="37" spans="1:10" ht="15" customHeight="1" x14ac:dyDescent="0.25">
      <c r="A37" s="276" t="str">
        <f>'Table 4'!A40</f>
        <v>Wheeler</v>
      </c>
      <c r="B37" s="274">
        <v>87.667000000000002</v>
      </c>
      <c r="C37" s="274">
        <v>85.242999999999995</v>
      </c>
      <c r="D37" s="275">
        <v>0.97234991501933443</v>
      </c>
      <c r="E37" s="274">
        <v>1.399</v>
      </c>
      <c r="F37" s="275">
        <v>1.5958114227702557E-2</v>
      </c>
      <c r="G37" s="274">
        <v>0</v>
      </c>
      <c r="H37" s="275">
        <v>0</v>
      </c>
      <c r="I37" s="452">
        <v>1.0249999999999999</v>
      </c>
    </row>
    <row r="38" spans="1:10" ht="15" customHeight="1" thickBot="1" x14ac:dyDescent="0.3">
      <c r="A38" s="277" t="str">
        <f>'Table 4'!A41</f>
        <v>Yamhill</v>
      </c>
      <c r="B38" s="274">
        <v>47099.97</v>
      </c>
      <c r="C38" s="274">
        <v>19376.116999999998</v>
      </c>
      <c r="D38" s="280">
        <v>0.41138278856653193</v>
      </c>
      <c r="E38" s="274">
        <v>385.404</v>
      </c>
      <c r="F38" s="280">
        <v>8.1826803711339945E-3</v>
      </c>
      <c r="G38" s="274">
        <v>27338.449000000001</v>
      </c>
      <c r="H38" s="280">
        <v>0.580434531062334</v>
      </c>
      <c r="I38" s="454">
        <v>0</v>
      </c>
    </row>
    <row r="39" spans="1:10" s="287" customFormat="1" ht="15" thickBot="1" x14ac:dyDescent="0.3">
      <c r="A39" s="282" t="s">
        <v>188</v>
      </c>
      <c r="B39" s="283">
        <f>SUM(C39,E39,G39,I39)</f>
        <v>2400817.0550000002</v>
      </c>
      <c r="C39" s="284">
        <f>SUM(C4:C38)</f>
        <v>1542812.166</v>
      </c>
      <c r="D39" s="450">
        <f>C39/B39</f>
        <v>0.64261962934114525</v>
      </c>
      <c r="E39" s="284">
        <f>SUM(E4:E38)</f>
        <v>253947.86600000001</v>
      </c>
      <c r="F39" s="285">
        <f>E39/B39</f>
        <v>0.10577560063192737</v>
      </c>
      <c r="G39" s="284">
        <f>SUM(G4:G38)</f>
        <v>603776.50800000003</v>
      </c>
      <c r="H39" s="285">
        <f>G39/B39</f>
        <v>0.25148792855438956</v>
      </c>
      <c r="I39" s="286">
        <f>SUM(I4:I38)</f>
        <v>280.51499999999993</v>
      </c>
      <c r="J39" s="181"/>
    </row>
    <row r="40" spans="1:10" x14ac:dyDescent="0.25">
      <c r="G40" s="287"/>
    </row>
    <row r="41" spans="1:10" ht="13.9" customHeight="1" x14ac:dyDescent="0.25">
      <c r="D41" s="27"/>
      <c r="E41" s="27"/>
      <c r="F41" s="27"/>
      <c r="G41" s="27"/>
      <c r="H41" s="27"/>
    </row>
    <row r="43" spans="1:10" x14ac:dyDescent="0.25">
      <c r="D43" s="288"/>
    </row>
    <row r="44" spans="1:10" x14ac:dyDescent="0.25">
      <c r="B44" s="289"/>
      <c r="D44" s="288"/>
    </row>
    <row r="45" spans="1:10" x14ac:dyDescent="0.25">
      <c r="D45" s="288"/>
    </row>
    <row r="46" spans="1:10" x14ac:dyDescent="0.25">
      <c r="D46" s="288"/>
    </row>
    <row r="47" spans="1:10" x14ac:dyDescent="0.25">
      <c r="D47" s="288"/>
    </row>
  </sheetData>
  <sheetProtection algorithmName="SHA-512" hashValue="lI1WFAJISt0ZlEE0tyigz/0mNyzhvAeVgnq14/2u+3jNDYCmnI6o3YvchQK/6IcYsvPK3By6jcwEe7Oxb0cOtw==" saltValue="Rtn7CLw+veVOEbYxNjop5A==" spinCount="100000" sheet="1" objects="1" scenarios="1"/>
  <phoneticPr fontId="3" type="noConversion"/>
  <pageMargins left="1" right="1" top="1" bottom="1" header="0.5" footer="0.5"/>
  <pageSetup scale="76" orientation="portrait" r:id="rId1"/>
  <headerFooter>
    <oddHeader xml:space="preserve">&amp;L&amp;"Segoe UI,Bold"2022 Material Recovery and Waste Generation Rates Report&amp;R&amp;"Times New Roman,Bold"&amp;14 </oddHeader>
    <oddFooter>&amp;L&amp;"Segoe UI,Regular"&amp;9Oregon Department of Environmental Quality&amp;C
&amp;R&amp;"Segoe UI,Regular"&amp;9 2022 Material Recovery and Waste Generation Rates</oddFooter>
  </headerFooter>
  <ignoredErrors>
    <ignoredError sqref="F39 H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M58"/>
  <sheetViews>
    <sheetView zoomScaleNormal="100" zoomScaleSheetLayoutView="75" workbookViewId="0"/>
  </sheetViews>
  <sheetFormatPr defaultRowHeight="14.25" x14ac:dyDescent="0.25"/>
  <cols>
    <col min="1" max="1" width="17.28515625" style="16" customWidth="1"/>
    <col min="2" max="2" width="14" style="12" customWidth="1"/>
    <col min="3" max="4" width="13.42578125" style="13" customWidth="1"/>
    <col min="5" max="5" width="15" style="23" customWidth="1"/>
    <col min="6" max="6" width="3.7109375" style="23" customWidth="1"/>
    <col min="7" max="7" width="8.140625" style="5" bestFit="1" customWidth="1"/>
    <col min="8" max="8" width="4.28515625" style="23" customWidth="1"/>
    <col min="9" max="9" width="8.140625" style="5" bestFit="1" customWidth="1"/>
    <col min="10" max="10" width="14.85546875" style="23" bestFit="1" customWidth="1"/>
    <col min="11" max="11" width="8.85546875" style="23" customWidth="1"/>
    <col min="12" max="12" width="6.28515625" style="23" bestFit="1" customWidth="1"/>
    <col min="13" max="13" width="4.7109375" style="23" bestFit="1" customWidth="1"/>
    <col min="14" max="16384" width="9.140625" style="16"/>
  </cols>
  <sheetData>
    <row r="1" spans="1:13" s="7" customFormat="1" ht="20.25" x14ac:dyDescent="0.35">
      <c r="A1" s="1" t="s">
        <v>150</v>
      </c>
      <c r="B1" s="2"/>
      <c r="C1" s="3"/>
      <c r="D1" s="3"/>
      <c r="E1" s="4"/>
      <c r="F1" s="4"/>
      <c r="G1" s="5"/>
      <c r="H1" s="4"/>
      <c r="I1" s="5"/>
      <c r="J1" s="6"/>
    </row>
    <row r="2" spans="1:13" s="7" customFormat="1" ht="20.25" x14ac:dyDescent="0.35">
      <c r="A2" s="8"/>
      <c r="B2" s="2"/>
      <c r="C2" s="3"/>
      <c r="D2" s="3"/>
      <c r="E2" s="9"/>
      <c r="F2" s="4"/>
      <c r="G2" s="5"/>
      <c r="H2" s="4"/>
      <c r="I2" s="5"/>
      <c r="J2" s="10"/>
    </row>
    <row r="3" spans="1:13" x14ac:dyDescent="0.25">
      <c r="A3" s="11"/>
      <c r="E3" s="14"/>
      <c r="F3" s="11"/>
      <c r="G3" s="15" t="s">
        <v>121</v>
      </c>
      <c r="H3" s="11"/>
      <c r="J3" s="16"/>
      <c r="K3" s="16"/>
      <c r="L3" s="16"/>
      <c r="M3" s="16"/>
    </row>
    <row r="4" spans="1:13" s="17" customFormat="1" ht="15.75" x14ac:dyDescent="0.25">
      <c r="B4" s="18" t="s">
        <v>0</v>
      </c>
      <c r="C4" s="19" t="s">
        <v>0</v>
      </c>
      <c r="D4" s="19" t="s">
        <v>0</v>
      </c>
      <c r="E4" s="20" t="s">
        <v>84</v>
      </c>
      <c r="G4" s="15" t="s">
        <v>159</v>
      </c>
      <c r="H4" s="11"/>
    </row>
    <row r="5" spans="1:13" s="11" customFormat="1" ht="15.75" x14ac:dyDescent="0.25">
      <c r="A5" s="11" t="s">
        <v>1</v>
      </c>
      <c r="B5" s="21" t="s">
        <v>2</v>
      </c>
      <c r="C5" s="22" t="s">
        <v>3</v>
      </c>
      <c r="D5" s="22" t="s">
        <v>4</v>
      </c>
      <c r="E5" s="20" t="s">
        <v>160</v>
      </c>
      <c r="G5" s="15">
        <v>2025</v>
      </c>
    </row>
    <row r="6" spans="1:13" ht="15" customHeight="1" x14ac:dyDescent="0.25">
      <c r="A6" s="11"/>
      <c r="F6" s="24"/>
      <c r="H6" s="11"/>
    </row>
    <row r="7" spans="1:13" x14ac:dyDescent="0.25">
      <c r="A7" s="16" t="s">
        <v>6</v>
      </c>
      <c r="B7" s="25">
        <f>'Table 3'!B6</f>
        <v>14070.922</v>
      </c>
      <c r="C7" s="13">
        <f>'Table 2'!B6</f>
        <v>3187.357</v>
      </c>
      <c r="D7" s="13">
        <f>B7+C7</f>
        <v>17258.279000000002</v>
      </c>
      <c r="E7" s="14">
        <f>C7/D7</f>
        <v>0.18468568042039415</v>
      </c>
      <c r="G7" s="26">
        <v>0.25</v>
      </c>
      <c r="H7" s="16"/>
    </row>
    <row r="8" spans="1:13" x14ac:dyDescent="0.25">
      <c r="A8" s="16" t="s">
        <v>7</v>
      </c>
      <c r="B8" s="25">
        <f>'Table 3'!B7</f>
        <v>71810.793000000005</v>
      </c>
      <c r="C8" s="13">
        <f>'Table 2'!B7</f>
        <v>32968.417999999998</v>
      </c>
      <c r="D8" s="13">
        <f>B8+C8</f>
        <v>104779.21100000001</v>
      </c>
      <c r="E8" s="14">
        <f>C8/D8</f>
        <v>0.31464655713049788</v>
      </c>
      <c r="F8" s="28"/>
      <c r="G8" s="26">
        <v>0.44</v>
      </c>
      <c r="H8" s="16"/>
    </row>
    <row r="9" spans="1:13" x14ac:dyDescent="0.25">
      <c r="A9" s="16" t="s">
        <v>8</v>
      </c>
      <c r="B9" s="25">
        <f>'Table 3'!B8</f>
        <v>41703.248999999996</v>
      </c>
      <c r="C9" s="13">
        <f>'Table 2'!B8</f>
        <v>20091.323</v>
      </c>
      <c r="D9" s="13">
        <f>B9+C9</f>
        <v>61794.572</v>
      </c>
      <c r="E9" s="14">
        <f t="shared" ref="E9:E41" si="0">C9/D9</f>
        <v>0.32513087071790059</v>
      </c>
      <c r="F9" s="28"/>
      <c r="G9" s="26">
        <v>0.53</v>
      </c>
      <c r="H9" s="16"/>
    </row>
    <row r="10" spans="1:13" x14ac:dyDescent="0.25">
      <c r="A10" s="16" t="s">
        <v>9</v>
      </c>
      <c r="B10" s="25">
        <f>'Table 3'!B9</f>
        <v>32798.289000000012</v>
      </c>
      <c r="C10" s="13">
        <f>'Table 2'!B9</f>
        <v>9341.3410000000003</v>
      </c>
      <c r="D10" s="13">
        <f t="shared" ref="D10:D41" si="1">B10+C10</f>
        <v>42139.630000000012</v>
      </c>
      <c r="E10" s="14">
        <f t="shared" si="0"/>
        <v>0.22167591409796425</v>
      </c>
      <c r="F10" s="28"/>
      <c r="G10" s="26">
        <v>0.45</v>
      </c>
      <c r="H10" s="16"/>
    </row>
    <row r="11" spans="1:13" x14ac:dyDescent="0.25">
      <c r="A11" s="16" t="s">
        <v>10</v>
      </c>
      <c r="B11" s="25">
        <f>'Table 3'!B10</f>
        <v>58990.633999999998</v>
      </c>
      <c r="C11" s="13">
        <f>'Table 2'!B10</f>
        <v>18081.96</v>
      </c>
      <c r="D11" s="13">
        <f t="shared" si="1"/>
        <v>77072.593999999997</v>
      </c>
      <c r="E11" s="14">
        <f>C11/D11</f>
        <v>0.23460946442259359</v>
      </c>
      <c r="F11" s="28"/>
      <c r="G11" s="26">
        <v>0.3</v>
      </c>
      <c r="H11" s="16"/>
    </row>
    <row r="12" spans="1:13" x14ac:dyDescent="0.25">
      <c r="A12" s="16" t="s">
        <v>11</v>
      </c>
      <c r="B12" s="25">
        <f>'Table 3'!B11</f>
        <v>27786.210999999999</v>
      </c>
      <c r="C12" s="13">
        <f>'Table 2'!B11</f>
        <v>11310.914000000001</v>
      </c>
      <c r="D12" s="13">
        <f t="shared" si="1"/>
        <v>39097.125</v>
      </c>
      <c r="E12" s="14">
        <f t="shared" si="0"/>
        <v>0.28930296025602908</v>
      </c>
      <c r="F12" s="28"/>
      <c r="G12" s="26">
        <v>0.2</v>
      </c>
      <c r="H12" s="16"/>
    </row>
    <row r="13" spans="1:13" x14ac:dyDescent="0.25">
      <c r="A13" s="16" t="s">
        <v>12</v>
      </c>
      <c r="B13" s="25">
        <f>'Table 3'!B12</f>
        <v>22099.442999999999</v>
      </c>
      <c r="C13" s="13">
        <f>'Table 2'!B12</f>
        <v>5936.1959999999999</v>
      </c>
      <c r="D13" s="13">
        <f t="shared" si="1"/>
        <v>28035.638999999999</v>
      </c>
      <c r="E13" s="14">
        <f t="shared" si="0"/>
        <v>0.2117374959778873</v>
      </c>
      <c r="F13" s="28"/>
      <c r="G13" s="26">
        <v>0.3</v>
      </c>
      <c r="H13" s="16"/>
    </row>
    <row r="14" spans="1:13" x14ac:dyDescent="0.25">
      <c r="A14" s="16" t="s">
        <v>13</v>
      </c>
      <c r="B14" s="25">
        <f>'Table 3'!B13</f>
        <v>225929.34400000001</v>
      </c>
      <c r="C14" s="13">
        <f>'Table 2'!B13</f>
        <v>84413.03</v>
      </c>
      <c r="D14" s="13">
        <f t="shared" si="1"/>
        <v>310342.37400000001</v>
      </c>
      <c r="E14" s="14">
        <f t="shared" si="0"/>
        <v>0.27199969154067244</v>
      </c>
      <c r="F14" s="28"/>
      <c r="G14" s="26">
        <v>0.45</v>
      </c>
      <c r="H14" s="16"/>
    </row>
    <row r="15" spans="1:13" x14ac:dyDescent="0.25">
      <c r="A15" s="16" t="s">
        <v>14</v>
      </c>
      <c r="B15" s="25">
        <f>'Table 3'!B14</f>
        <v>103451.27100000004</v>
      </c>
      <c r="C15" s="13">
        <f>'Table 2'!B14</f>
        <v>25416.13</v>
      </c>
      <c r="D15" s="13">
        <f t="shared" si="1"/>
        <v>128867.40100000004</v>
      </c>
      <c r="E15" s="14">
        <f t="shared" si="0"/>
        <v>0.1972269930391472</v>
      </c>
      <c r="F15" s="28"/>
      <c r="G15" s="26">
        <v>0.34</v>
      </c>
      <c r="H15" s="16"/>
    </row>
    <row r="16" spans="1:13" x14ac:dyDescent="0.25">
      <c r="A16" s="16" t="s">
        <v>15</v>
      </c>
      <c r="B16" s="25">
        <f>'Table 3'!B15</f>
        <v>2919.6609999999996</v>
      </c>
      <c r="C16" s="13">
        <f>'Table 2'!B15</f>
        <v>763.22500000000002</v>
      </c>
      <c r="D16" s="13">
        <f t="shared" si="1"/>
        <v>3682.8859999999995</v>
      </c>
      <c r="E16" s="14">
        <f t="shared" si="0"/>
        <v>0.20723557557850014</v>
      </c>
      <c r="F16" s="28"/>
      <c r="G16" s="26">
        <v>0.25</v>
      </c>
      <c r="H16" s="16"/>
    </row>
    <row r="17" spans="1:8" x14ac:dyDescent="0.25">
      <c r="A17" s="16" t="s">
        <v>16</v>
      </c>
      <c r="B17" s="25">
        <f>'Table 3'!B16</f>
        <v>4698.7029999999995</v>
      </c>
      <c r="C17" s="13">
        <f>'Table 2'!B16</f>
        <v>978.76300000000003</v>
      </c>
      <c r="D17" s="13">
        <f t="shared" si="1"/>
        <v>5677.4659999999994</v>
      </c>
      <c r="E17" s="14">
        <f t="shared" si="0"/>
        <v>0.17239433930559869</v>
      </c>
      <c r="F17" s="28"/>
      <c r="G17" s="26">
        <v>0.25</v>
      </c>
      <c r="H17" s="16"/>
    </row>
    <row r="18" spans="1:8" x14ac:dyDescent="0.25">
      <c r="A18" s="16" t="s">
        <v>17</v>
      </c>
      <c r="B18" s="25">
        <f>'Table 3'!B17</f>
        <v>4883.9439999999995</v>
      </c>
      <c r="C18" s="13">
        <f>'Table 2'!B17</f>
        <v>1010.271</v>
      </c>
      <c r="D18" s="13">
        <f t="shared" si="1"/>
        <v>5894.2149999999992</v>
      </c>
      <c r="E18" s="14">
        <f t="shared" si="0"/>
        <v>0.17140043245792699</v>
      </c>
      <c r="F18" s="28"/>
      <c r="G18" s="26">
        <v>0.25</v>
      </c>
      <c r="H18" s="16"/>
    </row>
    <row r="19" spans="1:8" x14ac:dyDescent="0.25">
      <c r="A19" s="16" t="s">
        <v>18</v>
      </c>
      <c r="B19" s="25">
        <f>'Table 3'!B18</f>
        <v>25932.391000000007</v>
      </c>
      <c r="C19" s="13">
        <f>'Table 2'!B18</f>
        <v>9033.1090000000004</v>
      </c>
      <c r="D19" s="13">
        <f t="shared" si="1"/>
        <v>34965.500000000007</v>
      </c>
      <c r="E19" s="14">
        <f t="shared" si="0"/>
        <v>0.25834348143169694</v>
      </c>
      <c r="F19" s="28"/>
      <c r="G19" s="26">
        <v>0.35</v>
      </c>
      <c r="H19" s="16"/>
    </row>
    <row r="20" spans="1:8" x14ac:dyDescent="0.25">
      <c r="A20" s="16" t="s">
        <v>19</v>
      </c>
      <c r="B20" s="25">
        <f>'Table 3'!B19</f>
        <v>229268.31299999997</v>
      </c>
      <c r="C20" s="13">
        <f>'Table 2'!B19</f>
        <v>111201.363</v>
      </c>
      <c r="D20" s="13">
        <f t="shared" si="1"/>
        <v>340469.67599999998</v>
      </c>
      <c r="E20" s="29">
        <f t="shared" si="0"/>
        <v>0.32661165101822459</v>
      </c>
      <c r="F20" s="28"/>
      <c r="G20" s="26">
        <v>0.25</v>
      </c>
      <c r="H20" s="16"/>
    </row>
    <row r="21" spans="1:8" x14ac:dyDescent="0.25">
      <c r="A21" s="16" t="s">
        <v>20</v>
      </c>
      <c r="B21" s="25">
        <f>'Table 3'!B20</f>
        <v>20838.063999999998</v>
      </c>
      <c r="C21" s="13">
        <f>'Table 2'!B20</f>
        <v>6625.1379999999999</v>
      </c>
      <c r="D21" s="13">
        <f t="shared" si="1"/>
        <v>27463.201999999997</v>
      </c>
      <c r="E21" s="14">
        <f t="shared" si="0"/>
        <v>0.24123691039376985</v>
      </c>
      <c r="F21" s="28"/>
      <c r="G21" s="26">
        <v>0.32</v>
      </c>
      <c r="H21" s="16"/>
    </row>
    <row r="22" spans="1:8" x14ac:dyDescent="0.25">
      <c r="A22" s="16" t="s">
        <v>21</v>
      </c>
      <c r="B22" s="25">
        <f>'Table 3'!B21</f>
        <v>85396.174000000014</v>
      </c>
      <c r="C22" s="13">
        <f>'Table 2'!B21</f>
        <v>34186.535000000003</v>
      </c>
      <c r="D22" s="13">
        <f t="shared" si="1"/>
        <v>119582.70900000002</v>
      </c>
      <c r="E22" s="14">
        <f t="shared" si="0"/>
        <v>0.28588192461838274</v>
      </c>
      <c r="F22" s="28"/>
      <c r="G22" s="26">
        <v>0.2</v>
      </c>
      <c r="H22" s="16"/>
    </row>
    <row r="23" spans="1:8" x14ac:dyDescent="0.25">
      <c r="A23" s="16" t="s">
        <v>22</v>
      </c>
      <c r="B23" s="25">
        <f>'Table 3'!B22</f>
        <v>75473.462000000014</v>
      </c>
      <c r="C23" s="13">
        <f>'Table 2'!B22</f>
        <v>20070.82</v>
      </c>
      <c r="D23" s="13">
        <f t="shared" si="1"/>
        <v>95544.282000000007</v>
      </c>
      <c r="E23" s="14">
        <f t="shared" si="0"/>
        <v>0.21006824877285696</v>
      </c>
      <c r="F23" s="28"/>
      <c r="G23" s="26">
        <v>0.2</v>
      </c>
      <c r="H23" s="16"/>
    </row>
    <row r="24" spans="1:8" x14ac:dyDescent="0.25">
      <c r="A24" s="16" t="s">
        <v>23</v>
      </c>
      <c r="B24" s="25">
        <f>'Table 3'!B23</f>
        <v>5807.1220000000003</v>
      </c>
      <c r="C24" s="13">
        <f>'Table 2'!B23</f>
        <v>629.572</v>
      </c>
      <c r="D24" s="13">
        <f t="shared" si="1"/>
        <v>6436.6940000000004</v>
      </c>
      <c r="E24" s="14">
        <f t="shared" si="0"/>
        <v>9.7809838404621999E-2</v>
      </c>
      <c r="F24" s="28"/>
      <c r="G24" s="26">
        <v>0.15</v>
      </c>
      <c r="H24" s="16"/>
    </row>
    <row r="25" spans="1:8" x14ac:dyDescent="0.25">
      <c r="A25" s="16" t="s">
        <v>24</v>
      </c>
      <c r="B25" s="25">
        <f>'Table 3'!B24</f>
        <v>284398.56199999998</v>
      </c>
      <c r="C25" s="13">
        <f>'Table 2'!B24</f>
        <v>319447.43099999998</v>
      </c>
      <c r="D25" s="13">
        <f t="shared" si="1"/>
        <v>603845.99300000002</v>
      </c>
      <c r="E25" s="14">
        <f t="shared" si="0"/>
        <v>0.52902136422721935</v>
      </c>
      <c r="F25" s="28"/>
      <c r="G25" s="26">
        <v>0.63</v>
      </c>
      <c r="H25" s="16"/>
    </row>
    <row r="26" spans="1:8" x14ac:dyDescent="0.25">
      <c r="A26" s="16" t="s">
        <v>25</v>
      </c>
      <c r="B26" s="25">
        <f>'Table 3'!B25</f>
        <v>45509.275000000001</v>
      </c>
      <c r="C26" s="13">
        <f>'Table 2'!B25</f>
        <v>20328.132000000001</v>
      </c>
      <c r="D26" s="13">
        <f t="shared" si="1"/>
        <v>65837.407000000007</v>
      </c>
      <c r="E26" s="14">
        <f t="shared" si="0"/>
        <v>0.30876264613519788</v>
      </c>
      <c r="F26" s="28"/>
      <c r="G26" s="26">
        <v>0.37</v>
      </c>
      <c r="H26" s="16"/>
    </row>
    <row r="27" spans="1:8" x14ac:dyDescent="0.25">
      <c r="A27" s="16" t="s">
        <v>26</v>
      </c>
      <c r="B27" s="25">
        <f>'Table 3'!B26</f>
        <v>108287.202</v>
      </c>
      <c r="C27" s="13">
        <f>'Table 2'!B26</f>
        <v>85953.39</v>
      </c>
      <c r="D27" s="13">
        <f t="shared" si="1"/>
        <v>194240.592</v>
      </c>
      <c r="E27" s="14">
        <f t="shared" si="0"/>
        <v>0.44250992604058786</v>
      </c>
      <c r="F27" s="28"/>
      <c r="G27" s="26">
        <v>0.45</v>
      </c>
      <c r="H27" s="16"/>
    </row>
    <row r="28" spans="1:8" x14ac:dyDescent="0.25">
      <c r="A28" s="16" t="s">
        <v>27</v>
      </c>
      <c r="B28" s="25">
        <f>'Table 3'!B27</f>
        <v>24852.251000000007</v>
      </c>
      <c r="C28" s="13">
        <f>'Table 2'!B27</f>
        <v>6640.9089999999997</v>
      </c>
      <c r="D28" s="13">
        <f t="shared" si="1"/>
        <v>31493.160000000007</v>
      </c>
      <c r="E28" s="14">
        <f t="shared" si="0"/>
        <v>0.21086829648088659</v>
      </c>
      <c r="F28" s="28"/>
      <c r="G28" s="26">
        <v>0.25</v>
      </c>
      <c r="H28" s="16"/>
    </row>
    <row r="29" spans="1:8" ht="14.25" customHeight="1" x14ac:dyDescent="0.25">
      <c r="A29" s="16" t="s">
        <v>161</v>
      </c>
      <c r="B29" s="30">
        <f>'Table 3'!B28</f>
        <v>333430.59400000004</v>
      </c>
      <c r="C29" s="13">
        <f>'Table 2'!B28</f>
        <v>291952.25199999998</v>
      </c>
      <c r="D29" s="13">
        <f>B29+C29</f>
        <v>625382.84600000002</v>
      </c>
      <c r="E29" s="14">
        <f>C29/D29</f>
        <v>0.46683764012292717</v>
      </c>
      <c r="F29" s="28"/>
      <c r="G29" s="26">
        <v>0.64</v>
      </c>
      <c r="H29" s="16"/>
    </row>
    <row r="30" spans="1:8" x14ac:dyDescent="0.25">
      <c r="A30" s="16" t="s">
        <v>29</v>
      </c>
      <c r="B30" s="30">
        <f>'Table 3'!B29</f>
        <v>1457079.3590000002</v>
      </c>
      <c r="C30" s="13">
        <f>'Table 2'!B29</f>
        <v>1139009.9939999999</v>
      </c>
      <c r="D30" s="13">
        <f t="shared" si="1"/>
        <v>2596089.3530000001</v>
      </c>
      <c r="E30" s="14">
        <f t="shared" si="0"/>
        <v>0.43874067457800631</v>
      </c>
      <c r="F30" s="31"/>
      <c r="G30" s="26">
        <v>0.64</v>
      </c>
      <c r="H30" s="16"/>
    </row>
    <row r="31" spans="1:8" x14ac:dyDescent="0.25">
      <c r="A31" s="16" t="s">
        <v>187</v>
      </c>
      <c r="B31" s="25">
        <f>'Table 3'!B30</f>
        <v>5395.0349999999999</v>
      </c>
      <c r="C31" s="13">
        <f>'Table 2'!B30</f>
        <v>1276.4269999999999</v>
      </c>
      <c r="D31" s="13">
        <f t="shared" si="1"/>
        <v>6671.4619999999995</v>
      </c>
      <c r="E31" s="14">
        <f t="shared" si="0"/>
        <v>0.19132642889969245</v>
      </c>
      <c r="F31" s="28"/>
      <c r="G31" s="26">
        <v>0.25</v>
      </c>
      <c r="H31" s="16"/>
    </row>
    <row r="32" spans="1:8" x14ac:dyDescent="0.25">
      <c r="A32" s="16" t="s">
        <v>30</v>
      </c>
      <c r="B32" s="25">
        <f>'Table 3'!B31</f>
        <v>23151.800000000003</v>
      </c>
      <c r="C32" s="13">
        <f>'Table 2'!B31</f>
        <v>4921.6959999999999</v>
      </c>
      <c r="D32" s="13">
        <f t="shared" si="1"/>
        <v>28073.496000000003</v>
      </c>
      <c r="E32" s="14">
        <f t="shared" si="0"/>
        <v>0.17531468114979337</v>
      </c>
      <c r="F32" s="28"/>
      <c r="G32" s="26">
        <v>0.2</v>
      </c>
      <c r="H32" s="16"/>
    </row>
    <row r="33" spans="1:13" x14ac:dyDescent="0.25">
      <c r="A33" s="16" t="s">
        <v>31</v>
      </c>
      <c r="B33" s="25">
        <f>'Table 3'!B32</f>
        <v>55725.474000000002</v>
      </c>
      <c r="C33" s="13">
        <f>'Table 2'!B32</f>
        <v>34934.953999999998</v>
      </c>
      <c r="D33" s="13">
        <f t="shared" si="1"/>
        <v>90660.428</v>
      </c>
      <c r="E33" s="14">
        <f t="shared" si="0"/>
        <v>0.38533850733640918</v>
      </c>
      <c r="F33" s="28"/>
      <c r="G33" s="26">
        <v>0.48</v>
      </c>
      <c r="H33" s="16"/>
    </row>
    <row r="34" spans="1:13" x14ac:dyDescent="0.25">
      <c r="A34" s="16" t="s">
        <v>32</v>
      </c>
      <c r="B34" s="25">
        <f>'Table 3'!B33</f>
        <v>1297.5640000000001</v>
      </c>
      <c r="C34" s="13">
        <f>'Table 2'!B33</f>
        <v>395.964</v>
      </c>
      <c r="D34" s="13">
        <f t="shared" si="1"/>
        <v>1693.528</v>
      </c>
      <c r="E34" s="14">
        <f t="shared" si="0"/>
        <v>0.2338101289143138</v>
      </c>
      <c r="F34" s="28"/>
      <c r="G34" s="26">
        <v>0.2</v>
      </c>
      <c r="H34" s="16"/>
    </row>
    <row r="35" spans="1:13" x14ac:dyDescent="0.25">
      <c r="A35" s="16" t="s">
        <v>33</v>
      </c>
      <c r="B35" s="25">
        <f>'Table 3'!B34</f>
        <v>32496.035999999996</v>
      </c>
      <c r="C35" s="13">
        <f>'Table 2'!B34</f>
        <v>12237.826999999999</v>
      </c>
      <c r="D35" s="13">
        <f t="shared" si="1"/>
        <v>44733.862999999998</v>
      </c>
      <c r="E35" s="14">
        <f t="shared" si="0"/>
        <v>0.27356964454422367</v>
      </c>
      <c r="F35" s="28"/>
      <c r="G35" s="26">
        <v>0.37</v>
      </c>
      <c r="H35" s="16"/>
    </row>
    <row r="36" spans="1:13" x14ac:dyDescent="0.25">
      <c r="A36" s="16" t="s">
        <v>34</v>
      </c>
      <c r="B36" s="25">
        <f>'Table 3'!B35</f>
        <v>96225.254999999976</v>
      </c>
      <c r="C36" s="13">
        <f>'Table 2'!B35</f>
        <v>24805.954000000002</v>
      </c>
      <c r="D36" s="13">
        <f t="shared" si="1"/>
        <v>121031.20899999997</v>
      </c>
      <c r="E36" s="14">
        <f t="shared" si="0"/>
        <v>0.20495502114665323</v>
      </c>
      <c r="F36" s="28"/>
      <c r="G36" s="26">
        <v>0.2</v>
      </c>
      <c r="H36" s="16"/>
    </row>
    <row r="37" spans="1:13" x14ac:dyDescent="0.25">
      <c r="A37" s="16" t="s">
        <v>35</v>
      </c>
      <c r="B37" s="25">
        <f>'Table 3'!B36</f>
        <v>20956.054</v>
      </c>
      <c r="C37" s="13">
        <f>'Table 2'!B36</f>
        <v>7864.4430000000002</v>
      </c>
      <c r="D37" s="13">
        <f t="shared" si="1"/>
        <v>28820.496999999999</v>
      </c>
      <c r="E37" s="14">
        <f t="shared" si="0"/>
        <v>0.27287673075172852</v>
      </c>
      <c r="F37" s="28"/>
      <c r="G37" s="26">
        <v>0.25</v>
      </c>
      <c r="H37" s="16"/>
    </row>
    <row r="38" spans="1:13" x14ac:dyDescent="0.25">
      <c r="A38" s="16" t="s">
        <v>36</v>
      </c>
      <c r="B38" s="25">
        <f>'Table 3'!B37</f>
        <v>5092.6039999999994</v>
      </c>
      <c r="C38" s="13">
        <f>'Table 2'!B37</f>
        <v>1683.3869999999999</v>
      </c>
      <c r="D38" s="13">
        <f t="shared" si="1"/>
        <v>6775.9909999999991</v>
      </c>
      <c r="E38" s="14">
        <f t="shared" si="0"/>
        <v>0.24843406669223736</v>
      </c>
      <c r="F38" s="28"/>
      <c r="G38" s="26">
        <v>0.25</v>
      </c>
      <c r="H38" s="16"/>
    </row>
    <row r="39" spans="1:13" x14ac:dyDescent="0.25">
      <c r="A39" s="16" t="s">
        <v>37</v>
      </c>
      <c r="B39" s="25">
        <f>'Table 3'!B38</f>
        <v>22400.855000000003</v>
      </c>
      <c r="C39" s="13">
        <f>'Table 2'!B38</f>
        <v>6923.8090000000002</v>
      </c>
      <c r="D39" s="13">
        <f t="shared" si="1"/>
        <v>29324.664000000004</v>
      </c>
      <c r="E39" s="14">
        <f t="shared" si="0"/>
        <v>0.23610872404198729</v>
      </c>
      <c r="F39" s="28"/>
      <c r="G39" s="26">
        <v>0.35</v>
      </c>
      <c r="H39" s="16"/>
    </row>
    <row r="40" spans="1:13" x14ac:dyDescent="0.25">
      <c r="A40" s="16" t="s">
        <v>38</v>
      </c>
      <c r="B40" s="25">
        <f>'Table 3'!B39</f>
        <v>461.24000000000007</v>
      </c>
      <c r="C40" s="13">
        <f>'Table 2'!B39</f>
        <v>87.668999999999997</v>
      </c>
      <c r="D40" s="13">
        <f t="shared" si="1"/>
        <v>548.90900000000011</v>
      </c>
      <c r="E40" s="14">
        <f t="shared" si="0"/>
        <v>0.15971499829662109</v>
      </c>
      <c r="F40" s="28"/>
      <c r="G40" s="26">
        <v>0.2</v>
      </c>
      <c r="H40" s="16"/>
    </row>
    <row r="41" spans="1:13" x14ac:dyDescent="0.25">
      <c r="A41" s="16" t="s">
        <v>39</v>
      </c>
      <c r="B41" s="30">
        <f>'Table 3'!B40</f>
        <v>120328.704</v>
      </c>
      <c r="C41" s="13">
        <f>'Table 2'!B40</f>
        <v>47099.97</v>
      </c>
      <c r="D41" s="13">
        <f t="shared" si="1"/>
        <v>167428.674</v>
      </c>
      <c r="E41" s="14">
        <f t="shared" si="0"/>
        <v>0.28131364165256423</v>
      </c>
      <c r="F41" s="28"/>
      <c r="G41" s="26">
        <v>0.45</v>
      </c>
      <c r="H41" s="16"/>
    </row>
    <row r="42" spans="1:13" x14ac:dyDescent="0.25">
      <c r="B42" s="25"/>
      <c r="F42" s="28"/>
    </row>
    <row r="43" spans="1:13" ht="15" thickBot="1" x14ac:dyDescent="0.3">
      <c r="A43" s="32" t="s">
        <v>122</v>
      </c>
      <c r="B43" s="33">
        <f>SUM(B7:B42)</f>
        <v>3690945.8539999994</v>
      </c>
      <c r="C43" s="34">
        <f>SUM(C7:C42)</f>
        <v>2400809.6730000004</v>
      </c>
      <c r="D43" s="34">
        <f>SUM(D7:D42)</f>
        <v>6091755.5270000016</v>
      </c>
      <c r="E43" s="35">
        <f>C43/(B43+C43)</f>
        <v>0.39410801407887824</v>
      </c>
      <c r="F43" s="28"/>
      <c r="G43" s="36"/>
    </row>
    <row r="44" spans="1:13" ht="27" customHeight="1" x14ac:dyDescent="0.25">
      <c r="A44" s="455"/>
      <c r="B44" s="456"/>
      <c r="C44" s="38"/>
      <c r="D44" s="39"/>
      <c r="F44" s="14"/>
      <c r="G44" s="40"/>
      <c r="H44" s="14"/>
      <c r="I44" s="40"/>
      <c r="K44" s="28"/>
      <c r="L44" s="28"/>
      <c r="M44" s="28"/>
    </row>
    <row r="45" spans="1:13" ht="9.9499999999999993" customHeight="1" x14ac:dyDescent="0.25">
      <c r="A45" s="11"/>
      <c r="B45" s="41"/>
      <c r="C45" s="39"/>
      <c r="D45" s="16" t="s">
        <v>94</v>
      </c>
      <c r="E45" s="14"/>
      <c r="F45" s="14"/>
      <c r="G45" s="40"/>
      <c r="H45" s="14"/>
      <c r="I45" s="40"/>
    </row>
    <row r="47" spans="1:13" s="48" customFormat="1" ht="11.25" customHeight="1" x14ac:dyDescent="0.15">
      <c r="A47" s="42"/>
      <c r="B47" s="43"/>
      <c r="C47" s="44"/>
      <c r="D47" s="44"/>
      <c r="E47" s="45"/>
      <c r="F47" s="45"/>
      <c r="G47" s="46"/>
      <c r="H47" s="47"/>
      <c r="I47" s="46"/>
      <c r="J47" s="45"/>
      <c r="K47" s="45"/>
      <c r="L47" s="45"/>
      <c r="M47" s="45"/>
    </row>
    <row r="48" spans="1:13" s="48" customFormat="1" ht="11.25" customHeight="1" x14ac:dyDescent="0.15">
      <c r="B48" s="43"/>
      <c r="C48" s="44"/>
      <c r="D48" s="44"/>
      <c r="E48" s="45"/>
      <c r="F48" s="45"/>
      <c r="G48" s="49"/>
      <c r="H48" s="45"/>
      <c r="I48" s="49"/>
      <c r="J48" s="45"/>
      <c r="K48" s="45"/>
      <c r="L48" s="45"/>
      <c r="M48" s="45"/>
    </row>
    <row r="49" spans="1:13" s="48" customFormat="1" ht="11.25" customHeight="1" x14ac:dyDescent="0.15">
      <c r="B49" s="43"/>
      <c r="C49" s="44"/>
      <c r="D49" s="44"/>
      <c r="E49" s="45"/>
      <c r="F49" s="45"/>
      <c r="G49" s="49"/>
      <c r="H49" s="45"/>
      <c r="I49" s="49"/>
      <c r="J49" s="45"/>
      <c r="K49" s="45"/>
      <c r="L49" s="45"/>
      <c r="M49" s="45"/>
    </row>
    <row r="50" spans="1:13" s="48" customFormat="1" ht="11.25" customHeight="1" x14ac:dyDescent="0.15">
      <c r="B50" s="43"/>
      <c r="C50" s="44"/>
      <c r="D50" s="44"/>
      <c r="E50" s="45"/>
      <c r="F50" s="45"/>
      <c r="G50" s="49"/>
      <c r="H50" s="45"/>
      <c r="I50" s="49"/>
      <c r="J50" s="45"/>
      <c r="K50" s="45"/>
      <c r="L50" s="45"/>
      <c r="M50" s="45"/>
    </row>
    <row r="51" spans="1:13" s="48" customFormat="1" ht="11.25" customHeight="1" x14ac:dyDescent="0.15">
      <c r="A51" s="42"/>
      <c r="B51" s="43"/>
      <c r="C51" s="44"/>
      <c r="D51" s="44"/>
      <c r="E51" s="45"/>
      <c r="F51" s="45"/>
      <c r="G51" s="49"/>
      <c r="H51" s="45"/>
      <c r="I51" s="49"/>
      <c r="J51" s="45"/>
      <c r="K51" s="45"/>
      <c r="L51" s="45"/>
      <c r="M51" s="45"/>
    </row>
    <row r="52" spans="1:13" s="48" customFormat="1" ht="11.25" customHeight="1" x14ac:dyDescent="0.15">
      <c r="B52" s="50"/>
      <c r="C52" s="44"/>
      <c r="D52" s="44"/>
      <c r="E52" s="45"/>
      <c r="F52" s="45"/>
      <c r="G52" s="49"/>
      <c r="H52" s="45"/>
      <c r="I52" s="49"/>
      <c r="J52" s="45"/>
      <c r="K52" s="45"/>
      <c r="L52" s="45"/>
      <c r="M52" s="45"/>
    </row>
    <row r="53" spans="1:13" s="48" customFormat="1" ht="11.25" customHeight="1" x14ac:dyDescent="0.15">
      <c r="B53" s="43"/>
      <c r="C53" s="44"/>
      <c r="D53" s="44"/>
      <c r="E53" s="45"/>
      <c r="F53" s="45"/>
      <c r="G53" s="49"/>
      <c r="H53" s="45"/>
      <c r="I53" s="49"/>
      <c r="J53" s="45"/>
      <c r="K53" s="45"/>
      <c r="L53" s="45"/>
      <c r="M53" s="45"/>
    </row>
    <row r="54" spans="1:13" s="48" customFormat="1" ht="11.25" customHeight="1" x14ac:dyDescent="0.15">
      <c r="A54" s="42"/>
      <c r="B54" s="43"/>
      <c r="C54" s="44"/>
      <c r="D54" s="44"/>
      <c r="E54" s="45"/>
      <c r="F54" s="45"/>
      <c r="G54" s="49"/>
      <c r="H54" s="45"/>
      <c r="I54" s="49"/>
      <c r="J54" s="45"/>
      <c r="K54" s="45"/>
      <c r="L54" s="45"/>
      <c r="M54" s="45"/>
    </row>
    <row r="57" spans="1:13" x14ac:dyDescent="0.25">
      <c r="B57" s="51"/>
    </row>
    <row r="58" spans="1:13" x14ac:dyDescent="0.25">
      <c r="E58" s="52"/>
    </row>
  </sheetData>
  <sheetProtection algorithmName="SHA-512" hashValue="OxSfBqo8dsLrHYOmxTw6N7i2Ign8Jjn75Pv61/O1emXaEkfI3kzIua49Xb/G1cPoK0LU+BjwCQBCntfuNTjG7A==" saltValue="bZW4TV3ARenHVUlfVLpUlA==" spinCount="100000" sheet="1" objects="1" scenarios="1"/>
  <mergeCells count="1">
    <mergeCell ref="A44:B44"/>
  </mergeCells>
  <phoneticPr fontId="3" type="noConversion"/>
  <pageMargins left="1" right="1" top="1" bottom="1" header="0.5" footer="0.5"/>
  <pageSetup scale="90" orientation="portrait" r:id="rId1"/>
  <headerFooter>
    <oddHeader xml:space="preserve">&amp;L&amp;"Segoe UI,Bold"2022 Material Recovery and Waste Generation Rates Report&amp;R&amp;"Times New Roman,Bold"&amp;14 </oddHeader>
    <oddFooter>&amp;L&amp;"Segoe UI,Regular"&amp;9Oregon Department of Environmental Quality&amp;C
&amp;R&amp;"Segoe UI,Regular"&amp;9 2022 Material Recovery and Waste Generation Rates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E49"/>
  <sheetViews>
    <sheetView zoomScaleNormal="100" workbookViewId="0">
      <pane xSplit="1" ySplit="4" topLeftCell="B5" activePane="bottomRight" state="frozen"/>
      <selection activeCell="Q1" sqref="Q1"/>
      <selection pane="topRight" activeCell="Q1" sqref="Q1"/>
      <selection pane="bottomLeft" activeCell="Q1" sqref="Q1"/>
      <selection pane="bottomRight"/>
    </sheetView>
  </sheetViews>
  <sheetFormatPr defaultRowHeight="14.25" x14ac:dyDescent="0.25"/>
  <cols>
    <col min="1" max="2" width="18.7109375" style="16" customWidth="1"/>
    <col min="3" max="3" width="18.7109375" style="13" customWidth="1"/>
    <col min="4" max="4" width="20.7109375" style="16" bestFit="1" customWidth="1"/>
    <col min="5" max="5" width="2.7109375" style="16" customWidth="1"/>
    <col min="6" max="9" width="9.140625" style="16"/>
    <col min="10" max="10" width="8.85546875" style="16"/>
    <col min="11" max="16384" width="9.140625" style="16"/>
  </cols>
  <sheetData>
    <row r="1" spans="1:5" s="7" customFormat="1" ht="20.25" x14ac:dyDescent="0.35">
      <c r="A1" s="1" t="s">
        <v>151</v>
      </c>
      <c r="B1" s="3"/>
      <c r="C1" s="3"/>
      <c r="D1" s="3"/>
    </row>
    <row r="2" spans="1:5" x14ac:dyDescent="0.25">
      <c r="A2" s="11"/>
      <c r="B2" s="13"/>
      <c r="D2" s="13"/>
    </row>
    <row r="3" spans="1:5" s="53" customFormat="1" ht="17.25" x14ac:dyDescent="0.3">
      <c r="B3" s="54" t="s">
        <v>152</v>
      </c>
      <c r="C3" s="54" t="s">
        <v>153</v>
      </c>
      <c r="D3" s="55" t="s">
        <v>154</v>
      </c>
    </row>
    <row r="4" spans="1:5" s="56" customFormat="1" ht="17.25" x14ac:dyDescent="0.3">
      <c r="A4" s="56" t="s">
        <v>1</v>
      </c>
      <c r="B4" s="54" t="s">
        <v>3</v>
      </c>
      <c r="C4" s="54" t="s">
        <v>42</v>
      </c>
      <c r="D4" s="54" t="s">
        <v>43</v>
      </c>
    </row>
    <row r="6" spans="1:5" x14ac:dyDescent="0.25">
      <c r="A6" s="16" t="s">
        <v>6</v>
      </c>
      <c r="B6" s="13">
        <v>3187.357</v>
      </c>
      <c r="C6" s="13">
        <f>B6*2000/D6</f>
        <v>371.74396314640694</v>
      </c>
      <c r="D6" s="57">
        <v>17148.130519847593</v>
      </c>
      <c r="E6" s="13"/>
    </row>
    <row r="7" spans="1:5" x14ac:dyDescent="0.25">
      <c r="A7" s="16" t="s">
        <v>7</v>
      </c>
      <c r="B7" s="13">
        <v>32968.417999999998</v>
      </c>
      <c r="C7" s="13">
        <f t="shared" ref="C7:C40" si="0">B7*2000/D7</f>
        <v>763.38312896815421</v>
      </c>
      <c r="D7" s="57">
        <v>86374.499904294658</v>
      </c>
      <c r="E7" s="13"/>
    </row>
    <row r="8" spans="1:5" x14ac:dyDescent="0.25">
      <c r="A8" s="16" t="s">
        <v>8</v>
      </c>
      <c r="B8" s="13">
        <v>20091.323</v>
      </c>
      <c r="C8" s="13">
        <f t="shared" si="0"/>
        <v>957.38148548040522</v>
      </c>
      <c r="D8" s="57">
        <v>41971.404930435558</v>
      </c>
      <c r="E8" s="13"/>
    </row>
    <row r="9" spans="1:5" x14ac:dyDescent="0.25">
      <c r="A9" s="16" t="s">
        <v>9</v>
      </c>
      <c r="B9" s="13">
        <v>9341.3410000000003</v>
      </c>
      <c r="C9" s="13">
        <f t="shared" si="0"/>
        <v>351.47157717440888</v>
      </c>
      <c r="D9" s="57">
        <v>53155.598384927704</v>
      </c>
      <c r="E9" s="13"/>
    </row>
    <row r="10" spans="1:5" x14ac:dyDescent="0.25">
      <c r="A10" s="16" t="s">
        <v>10</v>
      </c>
      <c r="B10" s="13">
        <v>18081.96</v>
      </c>
      <c r="C10" s="13">
        <f t="shared" si="0"/>
        <v>555.41421833739093</v>
      </c>
      <c r="D10" s="57">
        <v>65111.620851650448</v>
      </c>
      <c r="E10" s="13"/>
    </row>
    <row r="11" spans="1:5" x14ac:dyDescent="0.25">
      <c r="A11" s="16" t="s">
        <v>11</v>
      </c>
      <c r="B11" s="13">
        <v>11310.914000000001</v>
      </c>
      <c r="C11" s="13">
        <f t="shared" si="0"/>
        <v>864.68995943356788</v>
      </c>
      <c r="D11" s="57">
        <v>26161.779436896519</v>
      </c>
      <c r="E11" s="13"/>
    </row>
    <row r="12" spans="1:5" x14ac:dyDescent="0.25">
      <c r="A12" s="16" t="s">
        <v>12</v>
      </c>
      <c r="B12" s="13">
        <v>5936.1959999999999</v>
      </c>
      <c r="C12" s="13">
        <f t="shared" si="0"/>
        <v>496.80570040177088</v>
      </c>
      <c r="D12" s="57">
        <v>23897.455263493754</v>
      </c>
      <c r="E12" s="13"/>
    </row>
    <row r="13" spans="1:5" x14ac:dyDescent="0.25">
      <c r="A13" s="16" t="s">
        <v>13</v>
      </c>
      <c r="B13" s="13">
        <v>84413.03</v>
      </c>
      <c r="C13" s="13">
        <f t="shared" si="0"/>
        <v>813.38169268222384</v>
      </c>
      <c r="D13" s="57">
        <v>207560.68340224845</v>
      </c>
      <c r="E13" s="13"/>
    </row>
    <row r="14" spans="1:5" x14ac:dyDescent="0.25">
      <c r="A14" s="16" t="s">
        <v>14</v>
      </c>
      <c r="B14" s="13">
        <v>25416.13</v>
      </c>
      <c r="C14" s="13">
        <f t="shared" si="0"/>
        <v>455.01492556220722</v>
      </c>
      <c r="D14" s="57">
        <v>111715.5880923965</v>
      </c>
      <c r="E14" s="13"/>
    </row>
    <row r="15" spans="1:5" x14ac:dyDescent="0.25">
      <c r="A15" s="16" t="s">
        <v>15</v>
      </c>
      <c r="B15" s="13">
        <v>763.22500000000002</v>
      </c>
      <c r="C15" s="13">
        <f t="shared" si="0"/>
        <v>736.97323918379209</v>
      </c>
      <c r="D15" s="57">
        <v>2071.242100582328</v>
      </c>
      <c r="E15" s="13"/>
    </row>
    <row r="16" spans="1:5" x14ac:dyDescent="0.25">
      <c r="A16" s="16" t="s">
        <v>16</v>
      </c>
      <c r="B16" s="13">
        <v>978.76300000000003</v>
      </c>
      <c r="C16" s="13">
        <f t="shared" si="0"/>
        <v>266.79176383954768</v>
      </c>
      <c r="D16" s="57">
        <v>7337.2804760842755</v>
      </c>
      <c r="E16" s="13"/>
    </row>
    <row r="17" spans="1:5" x14ac:dyDescent="0.25">
      <c r="A17" s="16" t="s">
        <v>17</v>
      </c>
      <c r="B17" s="13">
        <v>1010.271</v>
      </c>
      <c r="C17" s="13">
        <f t="shared" si="0"/>
        <v>264.48085283299167</v>
      </c>
      <c r="D17" s="57">
        <v>7639.6532238796344</v>
      </c>
      <c r="E17" s="13"/>
    </row>
    <row r="18" spans="1:5" x14ac:dyDescent="0.25">
      <c r="A18" s="16" t="s">
        <v>18</v>
      </c>
      <c r="B18" s="13">
        <v>9033.1090000000004</v>
      </c>
      <c r="C18" s="13">
        <f t="shared" si="0"/>
        <v>756.10494417836264</v>
      </c>
      <c r="D18" s="57">
        <v>23893.796937979339</v>
      </c>
      <c r="E18" s="13"/>
    </row>
    <row r="19" spans="1:5" x14ac:dyDescent="0.25">
      <c r="A19" s="16" t="s">
        <v>19</v>
      </c>
      <c r="B19" s="13">
        <v>111201.363</v>
      </c>
      <c r="C19" s="13">
        <f t="shared" si="0"/>
        <v>992.81169436669029</v>
      </c>
      <c r="D19" s="57">
        <v>224012.99990918179</v>
      </c>
      <c r="E19" s="13"/>
    </row>
    <row r="20" spans="1:5" x14ac:dyDescent="0.25">
      <c r="A20" s="16" t="s">
        <v>20</v>
      </c>
      <c r="B20" s="13">
        <v>6625.1379999999999</v>
      </c>
      <c r="C20" s="13">
        <f t="shared" si="0"/>
        <v>521.58608568616557</v>
      </c>
      <c r="D20" s="57">
        <v>25403.814180680791</v>
      </c>
      <c r="E20" s="13"/>
    </row>
    <row r="21" spans="1:5" x14ac:dyDescent="0.25">
      <c r="A21" s="16" t="s">
        <v>21</v>
      </c>
      <c r="B21" s="13">
        <v>34186.535000000003</v>
      </c>
      <c r="C21" s="13">
        <f t="shared" si="0"/>
        <v>770.88119550374711</v>
      </c>
      <c r="D21" s="57">
        <v>88694.691735631597</v>
      </c>
      <c r="E21" s="13"/>
    </row>
    <row r="22" spans="1:5" x14ac:dyDescent="0.25">
      <c r="A22" s="16" t="s">
        <v>22</v>
      </c>
      <c r="B22" s="13">
        <v>20070.82</v>
      </c>
      <c r="C22" s="13">
        <f t="shared" si="0"/>
        <v>566.59109109819701</v>
      </c>
      <c r="D22" s="57">
        <v>70847.637089025418</v>
      </c>
      <c r="E22" s="13"/>
    </row>
    <row r="23" spans="1:5" x14ac:dyDescent="0.25">
      <c r="A23" s="16" t="s">
        <v>23</v>
      </c>
      <c r="B23" s="13">
        <v>629.572</v>
      </c>
      <c r="C23" s="13">
        <f t="shared" si="0"/>
        <v>152.69724890550111</v>
      </c>
      <c r="D23" s="57">
        <v>8246.0162774722903</v>
      </c>
      <c r="E23" s="13"/>
    </row>
    <row r="24" spans="1:5" x14ac:dyDescent="0.25">
      <c r="A24" s="16" t="s">
        <v>24</v>
      </c>
      <c r="B24" s="13">
        <v>319447.43099999998</v>
      </c>
      <c r="C24" s="13">
        <f t="shared" si="0"/>
        <v>1663.9703676035299</v>
      </c>
      <c r="D24" s="57">
        <v>383958.07668146404</v>
      </c>
      <c r="E24" s="13"/>
    </row>
    <row r="25" spans="1:5" x14ac:dyDescent="0.25">
      <c r="A25" s="16" t="s">
        <v>25</v>
      </c>
      <c r="B25" s="13">
        <v>20328.132000000001</v>
      </c>
      <c r="C25" s="13">
        <f t="shared" si="0"/>
        <v>795.7772367017734</v>
      </c>
      <c r="D25" s="57">
        <v>51090.006254145213</v>
      </c>
      <c r="E25" s="13"/>
    </row>
    <row r="26" spans="1:5" x14ac:dyDescent="0.25">
      <c r="A26" s="16" t="s">
        <v>26</v>
      </c>
      <c r="B26" s="13">
        <v>85953.39</v>
      </c>
      <c r="C26" s="13">
        <f t="shared" si="0"/>
        <v>1221.9900413746141</v>
      </c>
      <c r="D26" s="57">
        <v>140677.72582387202</v>
      </c>
      <c r="E26" s="13"/>
    </row>
    <row r="27" spans="1:5" x14ac:dyDescent="0.25">
      <c r="A27" s="16" t="s">
        <v>27</v>
      </c>
      <c r="B27" s="13">
        <v>6640.9089999999997</v>
      </c>
      <c r="C27" s="13">
        <f t="shared" si="0"/>
        <v>413.83245565407117</v>
      </c>
      <c r="D27" s="57">
        <v>32094.674592421223</v>
      </c>
      <c r="E27" s="13"/>
    </row>
    <row r="28" spans="1:5" x14ac:dyDescent="0.25">
      <c r="A28" s="16" t="s">
        <v>103</v>
      </c>
      <c r="B28" s="13">
        <v>291952.25199999998</v>
      </c>
      <c r="C28" s="13">
        <f t="shared" si="0"/>
        <v>1676.1913788495033</v>
      </c>
      <c r="D28" s="57">
        <v>348351.93126979197</v>
      </c>
      <c r="E28" s="13"/>
    </row>
    <row r="29" spans="1:5" x14ac:dyDescent="0.25">
      <c r="A29" s="16" t="s">
        <v>29</v>
      </c>
      <c r="B29" s="13">
        <v>1139009.9939999999</v>
      </c>
      <c r="C29" s="13">
        <f t="shared" si="0"/>
        <v>1231.4410401422967</v>
      </c>
      <c r="D29" s="57">
        <v>1849881.4914734105</v>
      </c>
      <c r="E29" s="13"/>
    </row>
    <row r="30" spans="1:5" x14ac:dyDescent="0.25">
      <c r="A30" s="16" t="s">
        <v>187</v>
      </c>
      <c r="B30" s="13">
        <v>1276.4269999999999</v>
      </c>
      <c r="C30" s="13">
        <f t="shared" si="0"/>
        <v>317.51520503476326</v>
      </c>
      <c r="D30" s="57">
        <v>8040.1</v>
      </c>
      <c r="E30" s="13"/>
    </row>
    <row r="31" spans="1:5" x14ac:dyDescent="0.25">
      <c r="A31" s="16" t="s">
        <v>30</v>
      </c>
      <c r="B31" s="13">
        <v>4921.6959999999999</v>
      </c>
      <c r="C31" s="13">
        <f t="shared" si="0"/>
        <v>799.28123666180352</v>
      </c>
      <c r="D31" s="57">
        <v>12315.304736929527</v>
      </c>
      <c r="E31" s="13"/>
    </row>
    <row r="32" spans="1:5" x14ac:dyDescent="0.25">
      <c r="A32" s="16" t="s">
        <v>31</v>
      </c>
      <c r="B32" s="13">
        <v>34934.953999999998</v>
      </c>
      <c r="C32" s="13">
        <f>B32*2000/D32</f>
        <v>779.17502181171858</v>
      </c>
      <c r="D32" s="57">
        <v>89671.647632569395</v>
      </c>
      <c r="E32" s="13"/>
    </row>
    <row r="33" spans="1:5" x14ac:dyDescent="0.25">
      <c r="A33" s="16" t="s">
        <v>32</v>
      </c>
      <c r="B33" s="13">
        <v>395.964</v>
      </c>
      <c r="C33" s="13">
        <f t="shared" si="0"/>
        <v>408.57256669971912</v>
      </c>
      <c r="D33" s="57">
        <v>1938.2799153571864</v>
      </c>
      <c r="E33" s="13"/>
    </row>
    <row r="34" spans="1:5" x14ac:dyDescent="0.25">
      <c r="A34" s="16" t="s">
        <v>33</v>
      </c>
      <c r="B34" s="13">
        <v>12237.826999999999</v>
      </c>
      <c r="C34" s="13">
        <f t="shared" si="0"/>
        <v>878.27607739881068</v>
      </c>
      <c r="D34" s="57">
        <v>27867.836355613279</v>
      </c>
      <c r="E34" s="13"/>
    </row>
    <row r="35" spans="1:5" x14ac:dyDescent="0.25">
      <c r="A35" s="16" t="s">
        <v>34</v>
      </c>
      <c r="B35" s="13">
        <v>24805.954000000002</v>
      </c>
      <c r="C35" s="13">
        <f>B35*2000/D35</f>
        <v>685.61761946023341</v>
      </c>
      <c r="D35" s="57">
        <v>72360.899999999994</v>
      </c>
      <c r="E35" s="13"/>
    </row>
    <row r="36" spans="1:5" x14ac:dyDescent="0.25">
      <c r="A36" s="16" t="s">
        <v>35</v>
      </c>
      <c r="B36" s="13">
        <v>7864.4430000000002</v>
      </c>
      <c r="C36" s="13">
        <f t="shared" si="0"/>
        <v>589.6861036891404</v>
      </c>
      <c r="D36" s="57">
        <v>26673.319757068002</v>
      </c>
      <c r="E36" s="13"/>
    </row>
    <row r="37" spans="1:5" x14ac:dyDescent="0.25">
      <c r="A37" s="16" t="s">
        <v>36</v>
      </c>
      <c r="B37" s="13">
        <v>1683.3869999999999</v>
      </c>
      <c r="C37" s="13">
        <f t="shared" si="0"/>
        <v>446.43665068991459</v>
      </c>
      <c r="D37" s="57">
        <v>7541.4372784964062</v>
      </c>
      <c r="E37" s="13"/>
    </row>
    <row r="38" spans="1:5" x14ac:dyDescent="0.25">
      <c r="A38" s="16" t="s">
        <v>37</v>
      </c>
      <c r="B38" s="13">
        <v>6923.8090000000002</v>
      </c>
      <c r="C38" s="13">
        <f t="shared" si="0"/>
        <v>516.81095265308272</v>
      </c>
      <c r="D38" s="57">
        <v>26794.35861200764</v>
      </c>
      <c r="E38" s="13"/>
    </row>
    <row r="39" spans="1:5" x14ac:dyDescent="0.25">
      <c r="A39" s="16" t="s">
        <v>38</v>
      </c>
      <c r="B39" s="13">
        <v>87.668999999999997</v>
      </c>
      <c r="C39" s="13">
        <f t="shared" si="0"/>
        <v>122.0773417471143</v>
      </c>
      <c r="D39" s="57">
        <v>1436.2861894815521</v>
      </c>
      <c r="E39" s="13"/>
    </row>
    <row r="40" spans="1:5" x14ac:dyDescent="0.25">
      <c r="A40" s="16" t="s">
        <v>39</v>
      </c>
      <c r="B40" s="13">
        <v>47099.97</v>
      </c>
      <c r="C40" s="13">
        <f t="shared" si="0"/>
        <v>857.03503177521839</v>
      </c>
      <c r="D40" s="57">
        <v>109913.7567397672</v>
      </c>
      <c r="E40" s="13"/>
    </row>
    <row r="41" spans="1:5" x14ac:dyDescent="0.25">
      <c r="B41" s="13"/>
      <c r="D41" s="13"/>
    </row>
    <row r="42" spans="1:5" ht="6" customHeight="1" thickBot="1" x14ac:dyDescent="0.3">
      <c r="D42" s="13"/>
    </row>
    <row r="43" spans="1:5" ht="15.95" customHeight="1" thickBot="1" x14ac:dyDescent="0.3">
      <c r="A43" s="58" t="s">
        <v>41</v>
      </c>
      <c r="B43" s="59">
        <f>SUM(B6:B41)</f>
        <v>2400809.6730000004</v>
      </c>
      <c r="C43" s="59">
        <f>B43*2000/D43</f>
        <v>1121.3886977410607</v>
      </c>
      <c r="D43" s="59">
        <f>SUM(D6:D40)</f>
        <v>4281851.0260291034</v>
      </c>
      <c r="E43" s="13"/>
    </row>
    <row r="45" spans="1:5" ht="2.25" customHeight="1" x14ac:dyDescent="0.25"/>
    <row r="46" spans="1:5" x14ac:dyDescent="0.25">
      <c r="A46" s="457" t="s">
        <v>186</v>
      </c>
      <c r="B46" s="457"/>
      <c r="C46" s="457"/>
      <c r="D46" s="457"/>
    </row>
    <row r="47" spans="1:5" ht="39" customHeight="1" x14ac:dyDescent="0.25">
      <c r="A47" s="457"/>
      <c r="B47" s="457"/>
      <c r="C47" s="457"/>
      <c r="D47" s="457"/>
    </row>
    <row r="48" spans="1:5" ht="8.25" customHeight="1" x14ac:dyDescent="0.25">
      <c r="A48" s="151" t="s">
        <v>109</v>
      </c>
      <c r="B48" s="151"/>
      <c r="C48" s="152"/>
      <c r="D48" s="151"/>
    </row>
    <row r="49" spans="1:4" ht="25.5" customHeight="1" x14ac:dyDescent="0.25">
      <c r="A49" s="458" t="s">
        <v>113</v>
      </c>
      <c r="B49" s="458"/>
      <c r="C49" s="458"/>
      <c r="D49" s="458"/>
    </row>
  </sheetData>
  <sheetProtection algorithmName="SHA-512" hashValue="jn7pGDlBFdJNOXu2+gNv8DjUxdUV+9YcYrfgPFqo0JvyG5mVq/57kQsqCpAhdEoh6c6eCw7cW9o0j4dd+VnFOQ==" saltValue="S1GRS9TfTz+OYDSMQum5QQ==" spinCount="100000" sheet="1" objects="1" scenarios="1"/>
  <mergeCells count="2">
    <mergeCell ref="A46:D47"/>
    <mergeCell ref="A49:D49"/>
  </mergeCells>
  <phoneticPr fontId="3" type="noConversion"/>
  <pageMargins left="1" right="1" top="1" bottom="1" header="0.5" footer="0.5"/>
  <pageSetup scale="83" orientation="portrait" r:id="rId1"/>
  <headerFooter>
    <oddHeader xml:space="preserve">&amp;L&amp;"Segoe UI,Bold"2022 Material Recovery and Waste Generation Rates Report&amp;R&amp;"Times New Roman,Bold"&amp;14 </oddHeader>
    <oddFooter>&amp;L&amp;"Segoe UI,Regular"&amp;9Oregon Department of Environmental Quality&amp;C
&amp;R&amp;"Segoe UI,Regular"&amp;9 2022 Material Recovery and Waste Generation Rates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B80-F25B-4398-82A5-9C75AC385650}">
  <sheetPr>
    <tabColor theme="7" tint="0.59999389629810485"/>
    <pageSetUpPr fitToPage="1"/>
  </sheetPr>
  <dimension ref="A1:E51"/>
  <sheetViews>
    <sheetView zoomScaleNormal="100" workbookViewId="0"/>
  </sheetViews>
  <sheetFormatPr defaultColWidth="8.85546875" defaultRowHeight="14.25" x14ac:dyDescent="0.25"/>
  <cols>
    <col min="1" max="1" width="21.140625" style="16" customWidth="1"/>
    <col min="2" max="2" width="18.7109375" style="16" customWidth="1"/>
    <col min="3" max="3" width="18.7109375" style="13" customWidth="1"/>
    <col min="4" max="4" width="20" style="16" bestFit="1" customWidth="1"/>
    <col min="5" max="5" width="29.7109375" style="16" customWidth="1"/>
    <col min="6" max="6" width="14.5703125" style="16" bestFit="1" customWidth="1"/>
    <col min="7" max="16384" width="8.85546875" style="16"/>
  </cols>
  <sheetData>
    <row r="1" spans="1:4" ht="20.25" x14ac:dyDescent="0.35">
      <c r="A1" s="1" t="s">
        <v>155</v>
      </c>
      <c r="B1" s="3"/>
      <c r="C1" s="3"/>
      <c r="D1" s="3"/>
    </row>
    <row r="2" spans="1:4" x14ac:dyDescent="0.25">
      <c r="A2" s="11"/>
      <c r="B2" s="13"/>
      <c r="D2" s="13"/>
    </row>
    <row r="3" spans="1:4" ht="17.25" x14ac:dyDescent="0.3">
      <c r="A3" s="53"/>
      <c r="B3" s="54" t="s">
        <v>152</v>
      </c>
      <c r="C3" s="54" t="s">
        <v>153</v>
      </c>
      <c r="D3" s="55" t="s">
        <v>154</v>
      </c>
    </row>
    <row r="4" spans="1:4" ht="17.25" x14ac:dyDescent="0.3">
      <c r="A4" s="56" t="s">
        <v>1</v>
      </c>
      <c r="B4" s="54" t="s">
        <v>2</v>
      </c>
      <c r="C4" s="54" t="s">
        <v>42</v>
      </c>
      <c r="D4" s="54" t="s">
        <v>43</v>
      </c>
    </row>
    <row r="6" spans="1:4" x14ac:dyDescent="0.25">
      <c r="A6" s="16" t="s">
        <v>6</v>
      </c>
      <c r="B6" s="60">
        <v>14070.922</v>
      </c>
      <c r="C6" s="13">
        <f>B6*2000/D6</f>
        <v>1641.1027410497056</v>
      </c>
      <c r="D6" s="57">
        <v>17148.130519847593</v>
      </c>
    </row>
    <row r="7" spans="1:4" x14ac:dyDescent="0.25">
      <c r="A7" s="16" t="s">
        <v>7</v>
      </c>
      <c r="B7" s="60">
        <v>71810.793000000005</v>
      </c>
      <c r="C7" s="13">
        <f t="shared" ref="C7:C38" si="0">B7*2000/D7</f>
        <v>1662.7776271832161</v>
      </c>
      <c r="D7" s="57">
        <v>86374.499904294658</v>
      </c>
    </row>
    <row r="8" spans="1:4" x14ac:dyDescent="0.25">
      <c r="A8" s="16" t="s">
        <v>8</v>
      </c>
      <c r="B8" s="60">
        <v>41703.248999999996</v>
      </c>
      <c r="C8" s="13">
        <f t="shared" si="0"/>
        <v>1987.2219702495061</v>
      </c>
      <c r="D8" s="57">
        <v>41971.404930435558</v>
      </c>
    </row>
    <row r="9" spans="1:4" x14ac:dyDescent="0.25">
      <c r="A9" s="16" t="s">
        <v>9</v>
      </c>
      <c r="B9" s="60">
        <v>32798.289000000012</v>
      </c>
      <c r="C9" s="13">
        <f t="shared" si="0"/>
        <v>1234.0483409664703</v>
      </c>
      <c r="D9" s="57">
        <v>53155.598384927704</v>
      </c>
    </row>
    <row r="10" spans="1:4" x14ac:dyDescent="0.25">
      <c r="A10" s="16" t="s">
        <v>10</v>
      </c>
      <c r="B10" s="60">
        <v>58990.633999999998</v>
      </c>
      <c r="C10" s="13">
        <f t="shared" si="0"/>
        <v>1811.9848109572811</v>
      </c>
      <c r="D10" s="57">
        <v>65111.620851650448</v>
      </c>
    </row>
    <row r="11" spans="1:4" x14ac:dyDescent="0.25">
      <c r="A11" s="16" t="s">
        <v>11</v>
      </c>
      <c r="B11" s="60">
        <v>27786.210999999999</v>
      </c>
      <c r="C11" s="13">
        <f t="shared" si="0"/>
        <v>2124.1835684015064</v>
      </c>
      <c r="D11" s="57">
        <v>26161.779436896519</v>
      </c>
    </row>
    <row r="12" spans="1:4" x14ac:dyDescent="0.25">
      <c r="A12" s="16" t="s">
        <v>12</v>
      </c>
      <c r="B12" s="60">
        <v>22099.442999999999</v>
      </c>
      <c r="C12" s="13">
        <f t="shared" si="0"/>
        <v>1849.5227007504491</v>
      </c>
      <c r="D12" s="57">
        <v>23897.455263493754</v>
      </c>
    </row>
    <row r="13" spans="1:4" x14ac:dyDescent="0.25">
      <c r="A13" s="16" t="s">
        <v>13</v>
      </c>
      <c r="B13" s="60">
        <v>225929.34400000001</v>
      </c>
      <c r="C13" s="13">
        <f t="shared" si="0"/>
        <v>2176.9955686853609</v>
      </c>
      <c r="D13" s="57">
        <v>207560.68340224845</v>
      </c>
    </row>
    <row r="14" spans="1:4" x14ac:dyDescent="0.25">
      <c r="A14" s="16" t="s">
        <v>14</v>
      </c>
      <c r="B14" s="60">
        <v>103451.27100000004</v>
      </c>
      <c r="C14" s="13">
        <f t="shared" si="0"/>
        <v>1852.0471989000978</v>
      </c>
      <c r="D14" s="57">
        <v>111715.5880923965</v>
      </c>
    </row>
    <row r="15" spans="1:4" x14ac:dyDescent="0.25">
      <c r="A15" s="16" t="s">
        <v>15</v>
      </c>
      <c r="B15" s="60">
        <v>2919.6609999999996</v>
      </c>
      <c r="C15" s="13">
        <f t="shared" si="0"/>
        <v>2819.2368233333409</v>
      </c>
      <c r="D15" s="57">
        <v>2071.242100582328</v>
      </c>
    </row>
    <row r="16" spans="1:4" x14ac:dyDescent="0.25">
      <c r="A16" s="16" t="s">
        <v>16</v>
      </c>
      <c r="B16" s="60">
        <v>4698.7029999999995</v>
      </c>
      <c r="C16" s="13">
        <f t="shared" si="0"/>
        <v>1280.775081534727</v>
      </c>
      <c r="D16" s="57">
        <v>7337.2804760842755</v>
      </c>
    </row>
    <row r="17" spans="1:5" x14ac:dyDescent="0.25">
      <c r="A17" s="16" t="s">
        <v>17</v>
      </c>
      <c r="B17" s="60">
        <v>4883.9439999999995</v>
      </c>
      <c r="C17" s="13">
        <f>B17*2000/D17</f>
        <v>1278.577405773869</v>
      </c>
      <c r="D17" s="57">
        <v>7639.6532238796344</v>
      </c>
    </row>
    <row r="18" spans="1:5" x14ac:dyDescent="0.25">
      <c r="A18" s="16" t="s">
        <v>18</v>
      </c>
      <c r="B18" s="60">
        <v>25932.391000000007</v>
      </c>
      <c r="C18" s="13">
        <f t="shared" si="0"/>
        <v>2170.6379331265102</v>
      </c>
      <c r="D18" s="57">
        <v>23893.796937979339</v>
      </c>
    </row>
    <row r="19" spans="1:5" x14ac:dyDescent="0.25">
      <c r="A19" s="16" t="s">
        <v>19</v>
      </c>
      <c r="B19" s="60">
        <v>229268.31299999997</v>
      </c>
      <c r="C19" s="13">
        <f t="shared" si="0"/>
        <v>2046.9197153107075</v>
      </c>
      <c r="D19" s="57">
        <v>224012.99990918179</v>
      </c>
    </row>
    <row r="20" spans="1:5" x14ac:dyDescent="0.25">
      <c r="A20" s="16" t="s">
        <v>20</v>
      </c>
      <c r="B20" s="60">
        <v>20838.063999999998</v>
      </c>
      <c r="C20" s="13">
        <f>B20*2000/D20</f>
        <v>1640.5460890079275</v>
      </c>
      <c r="D20" s="57">
        <v>25403.814180680791</v>
      </c>
      <c r="E20" s="13"/>
    </row>
    <row r="21" spans="1:5" x14ac:dyDescent="0.25">
      <c r="A21" s="16" t="s">
        <v>21</v>
      </c>
      <c r="B21" s="60">
        <v>85396.174000000014</v>
      </c>
      <c r="C21" s="13">
        <f t="shared" si="0"/>
        <v>1925.6208534900074</v>
      </c>
      <c r="D21" s="57">
        <v>88694.691735631597</v>
      </c>
    </row>
    <row r="22" spans="1:5" x14ac:dyDescent="0.25">
      <c r="A22" s="16" t="s">
        <v>22</v>
      </c>
      <c r="B22" s="60">
        <v>75473.462000000014</v>
      </c>
      <c r="C22" s="13">
        <f t="shared" si="0"/>
        <v>2130.5851571354992</v>
      </c>
      <c r="D22" s="57">
        <v>70847.637089025418</v>
      </c>
    </row>
    <row r="23" spans="1:5" x14ac:dyDescent="0.25">
      <c r="A23" s="16" t="s">
        <v>23</v>
      </c>
      <c r="B23" s="60">
        <v>5807.1220000000003</v>
      </c>
      <c r="C23" s="13">
        <f t="shared" si="0"/>
        <v>1408.4672657910635</v>
      </c>
      <c r="D23" s="57">
        <v>8246.0162774722903</v>
      </c>
    </row>
    <row r="24" spans="1:5" x14ac:dyDescent="0.25">
      <c r="A24" s="16" t="s">
        <v>24</v>
      </c>
      <c r="B24" s="60">
        <v>284398.56199999998</v>
      </c>
      <c r="C24" s="13">
        <f t="shared" si="0"/>
        <v>1481.404243182207</v>
      </c>
      <c r="D24" s="57">
        <v>383958.07668146404</v>
      </c>
    </row>
    <row r="25" spans="1:5" x14ac:dyDescent="0.25">
      <c r="A25" s="16" t="s">
        <v>25</v>
      </c>
      <c r="B25" s="60">
        <v>45509.275000000001</v>
      </c>
      <c r="C25" s="13">
        <f t="shared" si="0"/>
        <v>1781.5333501278474</v>
      </c>
      <c r="D25" s="57">
        <v>51090.006254145213</v>
      </c>
    </row>
    <row r="26" spans="1:5" x14ac:dyDescent="0.25">
      <c r="A26" s="16" t="s">
        <v>26</v>
      </c>
      <c r="B26" s="60">
        <v>108287.202</v>
      </c>
      <c r="C26" s="13">
        <f t="shared" si="0"/>
        <v>1539.5074289951938</v>
      </c>
      <c r="D26" s="57">
        <v>140677.72582387202</v>
      </c>
    </row>
    <row r="27" spans="1:5" x14ac:dyDescent="0.25">
      <c r="A27" s="16" t="s">
        <v>27</v>
      </c>
      <c r="B27" s="60">
        <v>24852.251000000007</v>
      </c>
      <c r="C27" s="13">
        <f t="shared" si="0"/>
        <v>1548.683781069933</v>
      </c>
      <c r="D27" s="57">
        <v>32094.674592421223</v>
      </c>
    </row>
    <row r="28" spans="1:5" x14ac:dyDescent="0.25">
      <c r="A28" s="16" t="s">
        <v>103</v>
      </c>
      <c r="B28" s="60">
        <v>333430.59400000004</v>
      </c>
      <c r="C28" s="13">
        <f t="shared" si="0"/>
        <v>1914.3318240527531</v>
      </c>
      <c r="D28" s="57">
        <v>348351.93126979197</v>
      </c>
    </row>
    <row r="29" spans="1:5" x14ac:dyDescent="0.25">
      <c r="A29" s="16" t="s">
        <v>29</v>
      </c>
      <c r="B29" s="60">
        <v>1457079.3590000002</v>
      </c>
      <c r="C29" s="13">
        <f>B29*2000/D29</f>
        <v>1575.321841659654</v>
      </c>
      <c r="D29" s="57">
        <v>1849881.4914734105</v>
      </c>
      <c r="E29" s="13"/>
    </row>
    <row r="30" spans="1:5" x14ac:dyDescent="0.25">
      <c r="A30" s="16" t="s">
        <v>187</v>
      </c>
      <c r="B30" s="60">
        <v>5395.0349999999999</v>
      </c>
      <c r="C30" s="13">
        <f t="shared" ref="C30:C35" si="1">B30*2000/D30</f>
        <v>1342.0318155246825</v>
      </c>
      <c r="D30" s="57">
        <v>8040.1</v>
      </c>
    </row>
    <row r="31" spans="1:5" x14ac:dyDescent="0.25">
      <c r="A31" s="16" t="s">
        <v>30</v>
      </c>
      <c r="B31" s="60">
        <v>23151.800000000003</v>
      </c>
      <c r="C31" s="13">
        <f t="shared" si="1"/>
        <v>3759.8420005922239</v>
      </c>
      <c r="D31" s="57">
        <v>12315.304736929527</v>
      </c>
    </row>
    <row r="32" spans="1:5" x14ac:dyDescent="0.25">
      <c r="A32" s="16" t="s">
        <v>31</v>
      </c>
      <c r="B32" s="60">
        <v>55725.474000000002</v>
      </c>
      <c r="C32" s="13">
        <f t="shared" si="1"/>
        <v>1242.8783338148478</v>
      </c>
      <c r="D32" s="57">
        <v>89671.647632569395</v>
      </c>
    </row>
    <row r="33" spans="1:4" x14ac:dyDescent="0.25">
      <c r="A33" s="16" t="s">
        <v>32</v>
      </c>
      <c r="B33" s="60">
        <v>1297.5640000000001</v>
      </c>
      <c r="C33" s="13">
        <f t="shared" si="1"/>
        <v>1338.8819537562867</v>
      </c>
      <c r="D33" s="57">
        <v>1938.2799153571864</v>
      </c>
    </row>
    <row r="34" spans="1:4" x14ac:dyDescent="0.25">
      <c r="A34" s="16" t="s">
        <v>33</v>
      </c>
      <c r="B34" s="60">
        <v>32496.035999999996</v>
      </c>
      <c r="C34" s="13">
        <f t="shared" si="1"/>
        <v>2332.1534966208083</v>
      </c>
      <c r="D34" s="57">
        <v>27867.836355613279</v>
      </c>
    </row>
    <row r="35" spans="1:4" x14ac:dyDescent="0.25">
      <c r="A35" s="16" t="s">
        <v>34</v>
      </c>
      <c r="B35" s="60">
        <v>96225.254999999976</v>
      </c>
      <c r="C35" s="13">
        <f t="shared" si="1"/>
        <v>2659.5925423813133</v>
      </c>
      <c r="D35" s="57">
        <v>72360.899999999994</v>
      </c>
    </row>
    <row r="36" spans="1:4" x14ac:dyDescent="0.25">
      <c r="A36" s="16" t="s">
        <v>35</v>
      </c>
      <c r="B36" s="60">
        <v>20956.054</v>
      </c>
      <c r="C36" s="13">
        <f t="shared" si="0"/>
        <v>1571.3120219650934</v>
      </c>
      <c r="D36" s="57">
        <v>26673.319757068002</v>
      </c>
    </row>
    <row r="37" spans="1:4" x14ac:dyDescent="0.25">
      <c r="A37" s="16" t="s">
        <v>36</v>
      </c>
      <c r="B37" s="60">
        <v>5092.6039999999994</v>
      </c>
      <c r="C37" s="13">
        <f t="shared" si="0"/>
        <v>1350.5658966417475</v>
      </c>
      <c r="D37" s="57">
        <v>7541.4372784964062</v>
      </c>
    </row>
    <row r="38" spans="1:4" x14ac:dyDescent="0.25">
      <c r="A38" s="16" t="s">
        <v>37</v>
      </c>
      <c r="B38" s="60">
        <v>22400.855000000003</v>
      </c>
      <c r="C38" s="13">
        <f t="shared" si="0"/>
        <v>1672.0575643830691</v>
      </c>
      <c r="D38" s="57">
        <v>26794.35861200764</v>
      </c>
    </row>
    <row r="39" spans="1:4" x14ac:dyDescent="0.25">
      <c r="A39" s="16" t="s">
        <v>38</v>
      </c>
      <c r="B39" s="60">
        <v>461.24000000000007</v>
      </c>
      <c r="C39" s="13">
        <f>B39*2000/D39</f>
        <v>642.26754163317707</v>
      </c>
      <c r="D39" s="57">
        <v>1436.2861894815521</v>
      </c>
    </row>
    <row r="40" spans="1:4" x14ac:dyDescent="0.25">
      <c r="A40" s="16" t="s">
        <v>39</v>
      </c>
      <c r="B40" s="60">
        <v>120328.704</v>
      </c>
      <c r="C40" s="13">
        <f>B40*2000/D40</f>
        <v>2189.5112599033682</v>
      </c>
      <c r="D40" s="57">
        <v>109913.7567397672</v>
      </c>
    </row>
    <row r="41" spans="1:4" x14ac:dyDescent="0.25">
      <c r="B41" s="61"/>
      <c r="D41" s="62"/>
    </row>
    <row r="42" spans="1:4" ht="6.75" customHeight="1" thickBot="1" x14ac:dyDescent="0.3">
      <c r="B42" s="13"/>
      <c r="D42" s="13"/>
    </row>
    <row r="43" spans="1:4" ht="15.95" customHeight="1" thickBot="1" x14ac:dyDescent="0.3">
      <c r="A43" s="58" t="s">
        <v>41</v>
      </c>
      <c r="B43" s="59">
        <f>SUM(B6:B41)</f>
        <v>3690945.8539999994</v>
      </c>
      <c r="C43" s="59">
        <f>B43*2000/D43</f>
        <v>1723.9954550324014</v>
      </c>
      <c r="D43" s="63">
        <f>SUM(D6:D40)</f>
        <v>4281851.0260291034</v>
      </c>
    </row>
    <row r="44" spans="1:4" x14ac:dyDescent="0.25">
      <c r="D44" s="37"/>
    </row>
    <row r="45" spans="1:4" ht="3.75" customHeight="1" x14ac:dyDescent="0.25"/>
    <row r="46" spans="1:4" ht="39" customHeight="1" x14ac:dyDescent="0.25">
      <c r="A46" s="457" t="s">
        <v>186</v>
      </c>
      <c r="B46" s="457"/>
      <c r="C46" s="457"/>
      <c r="D46" s="457"/>
    </row>
    <row r="47" spans="1:4" x14ac:dyDescent="0.25">
      <c r="A47" s="457"/>
      <c r="B47" s="457"/>
      <c r="C47" s="457"/>
      <c r="D47" s="457"/>
    </row>
    <row r="48" spans="1:4" ht="6.75" customHeight="1" x14ac:dyDescent="0.25">
      <c r="A48" s="151" t="s">
        <v>109</v>
      </c>
      <c r="B48" s="151"/>
      <c r="C48" s="152"/>
      <c r="D48" s="151"/>
    </row>
    <row r="49" spans="1:4" ht="25.5" customHeight="1" x14ac:dyDescent="0.25">
      <c r="A49" s="458" t="s">
        <v>114</v>
      </c>
      <c r="B49" s="458"/>
      <c r="C49" s="458"/>
      <c r="D49" s="458"/>
    </row>
    <row r="50" spans="1:4" ht="15" thickBot="1" x14ac:dyDescent="0.3"/>
    <row r="51" spans="1:4" ht="25.5" customHeight="1" x14ac:dyDescent="0.25">
      <c r="A51" s="455"/>
      <c r="B51" s="456"/>
    </row>
  </sheetData>
  <sheetProtection algorithmName="SHA-512" hashValue="VtGtKtG3grHLj+AHlabeLtLXzOMxlVuof9cEppkMaZOHU2ieuCWvSCN/9VwqkUssf9/Q+gwzBqlLWpwQZLLEHA==" saltValue="w66rRtYByPnZZHtYYaka8w==" spinCount="100000" sheet="1" objects="1" scenarios="1"/>
  <mergeCells count="3">
    <mergeCell ref="A46:D47"/>
    <mergeCell ref="A49:D49"/>
    <mergeCell ref="A51:B51"/>
  </mergeCells>
  <pageMargins left="1" right="1" top="1" bottom="1" header="0.5" footer="0.5"/>
  <pageSetup scale="83" orientation="portrait" r:id="rId1"/>
  <headerFooter>
    <oddHeader xml:space="preserve">&amp;L&amp;"Segoe UI,Bold"2022 Material Recovery and Waste Generation Rates Report&amp;R&amp;"Times New Roman,Bold"&amp;14 </oddHeader>
    <oddFooter>&amp;L&amp;"Segoe UI,Regular"&amp;9Oregon Department of Environmental Quality&amp;C
&amp;R&amp;"Segoe UI,Regular"&amp;9 2022 Material Recovery and Waste Generation Rates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AH46"/>
  <sheetViews>
    <sheetView zoomScaleNormal="100" workbookViewId="0">
      <pane xSplit="1" ySplit="5" topLeftCell="B12" activePane="bottomRight" state="frozen"/>
      <selection activeCell="Q1" sqref="Q1"/>
      <selection pane="topRight" activeCell="Q1" sqref="Q1"/>
      <selection pane="bottomLeft" activeCell="Q1" sqref="Q1"/>
      <selection pane="bottomRight"/>
    </sheetView>
  </sheetViews>
  <sheetFormatPr defaultRowHeight="14.25" x14ac:dyDescent="0.25"/>
  <cols>
    <col min="1" max="1" width="17.7109375" style="16" customWidth="1"/>
    <col min="2" max="32" width="8.7109375" style="16" customWidth="1"/>
    <col min="33" max="16384" width="9.140625" style="16"/>
  </cols>
  <sheetData>
    <row r="1" spans="1:34" ht="20.25" x14ac:dyDescent="0.35">
      <c r="A1" s="64" t="s">
        <v>162</v>
      </c>
    </row>
    <row r="2" spans="1:34" ht="15" thickBot="1" x14ac:dyDescent="0.3"/>
    <row r="3" spans="1:34" s="74" customFormat="1" ht="16.5" x14ac:dyDescent="0.3">
      <c r="A3" s="65"/>
      <c r="B3" s="66">
        <v>1992</v>
      </c>
      <c r="C3" s="67">
        <v>1993</v>
      </c>
      <c r="D3" s="67">
        <v>1994</v>
      </c>
      <c r="E3" s="67">
        <v>1995</v>
      </c>
      <c r="F3" s="67">
        <v>1996</v>
      </c>
      <c r="G3" s="67">
        <v>1997</v>
      </c>
      <c r="H3" s="67">
        <v>1998</v>
      </c>
      <c r="I3" s="67">
        <v>1999</v>
      </c>
      <c r="J3" s="67">
        <v>2000</v>
      </c>
      <c r="K3" s="68">
        <v>2001</v>
      </c>
      <c r="L3" s="69">
        <v>2002</v>
      </c>
      <c r="M3" s="69">
        <v>2003</v>
      </c>
      <c r="N3" s="69">
        <v>2004</v>
      </c>
      <c r="O3" s="69">
        <v>2005</v>
      </c>
      <c r="P3" s="69">
        <v>2006</v>
      </c>
      <c r="Q3" s="70">
        <v>2007</v>
      </c>
      <c r="R3" s="69">
        <v>2008</v>
      </c>
      <c r="S3" s="69">
        <v>2009</v>
      </c>
      <c r="T3" s="69">
        <v>2010</v>
      </c>
      <c r="U3" s="69">
        <v>2011</v>
      </c>
      <c r="V3" s="68">
        <v>2012</v>
      </c>
      <c r="W3" s="69">
        <v>2013</v>
      </c>
      <c r="X3" s="67">
        <v>2014</v>
      </c>
      <c r="Y3" s="69">
        <v>2015</v>
      </c>
      <c r="Z3" s="69">
        <v>2016</v>
      </c>
      <c r="AA3" s="69">
        <v>2017</v>
      </c>
      <c r="AB3" s="69">
        <v>2018</v>
      </c>
      <c r="AC3" s="71">
        <v>2019</v>
      </c>
      <c r="AD3" s="72">
        <v>2020</v>
      </c>
      <c r="AE3" s="72">
        <v>2021</v>
      </c>
      <c r="AF3" s="73">
        <v>2022</v>
      </c>
    </row>
    <row r="4" spans="1:34" s="74" customFormat="1" ht="16.5" x14ac:dyDescent="0.3">
      <c r="A4" s="75"/>
      <c r="B4" s="76"/>
      <c r="C4" s="77"/>
      <c r="D4" s="77"/>
      <c r="E4" s="77"/>
      <c r="F4" s="77"/>
      <c r="G4" s="77" t="s">
        <v>95</v>
      </c>
      <c r="H4" s="77" t="s">
        <v>95</v>
      </c>
      <c r="I4" s="77" t="s">
        <v>95</v>
      </c>
      <c r="J4" s="77" t="s">
        <v>95</v>
      </c>
      <c r="K4" s="78" t="s">
        <v>95</v>
      </c>
      <c r="L4" s="79" t="s">
        <v>95</v>
      </c>
      <c r="M4" s="79" t="s">
        <v>95</v>
      </c>
      <c r="N4" s="79" t="s">
        <v>95</v>
      </c>
      <c r="O4" s="79" t="s">
        <v>95</v>
      </c>
      <c r="P4" s="79" t="s">
        <v>95</v>
      </c>
      <c r="Q4" s="79" t="s">
        <v>95</v>
      </c>
      <c r="R4" s="79" t="s">
        <v>95</v>
      </c>
      <c r="S4" s="79" t="s">
        <v>95</v>
      </c>
      <c r="T4" s="79" t="s">
        <v>95</v>
      </c>
      <c r="U4" s="79" t="s">
        <v>95</v>
      </c>
      <c r="V4" s="78" t="s">
        <v>95</v>
      </c>
      <c r="W4" s="79" t="s">
        <v>95</v>
      </c>
      <c r="X4" s="77" t="s">
        <v>95</v>
      </c>
      <c r="Y4" s="79" t="s">
        <v>95</v>
      </c>
      <c r="Z4" s="79" t="s">
        <v>95</v>
      </c>
      <c r="AA4" s="79" t="s">
        <v>95</v>
      </c>
      <c r="AB4" s="79" t="s">
        <v>95</v>
      </c>
      <c r="AC4" s="80" t="s">
        <v>95</v>
      </c>
      <c r="AD4" s="81" t="s">
        <v>95</v>
      </c>
      <c r="AE4" s="81" t="s">
        <v>95</v>
      </c>
      <c r="AF4" s="82" t="s">
        <v>95</v>
      </c>
    </row>
    <row r="5" spans="1:34" s="74" customFormat="1" ht="17.25" thickBot="1" x14ac:dyDescent="0.35">
      <c r="A5" s="83" t="s">
        <v>1</v>
      </c>
      <c r="B5" s="84" t="s">
        <v>5</v>
      </c>
      <c r="C5" s="85" t="s">
        <v>5</v>
      </c>
      <c r="D5" s="85" t="s">
        <v>5</v>
      </c>
      <c r="E5" s="85" t="s">
        <v>5</v>
      </c>
      <c r="F5" s="85" t="s">
        <v>5</v>
      </c>
      <c r="G5" s="85" t="s">
        <v>91</v>
      </c>
      <c r="H5" s="85" t="s">
        <v>91</v>
      </c>
      <c r="I5" s="85" t="s">
        <v>91</v>
      </c>
      <c r="J5" s="85" t="s">
        <v>91</v>
      </c>
      <c r="K5" s="86" t="s">
        <v>91</v>
      </c>
      <c r="L5" s="87" t="s">
        <v>91</v>
      </c>
      <c r="M5" s="87" t="s">
        <v>91</v>
      </c>
      <c r="N5" s="87" t="s">
        <v>91</v>
      </c>
      <c r="O5" s="87" t="s">
        <v>91</v>
      </c>
      <c r="P5" s="87" t="s">
        <v>91</v>
      </c>
      <c r="Q5" s="87" t="s">
        <v>91</v>
      </c>
      <c r="R5" s="87" t="s">
        <v>91</v>
      </c>
      <c r="S5" s="87" t="s">
        <v>91</v>
      </c>
      <c r="T5" s="87" t="s">
        <v>91</v>
      </c>
      <c r="U5" s="88" t="s">
        <v>91</v>
      </c>
      <c r="V5" s="89" t="s">
        <v>91</v>
      </c>
      <c r="W5" s="88" t="s">
        <v>91</v>
      </c>
      <c r="X5" s="90" t="s">
        <v>91</v>
      </c>
      <c r="Y5" s="88" t="s">
        <v>91</v>
      </c>
      <c r="Z5" s="88" t="s">
        <v>91</v>
      </c>
      <c r="AA5" s="88" t="s">
        <v>91</v>
      </c>
      <c r="AB5" s="88" t="s">
        <v>91</v>
      </c>
      <c r="AC5" s="91" t="s">
        <v>91</v>
      </c>
      <c r="AD5" s="92" t="s">
        <v>91</v>
      </c>
      <c r="AE5" s="92" t="s">
        <v>91</v>
      </c>
      <c r="AF5" s="93" t="s">
        <v>91</v>
      </c>
    </row>
    <row r="6" spans="1:34" ht="15" thickTop="1" x14ac:dyDescent="0.25">
      <c r="A6" s="94"/>
      <c r="B6" s="95"/>
      <c r="C6" s="96"/>
      <c r="D6" s="97"/>
      <c r="E6" s="97"/>
      <c r="F6" s="97"/>
      <c r="G6" s="97"/>
      <c r="H6" s="97"/>
      <c r="I6" s="97"/>
      <c r="J6" s="97"/>
      <c r="K6" s="28"/>
      <c r="L6" s="98"/>
      <c r="M6" s="98"/>
      <c r="N6" s="98"/>
      <c r="O6" s="98"/>
      <c r="P6" s="99"/>
      <c r="Q6" s="28"/>
      <c r="R6" s="98"/>
      <c r="S6" s="99"/>
      <c r="T6" s="99"/>
      <c r="U6" s="99"/>
      <c r="V6" s="100"/>
      <c r="W6" s="99"/>
      <c r="X6" s="101"/>
      <c r="Y6" s="99"/>
      <c r="Z6" s="99"/>
      <c r="AA6" s="99"/>
      <c r="AB6" s="99"/>
      <c r="AC6" s="102"/>
      <c r="AD6" s="103"/>
      <c r="AE6" s="103"/>
      <c r="AF6" s="104"/>
    </row>
    <row r="7" spans="1:34" ht="15" customHeight="1" x14ac:dyDescent="0.25">
      <c r="A7" s="94" t="s">
        <v>6</v>
      </c>
      <c r="B7" s="105">
        <v>0.1</v>
      </c>
      <c r="C7" s="97">
        <v>0.14000000000000001</v>
      </c>
      <c r="D7" s="97">
        <v>0.17</v>
      </c>
      <c r="E7" s="97">
        <v>0.22</v>
      </c>
      <c r="F7" s="97">
        <v>0.25</v>
      </c>
      <c r="G7" s="97">
        <v>0.19</v>
      </c>
      <c r="H7" s="97">
        <v>0.19</v>
      </c>
      <c r="I7" s="97">
        <v>0.18</v>
      </c>
      <c r="J7" s="97">
        <v>0.18</v>
      </c>
      <c r="K7" s="28">
        <v>0.24</v>
      </c>
      <c r="L7" s="106">
        <v>0.2054927990743842</v>
      </c>
      <c r="M7" s="27">
        <v>0.21912893152211588</v>
      </c>
      <c r="N7" s="106">
        <v>0.19924729978110761</v>
      </c>
      <c r="O7" s="106">
        <v>0.22779993022449263</v>
      </c>
      <c r="P7" s="106">
        <v>0.16807100777185216</v>
      </c>
      <c r="Q7" s="106">
        <v>0.21878940561149407</v>
      </c>
      <c r="R7" s="107">
        <v>0.20599936861507712</v>
      </c>
      <c r="S7" s="106">
        <v>0.26309787937139678</v>
      </c>
      <c r="T7" s="106">
        <v>0.2169380015130998</v>
      </c>
      <c r="U7" s="106">
        <v>0.22418286771481385</v>
      </c>
      <c r="V7" s="27">
        <v>0.23174689953157168</v>
      </c>
      <c r="W7" s="106">
        <v>0.22718866805023286</v>
      </c>
      <c r="X7" s="108">
        <v>0.28424615424576249</v>
      </c>
      <c r="Y7" s="106">
        <v>0.26240297835357163</v>
      </c>
      <c r="Z7" s="106">
        <v>0.20016144781386319</v>
      </c>
      <c r="AA7" s="106">
        <v>0.17359365566316712</v>
      </c>
      <c r="AB7" s="106">
        <v>0.16354428666071913</v>
      </c>
      <c r="AC7" s="109">
        <v>0.16195409410958397</v>
      </c>
      <c r="AD7" s="110">
        <v>0.19542976061456141</v>
      </c>
      <c r="AE7" s="110">
        <v>0.19086805571263915</v>
      </c>
      <c r="AF7" s="111">
        <f>'Table 1'!E7</f>
        <v>0.18468568042039415</v>
      </c>
      <c r="AG7" s="28"/>
      <c r="AH7" s="112"/>
    </row>
    <row r="8" spans="1:34" ht="15" customHeight="1" x14ac:dyDescent="0.25">
      <c r="A8" s="94" t="s">
        <v>7</v>
      </c>
      <c r="B8" s="105">
        <v>0.27</v>
      </c>
      <c r="C8" s="97">
        <v>0.3</v>
      </c>
      <c r="D8" s="97">
        <v>0.36</v>
      </c>
      <c r="E8" s="97">
        <v>0.35</v>
      </c>
      <c r="F8" s="97">
        <v>0.37</v>
      </c>
      <c r="G8" s="97">
        <v>0.41</v>
      </c>
      <c r="H8" s="97">
        <v>0.41</v>
      </c>
      <c r="I8" s="97">
        <v>0.35</v>
      </c>
      <c r="J8" s="97">
        <v>0.35</v>
      </c>
      <c r="K8" s="28">
        <v>0.41</v>
      </c>
      <c r="L8" s="106">
        <v>0.41019401349727652</v>
      </c>
      <c r="M8" s="27">
        <v>0.38951430416251859</v>
      </c>
      <c r="N8" s="106">
        <v>0.42977257653486695</v>
      </c>
      <c r="O8" s="106">
        <v>0.39981923508457901</v>
      </c>
      <c r="P8" s="106">
        <v>0.3621021526210772</v>
      </c>
      <c r="Q8" s="106">
        <v>0.38856186324297337</v>
      </c>
      <c r="R8" s="107">
        <v>0.41137001233072912</v>
      </c>
      <c r="S8" s="106">
        <v>0.37918732665242189</v>
      </c>
      <c r="T8" s="106">
        <v>0.38352540860145978</v>
      </c>
      <c r="U8" s="106">
        <v>0.38327224000626536</v>
      </c>
      <c r="V8" s="27">
        <v>0.41420620546213732</v>
      </c>
      <c r="W8" s="106">
        <v>0.41492403729745514</v>
      </c>
      <c r="X8" s="108">
        <v>0.37314186587365294</v>
      </c>
      <c r="Y8" s="106">
        <v>0.35253412825791564</v>
      </c>
      <c r="Z8" s="106">
        <v>0.35463340303233665</v>
      </c>
      <c r="AA8" s="106">
        <v>0.34017681349094531</v>
      </c>
      <c r="AB8" s="106">
        <v>0.35100541484309888</v>
      </c>
      <c r="AC8" s="109">
        <v>0.35450741469598906</v>
      </c>
      <c r="AD8" s="110">
        <v>0.39297241332825311</v>
      </c>
      <c r="AE8" s="110">
        <v>0.34440398440154529</v>
      </c>
      <c r="AF8" s="111">
        <f>'Table 1'!E8</f>
        <v>0.31464655713049788</v>
      </c>
      <c r="AG8" s="28"/>
      <c r="AH8" s="112"/>
    </row>
    <row r="9" spans="1:34" ht="15" customHeight="1" x14ac:dyDescent="0.25">
      <c r="A9" s="94" t="s">
        <v>8</v>
      </c>
      <c r="B9" s="105">
        <v>0.19</v>
      </c>
      <c r="C9" s="97">
        <v>0.22</v>
      </c>
      <c r="D9" s="97">
        <v>0.2</v>
      </c>
      <c r="E9" s="97">
        <v>0.19</v>
      </c>
      <c r="F9" s="97">
        <v>0.2</v>
      </c>
      <c r="G9" s="97">
        <v>0.23</v>
      </c>
      <c r="H9" s="97">
        <v>0.22</v>
      </c>
      <c r="I9" s="97">
        <v>0.24</v>
      </c>
      <c r="J9" s="97">
        <v>0.25</v>
      </c>
      <c r="K9" s="28">
        <v>0.28000000000000003</v>
      </c>
      <c r="L9" s="106">
        <v>0.25201376051211805</v>
      </c>
      <c r="M9" s="27">
        <v>0.28670723325605241</v>
      </c>
      <c r="N9" s="106">
        <v>0.30558902055177761</v>
      </c>
      <c r="O9" s="106">
        <v>0.38864375735497303</v>
      </c>
      <c r="P9" s="106">
        <v>0.33927197164055789</v>
      </c>
      <c r="Q9" s="106">
        <v>0.34039775083530122</v>
      </c>
      <c r="R9" s="107">
        <v>0.3648556665288436</v>
      </c>
      <c r="S9" s="106">
        <v>0.35975593812625378</v>
      </c>
      <c r="T9" s="106">
        <v>0.35976075071829677</v>
      </c>
      <c r="U9" s="106">
        <v>0.38716578937592799</v>
      </c>
      <c r="V9" s="27">
        <v>0.39923445895397036</v>
      </c>
      <c r="W9" s="106">
        <v>0.44270848092187859</v>
      </c>
      <c r="X9" s="108">
        <v>0.37794243608104028</v>
      </c>
      <c r="Y9" s="106">
        <v>0.39465579320164068</v>
      </c>
      <c r="Z9" s="106">
        <v>0.37757698932059897</v>
      </c>
      <c r="AA9" s="106">
        <v>0.41786877055948873</v>
      </c>
      <c r="AB9" s="106">
        <v>0.41514575129327969</v>
      </c>
      <c r="AC9" s="109">
        <v>0.35881927964793325</v>
      </c>
      <c r="AD9" s="110">
        <v>0.36819646619773444</v>
      </c>
      <c r="AE9" s="110">
        <v>0.31185302576635343</v>
      </c>
      <c r="AF9" s="111">
        <f>'Table 1'!E9</f>
        <v>0.32513087071790059</v>
      </c>
      <c r="AG9" s="28"/>
      <c r="AH9" s="112"/>
    </row>
    <row r="10" spans="1:34" ht="15" customHeight="1" x14ac:dyDescent="0.25">
      <c r="A10" s="94" t="s">
        <v>9</v>
      </c>
      <c r="B10" s="105">
        <v>0.34</v>
      </c>
      <c r="C10" s="97">
        <v>0.28000000000000003</v>
      </c>
      <c r="D10" s="97">
        <v>0.22</v>
      </c>
      <c r="E10" s="97">
        <v>0.27</v>
      </c>
      <c r="F10" s="97">
        <v>0.22</v>
      </c>
      <c r="G10" s="97">
        <v>0.28000000000000003</v>
      </c>
      <c r="H10" s="97">
        <v>0.28999999999999998</v>
      </c>
      <c r="I10" s="97">
        <v>0.25</v>
      </c>
      <c r="J10" s="97">
        <v>0.31</v>
      </c>
      <c r="K10" s="28">
        <v>0.38</v>
      </c>
      <c r="L10" s="106">
        <v>0.33839328619482389</v>
      </c>
      <c r="M10" s="27">
        <v>0.37947777919970815</v>
      </c>
      <c r="N10" s="106">
        <v>0.30885813088201203</v>
      </c>
      <c r="O10" s="106">
        <v>0.31990789830141181</v>
      </c>
      <c r="P10" s="106">
        <v>0.30450316416254142</v>
      </c>
      <c r="Q10" s="106">
        <v>0.28452420190664374</v>
      </c>
      <c r="R10" s="107">
        <v>0.29894445347941007</v>
      </c>
      <c r="S10" s="106">
        <v>0.32116952100419238</v>
      </c>
      <c r="T10" s="106">
        <v>0.35803078682022305</v>
      </c>
      <c r="U10" s="106">
        <v>0.35325494564670024</v>
      </c>
      <c r="V10" s="27">
        <v>0.3333880275339634</v>
      </c>
      <c r="W10" s="106">
        <v>0.34674883625251163</v>
      </c>
      <c r="X10" s="108">
        <v>0.28559580902873682</v>
      </c>
      <c r="Y10" s="106">
        <v>0.30982946003597656</v>
      </c>
      <c r="Z10" s="106">
        <v>0.32473510374077963</v>
      </c>
      <c r="AA10" s="106">
        <v>0.23831929518278483</v>
      </c>
      <c r="AB10" s="106">
        <v>0.24396340414903794</v>
      </c>
      <c r="AC10" s="109">
        <v>0.25309173094398268</v>
      </c>
      <c r="AD10" s="110">
        <v>0.24442176506057056</v>
      </c>
      <c r="AE10" s="110">
        <v>0.24264970021189866</v>
      </c>
      <c r="AF10" s="111">
        <f>'Table 1'!E10</f>
        <v>0.22167591409796425</v>
      </c>
      <c r="AG10" s="28"/>
      <c r="AH10" s="112"/>
    </row>
    <row r="11" spans="1:34" ht="15" customHeight="1" x14ac:dyDescent="0.25">
      <c r="A11" s="113" t="s">
        <v>10</v>
      </c>
      <c r="B11" s="114">
        <v>0.21</v>
      </c>
      <c r="C11" s="115">
        <v>0.2</v>
      </c>
      <c r="D11" s="115">
        <v>0.23</v>
      </c>
      <c r="E11" s="115">
        <v>0.28000000000000003</v>
      </c>
      <c r="F11" s="115">
        <v>0.28999999999999998</v>
      </c>
      <c r="G11" s="115">
        <v>0.28000000000000003</v>
      </c>
      <c r="H11" s="115">
        <v>0.27</v>
      </c>
      <c r="I11" s="115">
        <v>0.22</v>
      </c>
      <c r="J11" s="115">
        <v>0.23</v>
      </c>
      <c r="K11" s="116">
        <v>0.23</v>
      </c>
      <c r="L11" s="117">
        <v>0.25520128622349053</v>
      </c>
      <c r="M11" s="118">
        <v>0.21064660336315885</v>
      </c>
      <c r="N11" s="117">
        <v>0.21158575940539667</v>
      </c>
      <c r="O11" s="117">
        <v>0.22944592683627024</v>
      </c>
      <c r="P11" s="117">
        <v>0.20805777611131007</v>
      </c>
      <c r="Q11" s="117">
        <v>0.19737250287547722</v>
      </c>
      <c r="R11" s="119">
        <v>0.22253222224380687</v>
      </c>
      <c r="S11" s="117">
        <v>0.23041464577782456</v>
      </c>
      <c r="T11" s="117">
        <v>0.35010334608187027</v>
      </c>
      <c r="U11" s="117">
        <v>0.47713410669475309</v>
      </c>
      <c r="V11" s="118">
        <v>0.43697555537915</v>
      </c>
      <c r="W11" s="117">
        <v>0.40255845048858963</v>
      </c>
      <c r="X11" s="120">
        <v>0.38282116282721379</v>
      </c>
      <c r="Y11" s="117">
        <v>0.23515187351975625</v>
      </c>
      <c r="Z11" s="117">
        <v>0.22519068756209396</v>
      </c>
      <c r="AA11" s="117">
        <v>0.22355238790373907</v>
      </c>
      <c r="AB11" s="117">
        <v>0.19760196201425942</v>
      </c>
      <c r="AC11" s="121">
        <v>0.2317067026460132</v>
      </c>
      <c r="AD11" s="122">
        <v>0.21121843983650812</v>
      </c>
      <c r="AE11" s="122">
        <v>0.21012241279869387</v>
      </c>
      <c r="AF11" s="123">
        <f>'Table 1'!E11</f>
        <v>0.23460946442259359</v>
      </c>
      <c r="AG11" s="28"/>
      <c r="AH11" s="112"/>
    </row>
    <row r="12" spans="1:34" ht="15" customHeight="1" x14ac:dyDescent="0.25">
      <c r="A12" s="94" t="s">
        <v>11</v>
      </c>
      <c r="B12" s="105">
        <v>0.16</v>
      </c>
      <c r="C12" s="97">
        <v>0.23</v>
      </c>
      <c r="D12" s="97">
        <v>0.19</v>
      </c>
      <c r="E12" s="97">
        <v>0.3</v>
      </c>
      <c r="F12" s="97">
        <v>0.23</v>
      </c>
      <c r="G12" s="97">
        <v>0.15</v>
      </c>
      <c r="H12" s="97">
        <v>0.14000000000000001</v>
      </c>
      <c r="I12" s="97">
        <v>0.23</v>
      </c>
      <c r="J12" s="97">
        <v>0.27</v>
      </c>
      <c r="K12" s="28">
        <v>0.37</v>
      </c>
      <c r="L12" s="106">
        <v>0.26751062530056285</v>
      </c>
      <c r="M12" s="27">
        <v>0.14355350518356547</v>
      </c>
      <c r="N12" s="106">
        <v>0.21438922174594566</v>
      </c>
      <c r="O12" s="106">
        <v>0.20538383077157371</v>
      </c>
      <c r="P12" s="106">
        <v>0.25597307209630676</v>
      </c>
      <c r="Q12" s="124">
        <v>0.25050054127843568</v>
      </c>
      <c r="R12" s="107">
        <v>0.33212773194066536</v>
      </c>
      <c r="S12" s="106">
        <v>0.31621723496245202</v>
      </c>
      <c r="T12" s="106">
        <v>0.33577687811802004</v>
      </c>
      <c r="U12" s="106">
        <v>0.31461581502033503</v>
      </c>
      <c r="V12" s="27">
        <v>0.34566991294522248</v>
      </c>
      <c r="W12" s="106">
        <v>0.30506043862685034</v>
      </c>
      <c r="X12" s="108">
        <v>0.26116859542684989</v>
      </c>
      <c r="Y12" s="106">
        <v>0.20873790316540081</v>
      </c>
      <c r="Z12" s="106">
        <v>0.206216646371229</v>
      </c>
      <c r="AA12" s="106">
        <v>0.23070418632042722</v>
      </c>
      <c r="AB12" s="106">
        <v>0.1965389764855402</v>
      </c>
      <c r="AC12" s="109">
        <v>0.22075304337461016</v>
      </c>
      <c r="AD12" s="110">
        <v>0.22153928882075549</v>
      </c>
      <c r="AE12" s="110">
        <v>0.22099401944907349</v>
      </c>
      <c r="AF12" s="111">
        <f>'Table 1'!E12</f>
        <v>0.28930296025602908</v>
      </c>
      <c r="AG12" s="28"/>
      <c r="AH12" s="112"/>
    </row>
    <row r="13" spans="1:34" ht="15" customHeight="1" x14ac:dyDescent="0.25">
      <c r="A13" s="94" t="s">
        <v>12</v>
      </c>
      <c r="B13" s="105">
        <v>0.21</v>
      </c>
      <c r="C13" s="97">
        <v>0.25</v>
      </c>
      <c r="D13" s="97">
        <v>0.27</v>
      </c>
      <c r="E13" s="97">
        <v>0.31</v>
      </c>
      <c r="F13" s="97">
        <v>0.35</v>
      </c>
      <c r="G13" s="97">
        <v>0.33</v>
      </c>
      <c r="H13" s="97">
        <v>0.28999999999999998</v>
      </c>
      <c r="I13" s="97">
        <v>0.27</v>
      </c>
      <c r="J13" s="97">
        <v>0.41</v>
      </c>
      <c r="K13" s="28">
        <v>0.39</v>
      </c>
      <c r="L13" s="106">
        <v>0.35958768759680265</v>
      </c>
      <c r="M13" s="27">
        <v>0.25129132217167416</v>
      </c>
      <c r="N13" s="106">
        <v>0.25196623188018891</v>
      </c>
      <c r="O13" s="106">
        <v>0.15021470791151822</v>
      </c>
      <c r="P13" s="106">
        <v>0.18113064052412503</v>
      </c>
      <c r="Q13" s="106">
        <v>0.23655687274088374</v>
      </c>
      <c r="R13" s="107">
        <v>0.20954749093538158</v>
      </c>
      <c r="S13" s="106">
        <v>0.1981130402572428</v>
      </c>
      <c r="T13" s="106">
        <v>0.20389145997910901</v>
      </c>
      <c r="U13" s="106">
        <v>0.27234238869735017</v>
      </c>
      <c r="V13" s="27">
        <v>0.25288147081589785</v>
      </c>
      <c r="W13" s="106">
        <v>0.22752237027695851</v>
      </c>
      <c r="X13" s="108">
        <v>0.26568860453564258</v>
      </c>
      <c r="Y13" s="106">
        <v>0.24076858462122255</v>
      </c>
      <c r="Z13" s="106">
        <v>0.26606562788581167</v>
      </c>
      <c r="AA13" s="106">
        <v>0.21413866072645793</v>
      </c>
      <c r="AB13" s="106">
        <v>0.24176410271185289</v>
      </c>
      <c r="AC13" s="109">
        <v>0.22895226039584382</v>
      </c>
      <c r="AD13" s="110">
        <v>0.24303193415701471</v>
      </c>
      <c r="AE13" s="110">
        <v>0.20341043754996097</v>
      </c>
      <c r="AF13" s="111">
        <f>'Table 1'!E13</f>
        <v>0.2117374959778873</v>
      </c>
      <c r="AG13" s="28"/>
      <c r="AH13" s="112"/>
    </row>
    <row r="14" spans="1:34" ht="15" customHeight="1" x14ac:dyDescent="0.25">
      <c r="A14" s="94" t="s">
        <v>13</v>
      </c>
      <c r="B14" s="105">
        <v>0.15</v>
      </c>
      <c r="C14" s="97">
        <v>0.18</v>
      </c>
      <c r="D14" s="97">
        <v>0.24</v>
      </c>
      <c r="E14" s="97">
        <v>0.22</v>
      </c>
      <c r="F14" s="97">
        <v>0.23</v>
      </c>
      <c r="G14" s="97">
        <v>0.25</v>
      </c>
      <c r="H14" s="97">
        <v>0.32</v>
      </c>
      <c r="I14" s="97">
        <v>0.25</v>
      </c>
      <c r="J14" s="97">
        <v>0.31</v>
      </c>
      <c r="K14" s="28">
        <v>0.28999999999999998</v>
      </c>
      <c r="L14" s="106">
        <v>0.2655332141776387</v>
      </c>
      <c r="M14" s="27">
        <v>0.2836566604069144</v>
      </c>
      <c r="N14" s="106">
        <v>0.2677535915377201</v>
      </c>
      <c r="O14" s="106">
        <v>0.28001818622999503</v>
      </c>
      <c r="P14" s="106">
        <v>0.26958711370761573</v>
      </c>
      <c r="Q14" s="106">
        <v>0.29788359070451331</v>
      </c>
      <c r="R14" s="107">
        <v>0.31099968762179558</v>
      </c>
      <c r="S14" s="106">
        <v>0.3911786968880358</v>
      </c>
      <c r="T14" s="106">
        <v>0.35050644810800524</v>
      </c>
      <c r="U14" s="106">
        <v>0.39280412861281627</v>
      </c>
      <c r="V14" s="27">
        <v>0.38812383681290924</v>
      </c>
      <c r="W14" s="106">
        <v>0.38226852151192237</v>
      </c>
      <c r="X14" s="108">
        <v>0.35780895363997622</v>
      </c>
      <c r="Y14" s="106">
        <v>0.36628661619096886</v>
      </c>
      <c r="Z14" s="106">
        <v>0.33038339361328189</v>
      </c>
      <c r="AA14" s="106">
        <v>0.31709088967579546</v>
      </c>
      <c r="AB14" s="106">
        <v>0.31612334730848374</v>
      </c>
      <c r="AC14" s="109">
        <v>0.31455244389881948</v>
      </c>
      <c r="AD14" s="110">
        <v>0.33224223214128795</v>
      </c>
      <c r="AE14" s="110">
        <v>0.28359639178829155</v>
      </c>
      <c r="AF14" s="111">
        <f>'Table 1'!E14</f>
        <v>0.27199969154067244</v>
      </c>
      <c r="AG14" s="28"/>
      <c r="AH14" s="112"/>
    </row>
    <row r="15" spans="1:34" ht="15" customHeight="1" x14ac:dyDescent="0.25">
      <c r="A15" s="94" t="s">
        <v>14</v>
      </c>
      <c r="B15" s="105">
        <v>0.26</v>
      </c>
      <c r="C15" s="97">
        <v>0.23</v>
      </c>
      <c r="D15" s="97">
        <v>0.23</v>
      </c>
      <c r="E15" s="97">
        <v>0.24</v>
      </c>
      <c r="F15" s="97">
        <v>0.26</v>
      </c>
      <c r="G15" s="97">
        <v>0.28999999999999998</v>
      </c>
      <c r="H15" s="97">
        <v>0.3</v>
      </c>
      <c r="I15" s="97">
        <v>0.26</v>
      </c>
      <c r="J15" s="97">
        <v>0.26</v>
      </c>
      <c r="K15" s="28">
        <v>0.3</v>
      </c>
      <c r="L15" s="106">
        <v>0.29015024432937059</v>
      </c>
      <c r="M15" s="27">
        <v>0.29060223313487782</v>
      </c>
      <c r="N15" s="106">
        <v>0.31187734651693294</v>
      </c>
      <c r="O15" s="106">
        <v>0.24645785617979646</v>
      </c>
      <c r="P15" s="106">
        <v>0.23681714612028618</v>
      </c>
      <c r="Q15" s="106">
        <v>0.25839857040336978</v>
      </c>
      <c r="R15" s="107">
        <v>0.34372935661916959</v>
      </c>
      <c r="S15" s="106">
        <v>0.28714091831205019</v>
      </c>
      <c r="T15" s="106">
        <v>0.3585506588732032</v>
      </c>
      <c r="U15" s="106">
        <v>0.4291437701537591</v>
      </c>
      <c r="V15" s="27">
        <v>0.40953177047891232</v>
      </c>
      <c r="W15" s="106">
        <v>0.37431058129398453</v>
      </c>
      <c r="X15" s="108">
        <v>0.3282284601948296</v>
      </c>
      <c r="Y15" s="106">
        <v>0.30284640528737133</v>
      </c>
      <c r="Z15" s="106">
        <v>0.26971331029818818</v>
      </c>
      <c r="AA15" s="106">
        <v>0.28563852154521552</v>
      </c>
      <c r="AB15" s="106">
        <v>0.28167595005569845</v>
      </c>
      <c r="AC15" s="109">
        <v>0.25827730738902094</v>
      </c>
      <c r="AD15" s="110">
        <v>0.30683663894630175</v>
      </c>
      <c r="AE15" s="110">
        <v>0.27828944796045418</v>
      </c>
      <c r="AF15" s="111">
        <f>'Table 1'!E15</f>
        <v>0.1972269930391472</v>
      </c>
      <c r="AG15" s="28"/>
      <c r="AH15" s="112"/>
    </row>
    <row r="16" spans="1:34" ht="15" customHeight="1" x14ac:dyDescent="0.25">
      <c r="A16" s="113" t="s">
        <v>15</v>
      </c>
      <c r="B16" s="114">
        <v>0.17</v>
      </c>
      <c r="C16" s="115">
        <v>0.06</v>
      </c>
      <c r="D16" s="115">
        <v>0.15</v>
      </c>
      <c r="E16" s="115">
        <v>0.2</v>
      </c>
      <c r="F16" s="115">
        <v>0.19</v>
      </c>
      <c r="G16" s="115">
        <v>0.21</v>
      </c>
      <c r="H16" s="115">
        <v>0.18</v>
      </c>
      <c r="I16" s="115">
        <v>0.15</v>
      </c>
      <c r="J16" s="115">
        <v>0.14000000000000001</v>
      </c>
      <c r="K16" s="116">
        <v>0.13</v>
      </c>
      <c r="L16" s="117">
        <v>0.19697453925641847</v>
      </c>
      <c r="M16" s="118">
        <v>0.10359168083786489</v>
      </c>
      <c r="N16" s="117">
        <v>0.11319369194387086</v>
      </c>
      <c r="O16" s="117">
        <v>6.6984095726910012E-2</v>
      </c>
      <c r="P16" s="106">
        <v>8.4802302778442348E-2</v>
      </c>
      <c r="Q16" s="117">
        <v>0.12919778925744149</v>
      </c>
      <c r="R16" s="119">
        <v>0.14411595228290214</v>
      </c>
      <c r="S16" s="117">
        <v>0.27012082505437113</v>
      </c>
      <c r="T16" s="106">
        <v>0.20906450904493384</v>
      </c>
      <c r="U16" s="106">
        <v>0.17971432562334419</v>
      </c>
      <c r="V16" s="27">
        <v>0.44202532256853838</v>
      </c>
      <c r="W16" s="106">
        <v>0.41792061708113121</v>
      </c>
      <c r="X16" s="108">
        <v>0.17606869468065431</v>
      </c>
      <c r="Y16" s="106">
        <v>0.35381103697832622</v>
      </c>
      <c r="Z16" s="106">
        <v>0.13728158500248361</v>
      </c>
      <c r="AA16" s="106">
        <v>0.14803970667293162</v>
      </c>
      <c r="AB16" s="106">
        <v>7.0863781476948259E-2</v>
      </c>
      <c r="AC16" s="109">
        <v>0.10367330826362962</v>
      </c>
      <c r="AD16" s="110">
        <v>0.1374790127749341</v>
      </c>
      <c r="AE16" s="110">
        <v>0.13197937899682469</v>
      </c>
      <c r="AF16" s="111">
        <f>'Table 1'!E16</f>
        <v>0.20723557557850014</v>
      </c>
      <c r="AG16" s="28"/>
      <c r="AH16" s="112"/>
    </row>
    <row r="17" spans="1:34" ht="15" customHeight="1" x14ac:dyDescent="0.25">
      <c r="A17" s="94" t="s">
        <v>16</v>
      </c>
      <c r="B17" s="105">
        <v>0.18</v>
      </c>
      <c r="C17" s="97">
        <v>0.14000000000000001</v>
      </c>
      <c r="D17" s="97">
        <v>0.16</v>
      </c>
      <c r="E17" s="97">
        <f>0.19</f>
        <v>0.19</v>
      </c>
      <c r="F17" s="97">
        <v>0.16</v>
      </c>
      <c r="G17" s="97">
        <v>0.15</v>
      </c>
      <c r="H17" s="97">
        <v>0.16</v>
      </c>
      <c r="I17" s="97">
        <v>0.18</v>
      </c>
      <c r="J17" s="97">
        <v>0.19</v>
      </c>
      <c r="K17" s="28">
        <v>0.19</v>
      </c>
      <c r="L17" s="106">
        <v>0.18048092679394842</v>
      </c>
      <c r="M17" s="27">
        <v>0.15656526293340828</v>
      </c>
      <c r="N17" s="106">
        <v>0.19313150828906708</v>
      </c>
      <c r="O17" s="106">
        <v>0.28232654515206729</v>
      </c>
      <c r="P17" s="124">
        <v>0.21222098990726004</v>
      </c>
      <c r="Q17" s="124">
        <v>0.24163351047850809</v>
      </c>
      <c r="R17" s="107">
        <v>0.25138767398946571</v>
      </c>
      <c r="S17" s="106">
        <v>0.22424376603666143</v>
      </c>
      <c r="T17" s="124">
        <v>0.22093379957053175</v>
      </c>
      <c r="U17" s="124">
        <v>0.2502965776481883</v>
      </c>
      <c r="V17" s="125">
        <v>0.21546104010066669</v>
      </c>
      <c r="W17" s="124">
        <v>0.28830738274804096</v>
      </c>
      <c r="X17" s="126">
        <v>0.18353563072655441</v>
      </c>
      <c r="Y17" s="124">
        <v>0.24479051519139366</v>
      </c>
      <c r="Z17" s="124">
        <v>0.2735933305099309</v>
      </c>
      <c r="AA17" s="124">
        <v>0.17243341136296575</v>
      </c>
      <c r="AB17" s="124">
        <v>0.16270332086900019</v>
      </c>
      <c r="AC17" s="127">
        <v>0.16518577944423435</v>
      </c>
      <c r="AD17" s="128">
        <v>0.17401349641470443</v>
      </c>
      <c r="AE17" s="128">
        <v>0.17410654505351425</v>
      </c>
      <c r="AF17" s="129">
        <f>'Table 1'!E17</f>
        <v>0.17239433930559869</v>
      </c>
      <c r="AG17" s="28"/>
      <c r="AH17" s="112"/>
    </row>
    <row r="18" spans="1:34" ht="15" customHeight="1" x14ac:dyDescent="0.25">
      <c r="A18" s="94" t="s">
        <v>17</v>
      </c>
      <c r="B18" s="105">
        <v>0.18</v>
      </c>
      <c r="C18" s="97">
        <v>0.21</v>
      </c>
      <c r="D18" s="97">
        <v>0.2</v>
      </c>
      <c r="E18" s="97">
        <v>0.34</v>
      </c>
      <c r="F18" s="97">
        <v>0.24</v>
      </c>
      <c r="G18" s="97">
        <v>0.21</v>
      </c>
      <c r="H18" s="97">
        <v>0.34</v>
      </c>
      <c r="I18" s="97">
        <v>0.34</v>
      </c>
      <c r="J18" s="97">
        <v>0.2</v>
      </c>
      <c r="K18" s="28">
        <v>0.27</v>
      </c>
      <c r="L18" s="106">
        <v>0.27564247210730852</v>
      </c>
      <c r="M18" s="27">
        <v>0.27335315369860441</v>
      </c>
      <c r="N18" s="106">
        <v>0.21256708293133461</v>
      </c>
      <c r="O18" s="106">
        <v>0.26799141134801069</v>
      </c>
      <c r="P18" s="106">
        <v>0.27972562806441725</v>
      </c>
      <c r="Q18" s="106">
        <v>0.25166285060821308</v>
      </c>
      <c r="R18" s="107">
        <v>0.33813726071696587</v>
      </c>
      <c r="S18" s="106">
        <v>0.23587569209858283</v>
      </c>
      <c r="T18" s="106">
        <v>0.26243794479718885</v>
      </c>
      <c r="U18" s="106">
        <v>0.31064295252565027</v>
      </c>
      <c r="V18" s="27">
        <v>0.28413732794472446</v>
      </c>
      <c r="W18" s="106">
        <v>0.27283254101616272</v>
      </c>
      <c r="X18" s="108">
        <v>0.27553872395982648</v>
      </c>
      <c r="Y18" s="106">
        <v>0.21812008230255628</v>
      </c>
      <c r="Z18" s="106">
        <v>0.22262558387755371</v>
      </c>
      <c r="AA18" s="106">
        <v>0.23697611419943623</v>
      </c>
      <c r="AB18" s="106">
        <v>0.18739663246873367</v>
      </c>
      <c r="AC18" s="109">
        <v>0.15312798017085591</v>
      </c>
      <c r="AD18" s="110">
        <v>0.18315815305798863</v>
      </c>
      <c r="AE18" s="110">
        <v>0.19182241235914738</v>
      </c>
      <c r="AF18" s="111">
        <f>'Table 1'!E18</f>
        <v>0.17140043245792699</v>
      </c>
      <c r="AG18" s="28"/>
      <c r="AH18" s="112"/>
    </row>
    <row r="19" spans="1:34" ht="15" customHeight="1" x14ac:dyDescent="0.25">
      <c r="A19" s="94" t="s">
        <v>18</v>
      </c>
      <c r="B19" s="105">
        <v>0.16</v>
      </c>
      <c r="C19" s="97">
        <v>0.24</v>
      </c>
      <c r="D19" s="97">
        <v>0.26</v>
      </c>
      <c r="E19" s="97">
        <v>0.16</v>
      </c>
      <c r="F19" s="97">
        <v>0.17</v>
      </c>
      <c r="G19" s="97">
        <v>0.17</v>
      </c>
      <c r="H19" s="97">
        <v>0.17</v>
      </c>
      <c r="I19" s="97">
        <v>0.19</v>
      </c>
      <c r="J19" s="97">
        <v>0.18</v>
      </c>
      <c r="K19" s="28">
        <v>0.3</v>
      </c>
      <c r="L19" s="106">
        <v>0.33703009739876094</v>
      </c>
      <c r="M19" s="27">
        <v>0.35267008036021857</v>
      </c>
      <c r="N19" s="106">
        <v>0.37249725634003461</v>
      </c>
      <c r="O19" s="106">
        <v>0.36061001781926461</v>
      </c>
      <c r="P19" s="106">
        <v>0.33069677948477277</v>
      </c>
      <c r="Q19" s="106">
        <v>0.295258938302219</v>
      </c>
      <c r="R19" s="107">
        <v>0.28207328886564242</v>
      </c>
      <c r="S19" s="106">
        <v>0.29349062395566156</v>
      </c>
      <c r="T19" s="106">
        <v>0.26478090642430413</v>
      </c>
      <c r="U19" s="106">
        <v>0.34440139308794127</v>
      </c>
      <c r="V19" s="27">
        <v>0.31351401507380683</v>
      </c>
      <c r="W19" s="106">
        <v>0.3219008931998944</v>
      </c>
      <c r="X19" s="108">
        <v>0.28067156683431577</v>
      </c>
      <c r="Y19" s="106">
        <v>0.29491669870283366</v>
      </c>
      <c r="Z19" s="106">
        <v>0.2692227384472724</v>
      </c>
      <c r="AA19" s="106">
        <v>0.21937495649311367</v>
      </c>
      <c r="AB19" s="106">
        <v>0.23880197215348081</v>
      </c>
      <c r="AC19" s="109">
        <v>0.24428844647863782</v>
      </c>
      <c r="AD19" s="110">
        <v>0.24582724162922209</v>
      </c>
      <c r="AE19" s="110">
        <v>0.23425324852841681</v>
      </c>
      <c r="AF19" s="111">
        <f>'Table 1'!E19</f>
        <v>0.25834348143169694</v>
      </c>
      <c r="AG19" s="28"/>
      <c r="AH19" s="112"/>
    </row>
    <row r="20" spans="1:34" ht="15" customHeight="1" x14ac:dyDescent="0.25">
      <c r="A20" s="94" t="s">
        <v>19</v>
      </c>
      <c r="B20" s="105">
        <v>0.15</v>
      </c>
      <c r="C20" s="97">
        <v>0.19</v>
      </c>
      <c r="D20" s="97">
        <v>0.35</v>
      </c>
      <c r="E20" s="97">
        <v>0.33</v>
      </c>
      <c r="F20" s="97">
        <v>0.34</v>
      </c>
      <c r="G20" s="97">
        <v>0.34</v>
      </c>
      <c r="H20" s="97">
        <v>0.34</v>
      </c>
      <c r="I20" s="97">
        <v>0.28999999999999998</v>
      </c>
      <c r="J20" s="97">
        <v>0.28000000000000003</v>
      </c>
      <c r="K20" s="28">
        <v>0.32</v>
      </c>
      <c r="L20" s="106">
        <v>0.36393938425822392</v>
      </c>
      <c r="M20" s="27">
        <v>0.32179416694220725</v>
      </c>
      <c r="N20" s="106">
        <v>0.31257487052893879</v>
      </c>
      <c r="O20" s="106">
        <v>0.317010793601462</v>
      </c>
      <c r="P20" s="106">
        <v>0.33722023176352472</v>
      </c>
      <c r="Q20" s="106">
        <v>0.30407142636119755</v>
      </c>
      <c r="R20" s="107">
        <v>0.323478737613347</v>
      </c>
      <c r="S20" s="106">
        <v>0.35587723226934531</v>
      </c>
      <c r="T20" s="106">
        <v>0.41971824947489172</v>
      </c>
      <c r="U20" s="106">
        <v>0.4161804133221727</v>
      </c>
      <c r="V20" s="27">
        <v>0.43343790536755655</v>
      </c>
      <c r="W20" s="106">
        <v>0.43077887708637053</v>
      </c>
      <c r="X20" s="108">
        <v>0.40942161522681236</v>
      </c>
      <c r="Y20" s="106">
        <v>0.3723870159444736</v>
      </c>
      <c r="Z20" s="106">
        <v>0.38556596034723584</v>
      </c>
      <c r="AA20" s="106">
        <v>0.34954135090887589</v>
      </c>
      <c r="AB20" s="106">
        <v>0.33004461104153171</v>
      </c>
      <c r="AC20" s="109">
        <v>0.38263914997364645</v>
      </c>
      <c r="AD20" s="110">
        <v>0.34245984595199963</v>
      </c>
      <c r="AE20" s="110">
        <v>0.19125729740940944</v>
      </c>
      <c r="AF20" s="111">
        <f>'Table 1'!E20</f>
        <v>0.32661165101822459</v>
      </c>
      <c r="AG20" s="28"/>
      <c r="AH20" s="112"/>
    </row>
    <row r="21" spans="1:34" ht="15" customHeight="1" x14ac:dyDescent="0.25">
      <c r="A21" s="113" t="s">
        <v>20</v>
      </c>
      <c r="B21" s="114">
        <v>0.21</v>
      </c>
      <c r="C21" s="115">
        <v>0.16</v>
      </c>
      <c r="D21" s="115">
        <v>0.18</v>
      </c>
      <c r="E21" s="115">
        <v>0.22</v>
      </c>
      <c r="F21" s="115">
        <v>0.24</v>
      </c>
      <c r="G21" s="115">
        <v>0.33</v>
      </c>
      <c r="H21" s="115">
        <v>0.33</v>
      </c>
      <c r="I21" s="115">
        <v>0.21</v>
      </c>
      <c r="J21" s="115">
        <v>0.27</v>
      </c>
      <c r="K21" s="116">
        <v>0.27</v>
      </c>
      <c r="L21" s="117">
        <v>0.20673583529221043</v>
      </c>
      <c r="M21" s="118">
        <v>0.22892318576861129</v>
      </c>
      <c r="N21" s="117">
        <v>0.33991232318816589</v>
      </c>
      <c r="O21" s="117">
        <v>0.33111404697173813</v>
      </c>
      <c r="P21" s="117">
        <v>0.27682325489384813</v>
      </c>
      <c r="Q21" s="117">
        <v>0.36173179486641116</v>
      </c>
      <c r="R21" s="119">
        <v>0.33676711414522315</v>
      </c>
      <c r="S21" s="117">
        <v>0.30665405461409806</v>
      </c>
      <c r="T21" s="106">
        <v>0.41273971990911273</v>
      </c>
      <c r="U21" s="106">
        <v>0.47207703897734238</v>
      </c>
      <c r="V21" s="27">
        <v>0.44823662214549581</v>
      </c>
      <c r="W21" s="106">
        <v>0.41612519458188774</v>
      </c>
      <c r="X21" s="108">
        <v>0.33164594430940691</v>
      </c>
      <c r="Y21" s="106">
        <v>0.24611121569996658</v>
      </c>
      <c r="Z21" s="106">
        <v>0.31574657944323359</v>
      </c>
      <c r="AA21" s="106">
        <v>0.25893058654874807</v>
      </c>
      <c r="AB21" s="106">
        <v>0.22334093246100931</v>
      </c>
      <c r="AC21" s="109">
        <v>0.17121023311511824</v>
      </c>
      <c r="AD21" s="110">
        <v>0.19754275386008852</v>
      </c>
      <c r="AE21" s="110">
        <v>0.1999553207814786</v>
      </c>
      <c r="AF21" s="111">
        <f>'Table 1'!E21</f>
        <v>0.24123691039376985</v>
      </c>
      <c r="AG21" s="28"/>
      <c r="AH21" s="112"/>
    </row>
    <row r="22" spans="1:34" ht="15" customHeight="1" x14ac:dyDescent="0.25">
      <c r="A22" s="94" t="s">
        <v>21</v>
      </c>
      <c r="B22" s="105">
        <v>0.14000000000000001</v>
      </c>
      <c r="C22" s="97">
        <v>0.19</v>
      </c>
      <c r="D22" s="97">
        <v>0.27</v>
      </c>
      <c r="E22" s="97">
        <v>0.34</v>
      </c>
      <c r="F22" s="97">
        <v>0.38</v>
      </c>
      <c r="G22" s="97">
        <v>0.37</v>
      </c>
      <c r="H22" s="97">
        <v>0.41</v>
      </c>
      <c r="I22" s="97">
        <v>0.42</v>
      </c>
      <c r="J22" s="97">
        <v>0.33</v>
      </c>
      <c r="K22" s="28">
        <v>0.34</v>
      </c>
      <c r="L22" s="106">
        <v>0.36797099913655701</v>
      </c>
      <c r="M22" s="27">
        <v>0.34851621976960417</v>
      </c>
      <c r="N22" s="106">
        <v>0.37371902696352233</v>
      </c>
      <c r="O22" s="106">
        <v>0.36801106106740705</v>
      </c>
      <c r="P22" s="106">
        <v>0.38853594186471663</v>
      </c>
      <c r="Q22" s="124">
        <v>0.34334235572940219</v>
      </c>
      <c r="R22" s="107">
        <v>0.38913937877824434</v>
      </c>
      <c r="S22" s="106">
        <v>0.37562135462302093</v>
      </c>
      <c r="T22" s="124">
        <v>0.40107093614444678</v>
      </c>
      <c r="U22" s="124">
        <v>0.48982824554804183</v>
      </c>
      <c r="V22" s="125">
        <v>0.49873957496169669</v>
      </c>
      <c r="W22" s="124">
        <v>0.46021129186740201</v>
      </c>
      <c r="X22" s="126">
        <v>0.40329033459949326</v>
      </c>
      <c r="Y22" s="124">
        <v>0.3449903269473964</v>
      </c>
      <c r="Z22" s="124">
        <v>0.35394783253182255</v>
      </c>
      <c r="AA22" s="124">
        <v>0.35205795278410001</v>
      </c>
      <c r="AB22" s="124">
        <v>0.31687133582355748</v>
      </c>
      <c r="AC22" s="127">
        <v>0.28690589984202769</v>
      </c>
      <c r="AD22" s="128">
        <v>0.34838677288534881</v>
      </c>
      <c r="AE22" s="128">
        <v>0.31583584189837982</v>
      </c>
      <c r="AF22" s="129">
        <f>'Table 1'!E22</f>
        <v>0.28588192461838274</v>
      </c>
      <c r="AG22" s="28"/>
      <c r="AH22" s="112"/>
    </row>
    <row r="23" spans="1:34" ht="15" customHeight="1" x14ac:dyDescent="0.25">
      <c r="A23" s="94" t="s">
        <v>22</v>
      </c>
      <c r="B23" s="105">
        <v>0.13</v>
      </c>
      <c r="C23" s="97">
        <v>0.12</v>
      </c>
      <c r="D23" s="97">
        <v>0.17</v>
      </c>
      <c r="E23" s="97">
        <v>0.18</v>
      </c>
      <c r="F23" s="97">
        <v>0.15</v>
      </c>
      <c r="G23" s="97">
        <v>0.16</v>
      </c>
      <c r="H23" s="97">
        <v>0.17</v>
      </c>
      <c r="I23" s="97">
        <v>0.15</v>
      </c>
      <c r="J23" s="97">
        <v>0.18</v>
      </c>
      <c r="K23" s="28">
        <v>0.31</v>
      </c>
      <c r="L23" s="106">
        <v>0.30398988530660165</v>
      </c>
      <c r="M23" s="27">
        <v>0.23043596829542431</v>
      </c>
      <c r="N23" s="106">
        <v>0.31045131100861534</v>
      </c>
      <c r="O23" s="106">
        <v>0.37277636974296502</v>
      </c>
      <c r="P23" s="106">
        <v>0.33634433062158753</v>
      </c>
      <c r="Q23" s="106">
        <v>0.34800444413615728</v>
      </c>
      <c r="R23" s="107">
        <v>0.45388060657441581</v>
      </c>
      <c r="S23" s="106">
        <v>0.32857595952281443</v>
      </c>
      <c r="T23" s="106">
        <v>0.29177005531812916</v>
      </c>
      <c r="U23" s="106">
        <v>0.28106702773218889</v>
      </c>
      <c r="V23" s="27">
        <v>0.33135030695048601</v>
      </c>
      <c r="W23" s="106">
        <v>0.29854526936180131</v>
      </c>
      <c r="X23" s="108">
        <v>0.30854155521137638</v>
      </c>
      <c r="Y23" s="106">
        <v>0.22314781017445839</v>
      </c>
      <c r="Z23" s="106">
        <v>0.25595949723540223</v>
      </c>
      <c r="AA23" s="106">
        <v>0.23436462075423112</v>
      </c>
      <c r="AB23" s="106">
        <v>0.20530504267901609</v>
      </c>
      <c r="AC23" s="109">
        <v>0.20565558269725043</v>
      </c>
      <c r="AD23" s="110">
        <v>0.21878555735468461</v>
      </c>
      <c r="AE23" s="110">
        <v>0.19376491723251163</v>
      </c>
      <c r="AF23" s="111">
        <f>'Table 1'!E23</f>
        <v>0.21006824877285696</v>
      </c>
      <c r="AG23" s="28"/>
      <c r="AH23" s="112"/>
    </row>
    <row r="24" spans="1:34" ht="15" customHeight="1" x14ac:dyDescent="0.25">
      <c r="A24" s="94" t="s">
        <v>23</v>
      </c>
      <c r="B24" s="105">
        <v>0.06</v>
      </c>
      <c r="C24" s="97">
        <v>0.06</v>
      </c>
      <c r="D24" s="97">
        <v>0.09</v>
      </c>
      <c r="E24" s="97">
        <f>0.08</f>
        <v>0.08</v>
      </c>
      <c r="F24" s="97">
        <v>7.0000000000000007E-2</v>
      </c>
      <c r="G24" s="97">
        <v>0.06</v>
      </c>
      <c r="H24" s="97">
        <v>0.08</v>
      </c>
      <c r="I24" s="97">
        <v>0.11</v>
      </c>
      <c r="J24" s="97">
        <v>0.08</v>
      </c>
      <c r="K24" s="28">
        <v>0.11</v>
      </c>
      <c r="L24" s="106">
        <v>0.10790556878380124</v>
      </c>
      <c r="M24" s="27">
        <v>0.2509345068064095</v>
      </c>
      <c r="N24" s="106">
        <v>0.24984050058278634</v>
      </c>
      <c r="O24" s="106">
        <v>0.14677387896846517</v>
      </c>
      <c r="P24" s="106">
        <v>0.19391502759056561</v>
      </c>
      <c r="Q24" s="106">
        <v>0.21841677566661336</v>
      </c>
      <c r="R24" s="107">
        <v>0.34502064396635529</v>
      </c>
      <c r="S24" s="106">
        <v>0.25059591349108129</v>
      </c>
      <c r="T24" s="106">
        <v>0.27206980448081786</v>
      </c>
      <c r="U24" s="106">
        <v>0.28500100663534744</v>
      </c>
      <c r="V24" s="27">
        <v>0.26839005397597798</v>
      </c>
      <c r="W24" s="106">
        <v>0.26267362460257665</v>
      </c>
      <c r="X24" s="108">
        <v>0.16736435849490275</v>
      </c>
      <c r="Y24" s="106">
        <v>0.12498933260967332</v>
      </c>
      <c r="Z24" s="106">
        <v>0.1213759096785729</v>
      </c>
      <c r="AA24" s="106">
        <v>8.6137073289882363E-2</v>
      </c>
      <c r="AB24" s="106">
        <v>0.10680682826465768</v>
      </c>
      <c r="AC24" s="109">
        <v>6.3502599115794034E-2</v>
      </c>
      <c r="AD24" s="110">
        <v>6.6572532589665764E-2</v>
      </c>
      <c r="AE24" s="110">
        <v>8.9572003516568952E-2</v>
      </c>
      <c r="AF24" s="111">
        <f>'Table 1'!E24</f>
        <v>9.7809838404621999E-2</v>
      </c>
      <c r="AG24" s="28"/>
      <c r="AH24" s="112"/>
    </row>
    <row r="25" spans="1:34" ht="15" customHeight="1" x14ac:dyDescent="0.25">
      <c r="A25" s="94" t="s">
        <v>24</v>
      </c>
      <c r="B25" s="105">
        <v>0.19</v>
      </c>
      <c r="C25" s="97">
        <v>0.28000000000000003</v>
      </c>
      <c r="D25" s="97">
        <v>0.32</v>
      </c>
      <c r="E25" s="97">
        <v>0.32</v>
      </c>
      <c r="F25" s="97">
        <v>0.39</v>
      </c>
      <c r="G25" s="97">
        <v>0.39</v>
      </c>
      <c r="H25" s="97">
        <v>0.4</v>
      </c>
      <c r="I25" s="97">
        <v>0.41</v>
      </c>
      <c r="J25" s="97">
        <v>0.46</v>
      </c>
      <c r="K25" s="28">
        <v>0.46</v>
      </c>
      <c r="L25" s="106">
        <v>0.43900194451480351</v>
      </c>
      <c r="M25" s="27">
        <v>0.46013709348362608</v>
      </c>
      <c r="N25" s="106">
        <v>0.44953867007558096</v>
      </c>
      <c r="O25" s="106">
        <v>0.47699166921413705</v>
      </c>
      <c r="P25" s="106">
        <v>0.46910236879972655</v>
      </c>
      <c r="Q25" s="106">
        <v>0.46346765027047393</v>
      </c>
      <c r="R25" s="107">
        <v>0.46403206078731923</v>
      </c>
      <c r="S25" s="106">
        <v>0.46116043970355253</v>
      </c>
      <c r="T25" s="106">
        <v>0.51241122341811718</v>
      </c>
      <c r="U25" s="106">
        <v>0.55524036335173843</v>
      </c>
      <c r="V25" s="27">
        <v>0.54679276488282214</v>
      </c>
      <c r="W25" s="106">
        <v>0.50917841342722636</v>
      </c>
      <c r="X25" s="108">
        <v>0.53112314218879564</v>
      </c>
      <c r="Y25" s="106">
        <v>0.5039575168457473</v>
      </c>
      <c r="Z25" s="106">
        <v>0.50018403006730794</v>
      </c>
      <c r="AA25" s="106">
        <v>0.52387771794338978</v>
      </c>
      <c r="AB25" s="106">
        <v>0.53788019106084872</v>
      </c>
      <c r="AC25" s="109">
        <v>0.55057624607592426</v>
      </c>
      <c r="AD25" s="110">
        <v>0.53856942360311655</v>
      </c>
      <c r="AE25" s="110">
        <v>0.4968892079931107</v>
      </c>
      <c r="AF25" s="111">
        <f>'Table 1'!E25</f>
        <v>0.52902136422721935</v>
      </c>
      <c r="AG25" s="28"/>
      <c r="AH25" s="112"/>
    </row>
    <row r="26" spans="1:34" ht="15" customHeight="1" x14ac:dyDescent="0.25">
      <c r="A26" s="113" t="s">
        <v>25</v>
      </c>
      <c r="B26" s="114">
        <v>0.2</v>
      </c>
      <c r="C26" s="115">
        <v>0.2</v>
      </c>
      <c r="D26" s="115">
        <v>0.21</v>
      </c>
      <c r="E26" s="115">
        <v>0.19</v>
      </c>
      <c r="F26" s="115">
        <v>0.16</v>
      </c>
      <c r="G26" s="115">
        <v>0.19</v>
      </c>
      <c r="H26" s="115">
        <v>0.2</v>
      </c>
      <c r="I26" s="115">
        <v>0.19</v>
      </c>
      <c r="J26" s="115">
        <v>0.23</v>
      </c>
      <c r="K26" s="116">
        <v>0.28000000000000003</v>
      </c>
      <c r="L26" s="117">
        <v>0.27153515794299798</v>
      </c>
      <c r="M26" s="118">
        <v>0.28034787956281032</v>
      </c>
      <c r="N26" s="117">
        <v>0.29133019680652961</v>
      </c>
      <c r="O26" s="117">
        <v>0.33301494072856114</v>
      </c>
      <c r="P26" s="117">
        <v>0.26295393035744469</v>
      </c>
      <c r="Q26" s="117">
        <v>0.27590289094931669</v>
      </c>
      <c r="R26" s="119">
        <v>0.30845700625237621</v>
      </c>
      <c r="S26" s="117">
        <v>0.29423199915295078</v>
      </c>
      <c r="T26" s="106">
        <v>0.32576519251549479</v>
      </c>
      <c r="U26" s="106">
        <v>0.32371629425715354</v>
      </c>
      <c r="V26" s="27">
        <v>0.359462225512931</v>
      </c>
      <c r="W26" s="106">
        <v>0.29223405102772076</v>
      </c>
      <c r="X26" s="108">
        <v>0.32141329394505103</v>
      </c>
      <c r="Y26" s="106">
        <v>0.31210904529436645</v>
      </c>
      <c r="Z26" s="106">
        <v>0.26253824011555665</v>
      </c>
      <c r="AA26" s="106">
        <v>0.22569394024244541</v>
      </c>
      <c r="AB26" s="106">
        <v>0.24138886114160266</v>
      </c>
      <c r="AC26" s="109">
        <v>0.27200634106296157</v>
      </c>
      <c r="AD26" s="110">
        <v>0.25202481532211213</v>
      </c>
      <c r="AE26" s="110">
        <v>0.27968384274449815</v>
      </c>
      <c r="AF26" s="111">
        <f>'Table 1'!E26</f>
        <v>0.30876264613519788</v>
      </c>
      <c r="AG26" s="28"/>
      <c r="AH26" s="112"/>
    </row>
    <row r="27" spans="1:34" ht="15" customHeight="1" x14ac:dyDescent="0.25">
      <c r="A27" s="94" t="s">
        <v>26</v>
      </c>
      <c r="B27" s="105">
        <v>0.15</v>
      </c>
      <c r="C27" s="97">
        <v>0.27</v>
      </c>
      <c r="D27" s="97">
        <v>0.28999999999999998</v>
      </c>
      <c r="E27" s="97">
        <v>0.3</v>
      </c>
      <c r="F27" s="97">
        <v>0.32</v>
      </c>
      <c r="G27" s="97">
        <v>0.33</v>
      </c>
      <c r="H27" s="97">
        <v>0.31</v>
      </c>
      <c r="I27" s="97">
        <v>0.33</v>
      </c>
      <c r="J27" s="97">
        <v>0.28999999999999998</v>
      </c>
      <c r="K27" s="28">
        <v>0.34</v>
      </c>
      <c r="L27" s="106">
        <v>0.38465420679669921</v>
      </c>
      <c r="M27" s="27">
        <v>0.34088038012567978</v>
      </c>
      <c r="N27" s="106">
        <v>0.44012522108823365</v>
      </c>
      <c r="O27" s="106">
        <v>0.43325019699761241</v>
      </c>
      <c r="P27" s="124">
        <v>0.40525078589933516</v>
      </c>
      <c r="Q27" s="124">
        <v>0.37373754028907669</v>
      </c>
      <c r="R27" s="107">
        <v>0.4133188782385176</v>
      </c>
      <c r="S27" s="106">
        <v>0.40481016091090166</v>
      </c>
      <c r="T27" s="124">
        <v>0.43809562450511308</v>
      </c>
      <c r="U27" s="124">
        <v>0.49157351551284595</v>
      </c>
      <c r="V27" s="125">
        <v>0.45019948731381498</v>
      </c>
      <c r="W27" s="124">
        <v>0.44033444337233685</v>
      </c>
      <c r="X27" s="126">
        <v>0.42357319207529898</v>
      </c>
      <c r="Y27" s="124">
        <v>0.39286698471100823</v>
      </c>
      <c r="Z27" s="124">
        <v>0.38039492335705311</v>
      </c>
      <c r="AA27" s="124">
        <v>0.36893286106999612</v>
      </c>
      <c r="AB27" s="124">
        <v>0.40074483237045616</v>
      </c>
      <c r="AC27" s="127">
        <v>0.42181606507032748</v>
      </c>
      <c r="AD27" s="128">
        <v>0.460665592551526</v>
      </c>
      <c r="AE27" s="128">
        <v>0.40058433510486552</v>
      </c>
      <c r="AF27" s="129">
        <f>'Table 1'!E27</f>
        <v>0.44250992604058786</v>
      </c>
      <c r="AG27" s="28"/>
      <c r="AH27" s="112"/>
    </row>
    <row r="28" spans="1:34" ht="15" customHeight="1" x14ac:dyDescent="0.25">
      <c r="A28" s="94" t="s">
        <v>27</v>
      </c>
      <c r="B28" s="105">
        <v>0.19</v>
      </c>
      <c r="C28" s="97">
        <v>0.15</v>
      </c>
      <c r="D28" s="97">
        <v>0.12</v>
      </c>
      <c r="E28" s="97">
        <v>0.15</v>
      </c>
      <c r="F28" s="97">
        <v>0.2</v>
      </c>
      <c r="G28" s="97">
        <v>0.19</v>
      </c>
      <c r="H28" s="97">
        <v>0.22</v>
      </c>
      <c r="I28" s="97">
        <v>0.24</v>
      </c>
      <c r="J28" s="97">
        <v>0.25</v>
      </c>
      <c r="K28" s="28">
        <v>0.26</v>
      </c>
      <c r="L28" s="106">
        <v>0.26933030631966326</v>
      </c>
      <c r="M28" s="27">
        <v>0.25780460150759649</v>
      </c>
      <c r="N28" s="106">
        <v>0.26694059500354472</v>
      </c>
      <c r="O28" s="106">
        <v>0.24786246514501337</v>
      </c>
      <c r="P28" s="106">
        <v>0.22757554072378075</v>
      </c>
      <c r="Q28" s="106">
        <v>0.22581646279270889</v>
      </c>
      <c r="R28" s="107">
        <v>0.21860664796340618</v>
      </c>
      <c r="S28" s="106">
        <v>0.18850602967457447</v>
      </c>
      <c r="T28" s="106">
        <v>0.23289642322009924</v>
      </c>
      <c r="U28" s="106">
        <v>0.20897335867029482</v>
      </c>
      <c r="V28" s="27">
        <v>0.2727204851558252</v>
      </c>
      <c r="W28" s="106">
        <v>0.27751481753502183</v>
      </c>
      <c r="X28" s="108">
        <v>0.24685427471641558</v>
      </c>
      <c r="Y28" s="106">
        <v>0.24234318208999345</v>
      </c>
      <c r="Z28" s="106">
        <v>0.26419607780890891</v>
      </c>
      <c r="AA28" s="106">
        <v>0.22596127626031773</v>
      </c>
      <c r="AB28" s="106">
        <v>0.16515008177340568</v>
      </c>
      <c r="AC28" s="109">
        <v>0.18492163999862946</v>
      </c>
      <c r="AD28" s="110">
        <v>0.16873468441415615</v>
      </c>
      <c r="AE28" s="110">
        <v>0.20913142399164197</v>
      </c>
      <c r="AF28" s="111">
        <f>'Table 1'!E28</f>
        <v>0.21086829648088659</v>
      </c>
      <c r="AG28" s="28"/>
      <c r="AH28" s="112"/>
    </row>
    <row r="29" spans="1:34" ht="15" customHeight="1" x14ac:dyDescent="0.25">
      <c r="A29" s="94" t="s">
        <v>28</v>
      </c>
      <c r="B29" s="105">
        <v>0.26</v>
      </c>
      <c r="C29" s="97">
        <v>0.27</v>
      </c>
      <c r="D29" s="97">
        <v>0.27</v>
      </c>
      <c r="E29" s="97">
        <v>0.28999999999999998</v>
      </c>
      <c r="F29" s="97">
        <v>0.28000000000000003</v>
      </c>
      <c r="G29" s="97">
        <v>0.28000000000000003</v>
      </c>
      <c r="H29" s="97">
        <v>0.3</v>
      </c>
      <c r="I29" s="97">
        <v>0.32</v>
      </c>
      <c r="J29" s="97">
        <v>0.38</v>
      </c>
      <c r="K29" s="31" t="s">
        <v>104</v>
      </c>
      <c r="L29" s="130" t="s">
        <v>138</v>
      </c>
      <c r="M29" s="131" t="s">
        <v>137</v>
      </c>
      <c r="N29" s="130" t="s">
        <v>136</v>
      </c>
      <c r="O29" s="130" t="s">
        <v>135</v>
      </c>
      <c r="P29" s="130" t="s">
        <v>134</v>
      </c>
      <c r="Q29" s="130" t="s">
        <v>133</v>
      </c>
      <c r="R29" s="132" t="s">
        <v>132</v>
      </c>
      <c r="S29" s="130" t="s">
        <v>126</v>
      </c>
      <c r="T29" s="130" t="s">
        <v>131</v>
      </c>
      <c r="U29" s="130" t="s">
        <v>130</v>
      </c>
      <c r="V29" s="131" t="s">
        <v>129</v>
      </c>
      <c r="W29" s="130" t="s">
        <v>128</v>
      </c>
      <c r="X29" s="133" t="s">
        <v>127</v>
      </c>
      <c r="Y29" s="130" t="s">
        <v>126</v>
      </c>
      <c r="Z29" s="130" t="s">
        <v>125</v>
      </c>
      <c r="AA29" s="130" t="s">
        <v>141</v>
      </c>
      <c r="AB29" s="130" t="s">
        <v>140</v>
      </c>
      <c r="AC29" s="134" t="s">
        <v>143</v>
      </c>
      <c r="AD29" s="135" t="s">
        <v>142</v>
      </c>
      <c r="AE29" s="135" t="s">
        <v>158</v>
      </c>
      <c r="AF29" s="136" t="s">
        <v>157</v>
      </c>
      <c r="AG29" s="28"/>
      <c r="AH29" s="112"/>
    </row>
    <row r="30" spans="1:34" ht="15" customHeight="1" x14ac:dyDescent="0.25">
      <c r="A30" s="94" t="s">
        <v>29</v>
      </c>
      <c r="B30" s="105">
        <v>0.35</v>
      </c>
      <c r="C30" s="97">
        <v>0.37</v>
      </c>
      <c r="D30" s="97">
        <v>0.39</v>
      </c>
      <c r="E30" s="97">
        <v>0.42</v>
      </c>
      <c r="F30" s="97">
        <v>0.41</v>
      </c>
      <c r="G30" s="97">
        <v>0.42</v>
      </c>
      <c r="H30" s="97">
        <v>0.43</v>
      </c>
      <c r="I30" s="97">
        <v>0.43</v>
      </c>
      <c r="J30" s="97">
        <v>0.45</v>
      </c>
      <c r="K30" s="28">
        <v>0.49</v>
      </c>
      <c r="L30" s="106">
        <v>0.47470000000000001</v>
      </c>
      <c r="M30" s="27">
        <v>0.50057166636586348</v>
      </c>
      <c r="N30" s="106">
        <v>0.50964788953571616</v>
      </c>
      <c r="O30" s="106">
        <v>0.52598982984453679</v>
      </c>
      <c r="P30" s="106">
        <v>0.4964548223653058</v>
      </c>
      <c r="Q30" s="106">
        <v>0.48878040434040304</v>
      </c>
      <c r="R30" s="107">
        <v>0.50213063879398756</v>
      </c>
      <c r="S30" s="106">
        <v>0.50403196552431984</v>
      </c>
      <c r="T30" s="106">
        <v>0.51895761210993752</v>
      </c>
      <c r="U30" s="106">
        <v>0.53342095641845966</v>
      </c>
      <c r="V30" s="27">
        <v>0.56342013758335885</v>
      </c>
      <c r="W30" s="106">
        <v>0.57045988402935155</v>
      </c>
      <c r="X30" s="108">
        <v>0.53626933063827376</v>
      </c>
      <c r="Y30" s="106">
        <v>0.53026144210018022</v>
      </c>
      <c r="Z30" s="106">
        <v>0.46860184108634517</v>
      </c>
      <c r="AA30" s="106">
        <v>0.46094539272420415</v>
      </c>
      <c r="AB30" s="106">
        <v>0.45439893245958113</v>
      </c>
      <c r="AC30" s="109">
        <v>0.46137314321694944</v>
      </c>
      <c r="AD30" s="110">
        <v>0.46450173725654925</v>
      </c>
      <c r="AE30" s="110">
        <v>0.4420477380687971</v>
      </c>
      <c r="AF30" s="111">
        <f>'Table 1'!E30</f>
        <v>0.43874067457800631</v>
      </c>
      <c r="AG30" s="28"/>
      <c r="AH30" s="112"/>
    </row>
    <row r="31" spans="1:34" ht="15" customHeight="1" x14ac:dyDescent="0.25">
      <c r="A31" s="113" t="s">
        <v>187</v>
      </c>
      <c r="B31" s="114">
        <v>0.16</v>
      </c>
      <c r="C31" s="115">
        <v>0.13</v>
      </c>
      <c r="D31" s="115">
        <v>0.13</v>
      </c>
      <c r="E31" s="115">
        <v>0.22</v>
      </c>
      <c r="F31" s="115">
        <v>0.21</v>
      </c>
      <c r="G31" s="115">
        <v>0.2</v>
      </c>
      <c r="H31" s="115">
        <v>0.19</v>
      </c>
      <c r="I31" s="115">
        <v>0.18</v>
      </c>
      <c r="J31" s="115">
        <v>0.21</v>
      </c>
      <c r="K31" s="116">
        <v>0.21</v>
      </c>
      <c r="L31" s="117">
        <v>0.23866379686454725</v>
      </c>
      <c r="M31" s="118">
        <v>0.25122803962231527</v>
      </c>
      <c r="N31" s="117">
        <v>0.24187259441605186</v>
      </c>
      <c r="O31" s="117">
        <v>0.29544093765984203</v>
      </c>
      <c r="P31" s="117">
        <v>0.32804352503874273</v>
      </c>
      <c r="Q31" s="117">
        <v>0.3080621178671038</v>
      </c>
      <c r="R31" s="119">
        <v>0.43000129654336766</v>
      </c>
      <c r="S31" s="117">
        <v>0.34929335837591097</v>
      </c>
      <c r="T31" s="106">
        <v>0.35281474717206135</v>
      </c>
      <c r="U31" s="106">
        <v>0.37860039950371105</v>
      </c>
      <c r="V31" s="27">
        <v>0.2699150038406663</v>
      </c>
      <c r="W31" s="106">
        <v>0.41195950791592839</v>
      </c>
      <c r="X31" s="108">
        <v>0.38964026579800304</v>
      </c>
      <c r="Y31" s="106">
        <v>0.40146307224007366</v>
      </c>
      <c r="Z31" s="106">
        <v>0.28750241049437719</v>
      </c>
      <c r="AA31" s="106">
        <v>0.35231373188299925</v>
      </c>
      <c r="AB31" s="106">
        <v>0.17615932902329534</v>
      </c>
      <c r="AC31" s="109">
        <v>0.14438393670420829</v>
      </c>
      <c r="AD31" s="110">
        <v>0.23405565667143266</v>
      </c>
      <c r="AE31" s="110">
        <v>0.29734224623402533</v>
      </c>
      <c r="AF31" s="111">
        <f>'Table 1'!E31</f>
        <v>0.19132642889969245</v>
      </c>
      <c r="AG31" s="28"/>
      <c r="AH31" s="112"/>
    </row>
    <row r="32" spans="1:34" ht="15" customHeight="1" x14ac:dyDescent="0.25">
      <c r="A32" s="94" t="s">
        <v>30</v>
      </c>
      <c r="B32" s="105">
        <v>0.11</v>
      </c>
      <c r="C32" s="97">
        <v>0.16</v>
      </c>
      <c r="D32" s="97">
        <v>0.13</v>
      </c>
      <c r="E32" s="97">
        <v>0.12</v>
      </c>
      <c r="F32" s="97">
        <v>0.13</v>
      </c>
      <c r="G32" s="97">
        <v>0.17</v>
      </c>
      <c r="H32" s="97">
        <v>0.17</v>
      </c>
      <c r="I32" s="97">
        <v>0.2</v>
      </c>
      <c r="J32" s="97">
        <v>0.15</v>
      </c>
      <c r="K32" s="28">
        <v>0.16</v>
      </c>
      <c r="L32" s="106">
        <v>0.15722735493962947</v>
      </c>
      <c r="M32" s="27">
        <v>0.19734818009727731</v>
      </c>
      <c r="N32" s="106">
        <v>0.19696237000003419</v>
      </c>
      <c r="O32" s="106">
        <v>0.14027085722577806</v>
      </c>
      <c r="P32" s="106">
        <v>0.21481878754831055</v>
      </c>
      <c r="Q32" s="124">
        <v>0.26433580794176131</v>
      </c>
      <c r="R32" s="107">
        <v>0.24768975912948851</v>
      </c>
      <c r="S32" s="106">
        <v>0.23152757319091083</v>
      </c>
      <c r="T32" s="124">
        <v>0.21957994125790783</v>
      </c>
      <c r="U32" s="124">
        <v>0.23176461388537897</v>
      </c>
      <c r="V32" s="125">
        <v>0.25108914471495897</v>
      </c>
      <c r="W32" s="124">
        <v>0.1829929686358</v>
      </c>
      <c r="X32" s="126">
        <v>0.20935617546416158</v>
      </c>
      <c r="Y32" s="124">
        <v>0.21137747702008669</v>
      </c>
      <c r="Z32" s="124">
        <v>0.24380700848897197</v>
      </c>
      <c r="AA32" s="124">
        <v>0.21355625156984756</v>
      </c>
      <c r="AB32" s="124">
        <v>0.21992666463987703</v>
      </c>
      <c r="AC32" s="127">
        <v>0.1555746347243207</v>
      </c>
      <c r="AD32" s="128">
        <v>0.1365703474696835</v>
      </c>
      <c r="AE32" s="128">
        <v>0.16217801471902843</v>
      </c>
      <c r="AF32" s="129">
        <f>'Table 1'!E32</f>
        <v>0.17531468114979337</v>
      </c>
      <c r="AG32" s="28"/>
      <c r="AH32" s="112"/>
    </row>
    <row r="33" spans="1:34" ht="15" customHeight="1" x14ac:dyDescent="0.25">
      <c r="A33" s="94" t="s">
        <v>31</v>
      </c>
      <c r="B33" s="105">
        <v>0.2</v>
      </c>
      <c r="C33" s="97">
        <v>0.25</v>
      </c>
      <c r="D33" s="97">
        <v>0.24</v>
      </c>
      <c r="E33" s="97">
        <v>0.23</v>
      </c>
      <c r="F33" s="97">
        <v>0.19</v>
      </c>
      <c r="G33" s="97">
        <v>0.24</v>
      </c>
      <c r="H33" s="97">
        <v>0.26</v>
      </c>
      <c r="I33" s="97">
        <v>0.28999999999999998</v>
      </c>
      <c r="J33" s="97">
        <v>0.33</v>
      </c>
      <c r="K33" s="28">
        <v>0.39</v>
      </c>
      <c r="L33" s="106">
        <v>0.3843273874831748</v>
      </c>
      <c r="M33" s="27">
        <v>0.42819984386409837</v>
      </c>
      <c r="N33" s="106">
        <v>0.44050632640454018</v>
      </c>
      <c r="O33" s="106">
        <v>0.5009222483850726</v>
      </c>
      <c r="P33" s="106">
        <v>0.4787529107242432</v>
      </c>
      <c r="Q33" s="106">
        <v>0.46374527882585409</v>
      </c>
      <c r="R33" s="107">
        <v>0.46958239266771673</v>
      </c>
      <c r="S33" s="106">
        <v>0.45879069747296047</v>
      </c>
      <c r="T33" s="106">
        <v>0.45584779596616054</v>
      </c>
      <c r="U33" s="106">
        <v>0.47725378814399133</v>
      </c>
      <c r="V33" s="27">
        <v>0.4416586726347202</v>
      </c>
      <c r="W33" s="106">
        <v>0.43582487853644925</v>
      </c>
      <c r="X33" s="108">
        <v>0.4604792257062677</v>
      </c>
      <c r="Y33" s="106">
        <v>0.4510562190807465</v>
      </c>
      <c r="Z33" s="106">
        <v>0.45926524038351191</v>
      </c>
      <c r="AA33" s="106">
        <v>0.47266943397075634</v>
      </c>
      <c r="AB33" s="106">
        <v>0.41466343190870408</v>
      </c>
      <c r="AC33" s="109">
        <v>0.47280685148570034</v>
      </c>
      <c r="AD33" s="110">
        <v>0.46417059033088992</v>
      </c>
      <c r="AE33" s="110">
        <v>0.3938732935556945</v>
      </c>
      <c r="AF33" s="111">
        <f>'Table 1'!E33</f>
        <v>0.38533850733640918</v>
      </c>
      <c r="AG33" s="28"/>
      <c r="AH33" s="112"/>
    </row>
    <row r="34" spans="1:34" ht="15" customHeight="1" x14ac:dyDescent="0.25">
      <c r="A34" s="94" t="s">
        <v>32</v>
      </c>
      <c r="B34" s="105">
        <v>0.24</v>
      </c>
      <c r="C34" s="97">
        <v>0.17</v>
      </c>
      <c r="D34" s="97">
        <v>0.2</v>
      </c>
      <c r="E34" s="97">
        <v>0.2</v>
      </c>
      <c r="F34" s="97">
        <v>0.21</v>
      </c>
      <c r="G34" s="97">
        <v>0.11</v>
      </c>
      <c r="H34" s="97">
        <v>0.16</v>
      </c>
      <c r="I34" s="97">
        <v>0.24</v>
      </c>
      <c r="J34" s="97">
        <v>0.17</v>
      </c>
      <c r="K34" s="28">
        <v>0.15</v>
      </c>
      <c r="L34" s="106">
        <v>0.13546194137969464</v>
      </c>
      <c r="M34" s="27">
        <v>0.16120541288428442</v>
      </c>
      <c r="N34" s="106">
        <v>0.25789699104866504</v>
      </c>
      <c r="O34" s="106">
        <v>0.15931306267869849</v>
      </c>
      <c r="P34" s="106">
        <v>0.18530838199164032</v>
      </c>
      <c r="Q34" s="106">
        <v>0.16392241450282383</v>
      </c>
      <c r="R34" s="107">
        <v>0.14762951414034717</v>
      </c>
      <c r="S34" s="106">
        <v>0.14284591575604352</v>
      </c>
      <c r="T34" s="106">
        <v>0.11456113059062739</v>
      </c>
      <c r="U34" s="106">
        <v>0.13918319349142877</v>
      </c>
      <c r="V34" s="27">
        <v>0.2194365193563208</v>
      </c>
      <c r="W34" s="106">
        <v>0.14199917101673148</v>
      </c>
      <c r="X34" s="108">
        <v>0.15903356409311983</v>
      </c>
      <c r="Y34" s="106">
        <v>0.15893722769510321</v>
      </c>
      <c r="Z34" s="106">
        <v>0.11829224547416409</v>
      </c>
      <c r="AA34" s="106">
        <v>0.11073974864839298</v>
      </c>
      <c r="AB34" s="106">
        <v>0.13536988696797789</v>
      </c>
      <c r="AC34" s="109">
        <v>6.5961852588248382E-2</v>
      </c>
      <c r="AD34" s="110">
        <v>0.10213328952033411</v>
      </c>
      <c r="AE34" s="110">
        <v>0.26688253800687023</v>
      </c>
      <c r="AF34" s="111">
        <f>'Table 1'!E34</f>
        <v>0.2338101289143138</v>
      </c>
      <c r="AG34" s="28"/>
      <c r="AH34" s="112"/>
    </row>
    <row r="35" spans="1:34" ht="15" customHeight="1" x14ac:dyDescent="0.25">
      <c r="A35" s="94" t="s">
        <v>33</v>
      </c>
      <c r="B35" s="105">
        <v>0.31</v>
      </c>
      <c r="C35" s="97">
        <v>0.27</v>
      </c>
      <c r="D35" s="97">
        <v>0.28000000000000003</v>
      </c>
      <c r="E35" s="97">
        <v>0.27</v>
      </c>
      <c r="F35" s="97">
        <v>0.26</v>
      </c>
      <c r="G35" s="97">
        <v>0.26</v>
      </c>
      <c r="H35" s="97">
        <v>0.26</v>
      </c>
      <c r="I35" s="97">
        <v>0.28000000000000003</v>
      </c>
      <c r="J35" s="97">
        <v>0.26</v>
      </c>
      <c r="K35" s="28">
        <v>0.28000000000000003</v>
      </c>
      <c r="L35" s="106">
        <v>0.27701463223018757</v>
      </c>
      <c r="M35" s="27">
        <v>0.26618414893612635</v>
      </c>
      <c r="N35" s="106">
        <v>0.38813334915374698</v>
      </c>
      <c r="O35" s="106">
        <v>0.36927145539358264</v>
      </c>
      <c r="P35" s="106">
        <v>0.33440194025219955</v>
      </c>
      <c r="Q35" s="106">
        <v>0.30584446182496006</v>
      </c>
      <c r="R35" s="107">
        <v>0.31528987960059857</v>
      </c>
      <c r="S35" s="106">
        <v>0.29088678906408161</v>
      </c>
      <c r="T35" s="106">
        <v>0.31227457463815744</v>
      </c>
      <c r="U35" s="106">
        <v>0.33669134143598722</v>
      </c>
      <c r="V35" s="27">
        <v>0.32977750772950476</v>
      </c>
      <c r="W35" s="106">
        <v>0.31890713101635304</v>
      </c>
      <c r="X35" s="108">
        <v>0.29600793801172187</v>
      </c>
      <c r="Y35" s="106">
        <v>0.28948248993375197</v>
      </c>
      <c r="Z35" s="106">
        <v>0.261127804782603</v>
      </c>
      <c r="AA35" s="106">
        <v>0.278339176113928</v>
      </c>
      <c r="AB35" s="106">
        <v>0.27835705409798428</v>
      </c>
      <c r="AC35" s="109">
        <v>0.25710498644943658</v>
      </c>
      <c r="AD35" s="110">
        <v>0.30103721052620624</v>
      </c>
      <c r="AE35" s="110">
        <v>0.32864606071041819</v>
      </c>
      <c r="AF35" s="111">
        <f>'Table 1'!E35</f>
        <v>0.27356964454422367</v>
      </c>
      <c r="AG35" s="28"/>
      <c r="AH35" s="112"/>
    </row>
    <row r="36" spans="1:34" ht="15" customHeight="1" x14ac:dyDescent="0.25">
      <c r="A36" s="113" t="s">
        <v>34</v>
      </c>
      <c r="B36" s="114">
        <v>0.14000000000000001</v>
      </c>
      <c r="C36" s="115">
        <v>0.15</v>
      </c>
      <c r="D36" s="115">
        <v>0.15</v>
      </c>
      <c r="E36" s="115">
        <v>0.19</v>
      </c>
      <c r="F36" s="115">
        <v>0.2</v>
      </c>
      <c r="G36" s="115">
        <v>0.25</v>
      </c>
      <c r="H36" s="115">
        <v>0.24</v>
      </c>
      <c r="I36" s="115">
        <v>0.25</v>
      </c>
      <c r="J36" s="115">
        <v>0.26</v>
      </c>
      <c r="K36" s="116">
        <v>0.28000000000000003</v>
      </c>
      <c r="L36" s="117">
        <v>0.35346720904977563</v>
      </c>
      <c r="M36" s="118">
        <v>0.33497233366685442</v>
      </c>
      <c r="N36" s="117">
        <v>0.35947326000141866</v>
      </c>
      <c r="O36" s="117">
        <v>0.36473401798680549</v>
      </c>
      <c r="P36" s="106">
        <v>0.34979309448800999</v>
      </c>
      <c r="Q36" s="117">
        <v>0.36482046027964526</v>
      </c>
      <c r="R36" s="119">
        <v>0.37882122017969494</v>
      </c>
      <c r="S36" s="117">
        <v>0.31712417255347242</v>
      </c>
      <c r="T36" s="117">
        <v>0.29274068980187284</v>
      </c>
      <c r="U36" s="117">
        <v>0.29324900618001576</v>
      </c>
      <c r="V36" s="118">
        <v>0.31061574093256045</v>
      </c>
      <c r="W36" s="117">
        <v>0.28582572567624787</v>
      </c>
      <c r="X36" s="120">
        <v>0.28109032409847584</v>
      </c>
      <c r="Y36" s="117">
        <v>0.29463123808625136</v>
      </c>
      <c r="Z36" s="117">
        <v>0.25010390015392703</v>
      </c>
      <c r="AA36" s="117">
        <v>0.2688907758060966</v>
      </c>
      <c r="AB36" s="117">
        <v>0.29692102604985526</v>
      </c>
      <c r="AC36" s="121">
        <v>0.36152261863232876</v>
      </c>
      <c r="AD36" s="122">
        <v>0.28334462216135642</v>
      </c>
      <c r="AE36" s="122">
        <v>0.31226856879225445</v>
      </c>
      <c r="AF36" s="123">
        <f>'Table 1'!E36</f>
        <v>0.20495502114665323</v>
      </c>
      <c r="AG36" s="28"/>
      <c r="AH36" s="112"/>
    </row>
    <row r="37" spans="1:34" ht="15" customHeight="1" x14ac:dyDescent="0.25">
      <c r="A37" s="94" t="s">
        <v>35</v>
      </c>
      <c r="B37" s="105">
        <v>0.16</v>
      </c>
      <c r="C37" s="97">
        <v>0.19</v>
      </c>
      <c r="D37" s="97">
        <v>0.21</v>
      </c>
      <c r="E37" s="97">
        <v>0.3</v>
      </c>
      <c r="F37" s="97">
        <v>0.26</v>
      </c>
      <c r="G37" s="97">
        <v>0.28999999999999998</v>
      </c>
      <c r="H37" s="97">
        <v>0.27</v>
      </c>
      <c r="I37" s="97">
        <v>0.24</v>
      </c>
      <c r="J37" s="97">
        <v>0.22</v>
      </c>
      <c r="K37" s="28">
        <v>0.22</v>
      </c>
      <c r="L37" s="106">
        <v>0.27559635537384775</v>
      </c>
      <c r="M37" s="27">
        <v>0.25787464714496305</v>
      </c>
      <c r="N37" s="106">
        <v>0.2738334669625046</v>
      </c>
      <c r="O37" s="106">
        <v>0.27415379705645604</v>
      </c>
      <c r="P37" s="124">
        <v>0.33683868453178878</v>
      </c>
      <c r="Q37" s="124">
        <v>0.31543066512589557</v>
      </c>
      <c r="R37" s="107">
        <v>0.2983226702651039</v>
      </c>
      <c r="S37" s="106">
        <v>0.29265538218805287</v>
      </c>
      <c r="T37" s="106">
        <v>0.28636747594255996</v>
      </c>
      <c r="U37" s="106">
        <v>0.30672110850026568</v>
      </c>
      <c r="V37" s="27">
        <v>0.30466116298154017</v>
      </c>
      <c r="W37" s="106">
        <v>0.30356941243609292</v>
      </c>
      <c r="X37" s="108">
        <v>0.25176568177616421</v>
      </c>
      <c r="Y37" s="106">
        <v>0.2479947088468398</v>
      </c>
      <c r="Z37" s="106">
        <v>0.25093539648277713</v>
      </c>
      <c r="AA37" s="106">
        <v>0.22047002204284191</v>
      </c>
      <c r="AB37" s="106">
        <v>0.26870773247770158</v>
      </c>
      <c r="AC37" s="109">
        <v>0.27244408732010794</v>
      </c>
      <c r="AD37" s="110">
        <v>0.26897186738431905</v>
      </c>
      <c r="AE37" s="110">
        <v>0.25801382350841756</v>
      </c>
      <c r="AF37" s="111">
        <f>'Table 1'!E37</f>
        <v>0.27287673075172852</v>
      </c>
      <c r="AG37" s="28"/>
      <c r="AH37" s="112"/>
    </row>
    <row r="38" spans="1:34" ht="15" customHeight="1" x14ac:dyDescent="0.25">
      <c r="A38" s="94" t="s">
        <v>36</v>
      </c>
      <c r="B38" s="105">
        <v>0.06</v>
      </c>
      <c r="C38" s="97">
        <v>0.08</v>
      </c>
      <c r="D38" s="97">
        <v>0.11</v>
      </c>
      <c r="E38" s="97">
        <v>0.18</v>
      </c>
      <c r="F38" s="97">
        <v>0.11</v>
      </c>
      <c r="G38" s="97">
        <v>0.16</v>
      </c>
      <c r="H38" s="97">
        <v>0.16</v>
      </c>
      <c r="I38" s="97">
        <v>0.19</v>
      </c>
      <c r="J38" s="97">
        <v>0.21</v>
      </c>
      <c r="K38" s="28">
        <v>0.19</v>
      </c>
      <c r="L38" s="106">
        <v>0.19294566531230431</v>
      </c>
      <c r="M38" s="27">
        <v>0.15555975138668779</v>
      </c>
      <c r="N38" s="106">
        <v>0.18424211261907858</v>
      </c>
      <c r="O38" s="106">
        <v>0.19475939301133394</v>
      </c>
      <c r="P38" s="106">
        <v>0.22223930286147289</v>
      </c>
      <c r="Q38" s="106">
        <v>0.27351298059088769</v>
      </c>
      <c r="R38" s="107">
        <v>0.24079239088885393</v>
      </c>
      <c r="S38" s="106">
        <v>0.23453857378760795</v>
      </c>
      <c r="T38" s="106">
        <v>0.19380957747815616</v>
      </c>
      <c r="U38" s="106">
        <v>0.23487644191128793</v>
      </c>
      <c r="V38" s="27">
        <v>0.22405901397618969</v>
      </c>
      <c r="W38" s="106">
        <v>0.23727713745794773</v>
      </c>
      <c r="X38" s="108">
        <v>0.2660683143126793</v>
      </c>
      <c r="Y38" s="106">
        <v>0.22428978990232082</v>
      </c>
      <c r="Z38" s="106">
        <v>0.27002521992722178</v>
      </c>
      <c r="AA38" s="106">
        <v>0.24319351453918239</v>
      </c>
      <c r="AB38" s="106">
        <v>0.21351677884609457</v>
      </c>
      <c r="AC38" s="109">
        <v>0.21763093090235361</v>
      </c>
      <c r="AD38" s="110">
        <v>0.17490041497672884</v>
      </c>
      <c r="AE38" s="110">
        <v>0.28448204823805356</v>
      </c>
      <c r="AF38" s="111">
        <f>'Table 1'!E38</f>
        <v>0.24843406669223736</v>
      </c>
      <c r="AG38" s="28"/>
      <c r="AH38" s="112"/>
    </row>
    <row r="39" spans="1:34" ht="15" customHeight="1" x14ac:dyDescent="0.25">
      <c r="A39" s="94" t="s">
        <v>37</v>
      </c>
      <c r="B39" s="105">
        <v>0.25</v>
      </c>
      <c r="C39" s="97">
        <v>0.23</v>
      </c>
      <c r="D39" s="97">
        <v>0.26</v>
      </c>
      <c r="E39" s="97">
        <v>0.28999999999999998</v>
      </c>
      <c r="F39" s="97">
        <v>0.3</v>
      </c>
      <c r="G39" s="97">
        <v>0.28999999999999998</v>
      </c>
      <c r="H39" s="97">
        <v>0.31</v>
      </c>
      <c r="I39" s="97">
        <v>0.34</v>
      </c>
      <c r="J39" s="97">
        <v>0.34</v>
      </c>
      <c r="K39" s="28">
        <v>0.26</v>
      </c>
      <c r="L39" s="106">
        <v>0.28277642983640067</v>
      </c>
      <c r="M39" s="27">
        <v>0.30750229289829467</v>
      </c>
      <c r="N39" s="106">
        <v>0.24559165965088098</v>
      </c>
      <c r="O39" s="106">
        <v>0.24112003073944177</v>
      </c>
      <c r="P39" s="106">
        <v>0.18849715910614692</v>
      </c>
      <c r="Q39" s="106">
        <v>0.23009087120123584</v>
      </c>
      <c r="R39" s="107">
        <v>0.23430632343922461</v>
      </c>
      <c r="S39" s="106">
        <v>0.32671090454849128</v>
      </c>
      <c r="T39" s="106">
        <v>0.28036465839496066</v>
      </c>
      <c r="U39" s="106">
        <v>0.31270008170497665</v>
      </c>
      <c r="V39" s="27">
        <v>0.27802601499837593</v>
      </c>
      <c r="W39" s="106">
        <v>0.32013996787046217</v>
      </c>
      <c r="X39" s="108">
        <v>0.27981483025380144</v>
      </c>
      <c r="Y39" s="106">
        <v>0.28137105182873018</v>
      </c>
      <c r="Z39" s="106">
        <v>0.26564737414716239</v>
      </c>
      <c r="AA39" s="106">
        <v>0.19588359687165399</v>
      </c>
      <c r="AB39" s="106">
        <v>0.19181177441715261</v>
      </c>
      <c r="AC39" s="109">
        <v>0.16613777606974325</v>
      </c>
      <c r="AD39" s="110">
        <v>0.14813564627751083</v>
      </c>
      <c r="AE39" s="110">
        <v>0.21679851009370885</v>
      </c>
      <c r="AF39" s="111">
        <f>'Table 1'!E39</f>
        <v>0.23610872404198729</v>
      </c>
      <c r="AG39" s="28"/>
      <c r="AH39" s="112"/>
    </row>
    <row r="40" spans="1:34" ht="15" customHeight="1" x14ac:dyDescent="0.25">
      <c r="A40" s="94" t="s">
        <v>38</v>
      </c>
      <c r="B40" s="105">
        <v>7.0000000000000007E-2</v>
      </c>
      <c r="C40" s="97">
        <v>0.08</v>
      </c>
      <c r="D40" s="97">
        <v>0.11</v>
      </c>
      <c r="E40" s="97">
        <v>0.24</v>
      </c>
      <c r="F40" s="97">
        <v>0.2</v>
      </c>
      <c r="G40" s="97">
        <v>0.2</v>
      </c>
      <c r="H40" s="97">
        <v>0.25</v>
      </c>
      <c r="I40" s="97">
        <v>0.18</v>
      </c>
      <c r="J40" s="97">
        <v>0.14000000000000001</v>
      </c>
      <c r="K40" s="28">
        <v>0.13</v>
      </c>
      <c r="L40" s="106">
        <v>0.25191873589164787</v>
      </c>
      <c r="M40" s="27">
        <v>0.26882968226908388</v>
      </c>
      <c r="N40" s="106">
        <v>0.15758149210178476</v>
      </c>
      <c r="O40" s="106">
        <v>0.34298408642118711</v>
      </c>
      <c r="P40" s="106">
        <v>0.23932253532422243</v>
      </c>
      <c r="Q40" s="106">
        <v>0.26925715579936765</v>
      </c>
      <c r="R40" s="107">
        <v>0.27085906885803807</v>
      </c>
      <c r="S40" s="106">
        <v>0.19960592134455885</v>
      </c>
      <c r="T40" s="106">
        <v>8.0800736546834381E-2</v>
      </c>
      <c r="U40" s="106">
        <v>0.12867678524088152</v>
      </c>
      <c r="V40" s="27">
        <v>8.801968171422607E-2</v>
      </c>
      <c r="W40" s="106">
        <v>8.7208973806911963E-2</v>
      </c>
      <c r="X40" s="108">
        <v>7.2675195530162828E-2</v>
      </c>
      <c r="Y40" s="106">
        <v>0.15606823215406948</v>
      </c>
      <c r="Z40" s="106">
        <v>0.12807619262253711</v>
      </c>
      <c r="AA40" s="106">
        <v>0.17490487663944704</v>
      </c>
      <c r="AB40" s="106">
        <v>0.25988971847117215</v>
      </c>
      <c r="AC40" s="109">
        <v>0.15318803499655712</v>
      </c>
      <c r="AD40" s="110">
        <v>0.16455198232743526</v>
      </c>
      <c r="AE40" s="110">
        <v>0.14436051642298167</v>
      </c>
      <c r="AF40" s="111">
        <f>'Table 1'!E40</f>
        <v>0.15971499829662109</v>
      </c>
      <c r="AG40" s="28"/>
      <c r="AH40" s="112"/>
    </row>
    <row r="41" spans="1:34" ht="15" customHeight="1" x14ac:dyDescent="0.25">
      <c r="A41" s="94" t="s">
        <v>39</v>
      </c>
      <c r="B41" s="105">
        <v>0.19</v>
      </c>
      <c r="C41" s="97">
        <v>0.22</v>
      </c>
      <c r="D41" s="97">
        <v>0.25</v>
      </c>
      <c r="E41" s="97">
        <v>0.3</v>
      </c>
      <c r="F41" s="97">
        <v>0.35</v>
      </c>
      <c r="G41" s="97">
        <v>0.25</v>
      </c>
      <c r="H41" s="97">
        <v>0.31</v>
      </c>
      <c r="I41" s="97">
        <v>0.36</v>
      </c>
      <c r="J41" s="97">
        <v>0.44</v>
      </c>
      <c r="K41" s="28">
        <v>0.49</v>
      </c>
      <c r="L41" s="106">
        <v>0.54438293250247294</v>
      </c>
      <c r="M41" s="27">
        <v>0.42312218090165327</v>
      </c>
      <c r="N41" s="106">
        <v>0.50165292597528843</v>
      </c>
      <c r="O41" s="106">
        <v>0.4463376224919664</v>
      </c>
      <c r="P41" s="106">
        <v>0.39046320961319481</v>
      </c>
      <c r="Q41" s="106">
        <v>0.35696279524211522</v>
      </c>
      <c r="R41" s="107">
        <v>0.35605340580183664</v>
      </c>
      <c r="S41" s="106">
        <v>0.39669964944015434</v>
      </c>
      <c r="T41" s="106">
        <v>0.34207223278288429</v>
      </c>
      <c r="U41" s="106">
        <v>0.40208337188306559</v>
      </c>
      <c r="V41" s="27">
        <v>0.32776638180485407</v>
      </c>
      <c r="W41" s="106">
        <v>0.38100959267392687</v>
      </c>
      <c r="X41" s="108">
        <v>0.37068178080963765</v>
      </c>
      <c r="Y41" s="106">
        <v>0.38335815934676148</v>
      </c>
      <c r="Z41" s="106">
        <v>0.29884023980673258</v>
      </c>
      <c r="AA41" s="106">
        <v>0.2873080743644027</v>
      </c>
      <c r="AB41" s="106">
        <v>0.29888619439182523</v>
      </c>
      <c r="AC41" s="109">
        <v>0.35269172995440173</v>
      </c>
      <c r="AD41" s="110">
        <v>0.35800698118804625</v>
      </c>
      <c r="AE41" s="110">
        <v>0.30240662376764676</v>
      </c>
      <c r="AF41" s="111">
        <f>'Table 1'!E41</f>
        <v>0.28131364165256423</v>
      </c>
      <c r="AG41" s="28"/>
      <c r="AH41" s="112"/>
    </row>
    <row r="42" spans="1:34" ht="9" customHeight="1" thickBot="1" x14ac:dyDescent="0.3">
      <c r="A42" s="113"/>
      <c r="B42" s="114"/>
      <c r="C42" s="115"/>
      <c r="D42" s="115"/>
      <c r="E42" s="115"/>
      <c r="F42" s="115"/>
      <c r="G42" s="115"/>
      <c r="H42" s="115"/>
      <c r="I42" s="115"/>
      <c r="J42" s="115"/>
      <c r="K42" s="116"/>
      <c r="L42" s="137"/>
      <c r="M42" s="137"/>
      <c r="N42" s="137"/>
      <c r="O42" s="98"/>
      <c r="P42" s="138"/>
      <c r="Q42" s="138"/>
      <c r="R42" s="139"/>
      <c r="S42" s="138"/>
      <c r="T42" s="138"/>
      <c r="U42" s="138"/>
      <c r="V42" s="28"/>
      <c r="W42" s="98"/>
      <c r="X42" s="97"/>
      <c r="Y42" s="98"/>
      <c r="Z42" s="98"/>
      <c r="AA42" s="98"/>
      <c r="AB42" s="98"/>
      <c r="AC42" s="109"/>
      <c r="AD42" s="140"/>
      <c r="AE42" s="140"/>
      <c r="AF42" s="141"/>
      <c r="AG42" s="28"/>
    </row>
    <row r="43" spans="1:34" ht="15.95" customHeight="1" thickBot="1" x14ac:dyDescent="0.3">
      <c r="A43" s="142" t="s">
        <v>41</v>
      </c>
      <c r="B43" s="143">
        <v>0.27100000000000002</v>
      </c>
      <c r="C43" s="144">
        <v>0.29899999999999999</v>
      </c>
      <c r="D43" s="144">
        <v>0.32600000000000001</v>
      </c>
      <c r="E43" s="144">
        <v>0.34699999999999998</v>
      </c>
      <c r="F43" s="144">
        <v>0.34899999999999998</v>
      </c>
      <c r="G43" s="144">
        <v>0.35699999999999998</v>
      </c>
      <c r="H43" s="144">
        <v>0.373</v>
      </c>
      <c r="I43" s="144">
        <v>0.36799999999999999</v>
      </c>
      <c r="J43" s="144">
        <v>0.38900000000000001</v>
      </c>
      <c r="K43" s="144">
        <v>0.43099999999999999</v>
      </c>
      <c r="L43" s="144">
        <v>0.42697771510806493</v>
      </c>
      <c r="M43" s="144">
        <v>0.43081470868571975</v>
      </c>
      <c r="N43" s="144">
        <v>0.44214341498304777</v>
      </c>
      <c r="O43" s="144">
        <v>0.45467510478006817</v>
      </c>
      <c r="P43" s="144">
        <v>0.43527043133702015</v>
      </c>
      <c r="Q43" s="144">
        <v>0.42868674399743495</v>
      </c>
      <c r="R43" s="145">
        <v>0.44590808574645907</v>
      </c>
      <c r="S43" s="144">
        <v>0.44602140710155547</v>
      </c>
      <c r="T43" s="144">
        <v>0.45885558271382376</v>
      </c>
      <c r="U43" s="144">
        <v>0.48576396579833481</v>
      </c>
      <c r="V43" s="146">
        <v>0.49680566776245971</v>
      </c>
      <c r="W43" s="144">
        <v>0.49462434682459377</v>
      </c>
      <c r="X43" s="147">
        <v>0.47200763621016834</v>
      </c>
      <c r="Y43" s="144">
        <v>0.4596989873286304</v>
      </c>
      <c r="Z43" s="144">
        <v>0.42112729810191429</v>
      </c>
      <c r="AA43" s="144">
        <v>0.41399228405398214</v>
      </c>
      <c r="AB43" s="144">
        <v>0.41183999365552765</v>
      </c>
      <c r="AC43" s="148">
        <v>0.4196876799911276</v>
      </c>
      <c r="AD43" s="149">
        <v>0.41998544126035037</v>
      </c>
      <c r="AE43" s="149">
        <v>0.37656157088332831</v>
      </c>
      <c r="AF43" s="150">
        <f>'Table 1'!E43</f>
        <v>0.39410801407887824</v>
      </c>
      <c r="AG43" s="28"/>
    </row>
    <row r="44" spans="1:34" x14ac:dyDescent="0.25">
      <c r="R44" s="37"/>
    </row>
    <row r="45" spans="1:34" x14ac:dyDescent="0.25">
      <c r="A45" s="16" t="s">
        <v>92</v>
      </c>
      <c r="AG45" s="27"/>
    </row>
    <row r="46" spans="1:34" x14ac:dyDescent="0.25">
      <c r="A46" s="16" t="s">
        <v>112</v>
      </c>
    </row>
  </sheetData>
  <sheetProtection algorithmName="SHA-512" hashValue="02IsN/ectwObA9oceBPVs1M2b2VjJOUg727EVVChiAN8atalg1cOveypqgQPEuPwyr6P/Tq91pFxaQ2FMrogbg==" saltValue="ul4syEt7cry3FkTjQZGUlQ==" spinCount="100000" sheet="1" objects="1" scenarios="1"/>
  <phoneticPr fontId="3" type="noConversion"/>
  <pageMargins left="1" right="1" top="1" bottom="1" header="0.5" footer="0.5"/>
  <pageSetup scale="32" orientation="portrait" r:id="rId1"/>
  <headerFooter>
    <oddHeader xml:space="preserve">&amp;L&amp;"Segoe UI,Bold"2022 Material Recovery and Waste Generation Rates Report&amp;R&amp;"Times New Roman,Bold"&amp;14 </oddHeader>
    <oddFooter>&amp;L&amp;"Segoe UI,Regular"&amp;9Oregon Department of Environmental Quality&amp;C
&amp;R&amp;"Segoe UI,Regular"&amp;9 2022 Material Recovery and Waste Generation Rates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BX1579"/>
  <sheetViews>
    <sheetView zoomScaleNormal="100" zoomScalePageLayoutView="75" workbookViewId="0">
      <pane ySplit="5" topLeftCell="A6" activePane="bottomLeft" state="frozen"/>
      <selection activeCell="Q1" sqref="Q1"/>
      <selection pane="bottomLeft"/>
    </sheetView>
  </sheetViews>
  <sheetFormatPr defaultRowHeight="14.25" x14ac:dyDescent="0.25"/>
  <cols>
    <col min="1" max="1" width="17.7109375" style="16" customWidth="1"/>
    <col min="2" max="4" width="10.7109375" style="151" customWidth="1"/>
    <col min="5" max="5" width="10.7109375" style="152" customWidth="1"/>
    <col min="6" max="6" width="10.7109375" style="151" customWidth="1"/>
    <col min="7" max="7" width="10.7109375" style="152" customWidth="1"/>
    <col min="8" max="8" width="10.7109375" style="151" customWidth="1"/>
    <col min="9" max="9" width="10.7109375" style="152" customWidth="1"/>
    <col min="10" max="10" width="10.7109375" style="151" customWidth="1"/>
    <col min="11" max="11" width="10.7109375" style="159" customWidth="1"/>
    <col min="12" max="63" width="10.7109375" style="152" customWidth="1"/>
    <col min="64" max="64" width="10.7109375" style="153" customWidth="1"/>
    <col min="65" max="69" width="9.140625" style="16"/>
    <col min="70" max="70" width="10" style="16" bestFit="1" customWidth="1"/>
    <col min="71" max="72" width="9.140625" style="16"/>
    <col min="73" max="73" width="10.85546875" style="16" bestFit="1" customWidth="1"/>
    <col min="74" max="75" width="9.140625" style="16"/>
    <col min="76" max="76" width="10.85546875" style="16" bestFit="1" customWidth="1"/>
    <col min="77" max="16384" width="9.140625" style="16"/>
  </cols>
  <sheetData>
    <row r="1" spans="1:76" ht="20.25" x14ac:dyDescent="0.35">
      <c r="A1" s="64" t="s">
        <v>148</v>
      </c>
      <c r="K1" s="152"/>
    </row>
    <row r="2" spans="1:76" ht="9.9499999999999993" customHeight="1" thickBot="1" x14ac:dyDescent="0.3">
      <c r="K2" s="154"/>
    </row>
    <row r="3" spans="1:76" s="11" customFormat="1" x14ac:dyDescent="0.25">
      <c r="A3" s="290"/>
      <c r="B3" s="291">
        <v>1992</v>
      </c>
      <c r="C3" s="292" t="s">
        <v>85</v>
      </c>
      <c r="D3" s="293">
        <v>1993</v>
      </c>
      <c r="E3" s="292" t="s">
        <v>85</v>
      </c>
      <c r="F3" s="293">
        <v>1994</v>
      </c>
      <c r="G3" s="292" t="s">
        <v>85</v>
      </c>
      <c r="H3" s="293">
        <v>1995</v>
      </c>
      <c r="I3" s="292" t="s">
        <v>85</v>
      </c>
      <c r="J3" s="293">
        <v>1996</v>
      </c>
      <c r="K3" s="292" t="s">
        <v>85</v>
      </c>
      <c r="L3" s="293">
        <v>1997</v>
      </c>
      <c r="M3" s="292" t="s">
        <v>85</v>
      </c>
      <c r="N3" s="293">
        <v>1998</v>
      </c>
      <c r="O3" s="292" t="s">
        <v>85</v>
      </c>
      <c r="P3" s="293">
        <v>1999</v>
      </c>
      <c r="Q3" s="293" t="s">
        <v>85</v>
      </c>
      <c r="R3" s="294">
        <v>2000</v>
      </c>
      <c r="S3" s="293" t="s">
        <v>85</v>
      </c>
      <c r="T3" s="294">
        <v>2001</v>
      </c>
      <c r="U3" s="293" t="s">
        <v>85</v>
      </c>
      <c r="V3" s="294">
        <v>2002</v>
      </c>
      <c r="W3" s="293" t="s">
        <v>85</v>
      </c>
      <c r="X3" s="294">
        <v>2003</v>
      </c>
      <c r="Y3" s="293" t="s">
        <v>85</v>
      </c>
      <c r="Z3" s="294">
        <v>2004</v>
      </c>
      <c r="AA3" s="293" t="s">
        <v>85</v>
      </c>
      <c r="AB3" s="294">
        <v>2005</v>
      </c>
      <c r="AC3" s="293" t="s">
        <v>85</v>
      </c>
      <c r="AD3" s="294">
        <v>2006</v>
      </c>
      <c r="AE3" s="293" t="s">
        <v>85</v>
      </c>
      <c r="AF3" s="294">
        <v>2007</v>
      </c>
      <c r="AG3" s="293" t="s">
        <v>85</v>
      </c>
      <c r="AH3" s="294">
        <v>2008</v>
      </c>
      <c r="AI3" s="293" t="s">
        <v>85</v>
      </c>
      <c r="AJ3" s="294">
        <v>2009</v>
      </c>
      <c r="AK3" s="293" t="s">
        <v>85</v>
      </c>
      <c r="AL3" s="294">
        <v>2010</v>
      </c>
      <c r="AM3" s="293" t="s">
        <v>85</v>
      </c>
      <c r="AN3" s="294">
        <v>2011</v>
      </c>
      <c r="AO3" s="293" t="s">
        <v>85</v>
      </c>
      <c r="AP3" s="294">
        <v>2012</v>
      </c>
      <c r="AQ3" s="293" t="s">
        <v>85</v>
      </c>
      <c r="AR3" s="294">
        <v>2013</v>
      </c>
      <c r="AS3" s="293" t="s">
        <v>85</v>
      </c>
      <c r="AT3" s="294">
        <v>2014</v>
      </c>
      <c r="AU3" s="293" t="s">
        <v>85</v>
      </c>
      <c r="AV3" s="294">
        <v>2015</v>
      </c>
      <c r="AW3" s="293" t="s">
        <v>85</v>
      </c>
      <c r="AX3" s="294">
        <v>2016</v>
      </c>
      <c r="AY3" s="293" t="s">
        <v>85</v>
      </c>
      <c r="AZ3" s="294">
        <v>2017</v>
      </c>
      <c r="BA3" s="293" t="s">
        <v>85</v>
      </c>
      <c r="BB3" s="294">
        <v>2018</v>
      </c>
      <c r="BC3" s="293" t="s">
        <v>85</v>
      </c>
      <c r="BD3" s="294">
        <v>2019</v>
      </c>
      <c r="BE3" s="293" t="s">
        <v>85</v>
      </c>
      <c r="BF3" s="294">
        <v>2020</v>
      </c>
      <c r="BG3" s="293" t="s">
        <v>85</v>
      </c>
      <c r="BH3" s="294">
        <v>2021</v>
      </c>
      <c r="BI3" s="293" t="s">
        <v>85</v>
      </c>
      <c r="BJ3" s="295">
        <v>2022</v>
      </c>
      <c r="BK3" s="296" t="s">
        <v>85</v>
      </c>
      <c r="BL3" s="297" t="s">
        <v>46</v>
      </c>
      <c r="BO3" s="155"/>
      <c r="BP3" s="155"/>
      <c r="BQ3" s="156"/>
      <c r="BR3" s="13"/>
      <c r="BS3" s="13"/>
      <c r="BU3" s="13"/>
      <c r="BV3" s="13"/>
      <c r="BX3" s="39"/>
    </row>
    <row r="4" spans="1:76" s="11" customFormat="1" x14ac:dyDescent="0.25">
      <c r="A4" s="298"/>
      <c r="B4" s="299" t="s">
        <v>96</v>
      </c>
      <c r="C4" s="194" t="s">
        <v>86</v>
      </c>
      <c r="D4" s="299" t="s">
        <v>96</v>
      </c>
      <c r="E4" s="194" t="s">
        <v>86</v>
      </c>
      <c r="F4" s="299" t="s">
        <v>96</v>
      </c>
      <c r="G4" s="194" t="s">
        <v>86</v>
      </c>
      <c r="H4" s="299" t="s">
        <v>96</v>
      </c>
      <c r="I4" s="194" t="s">
        <v>86</v>
      </c>
      <c r="J4" s="299" t="s">
        <v>96</v>
      </c>
      <c r="K4" s="194" t="s">
        <v>86</v>
      </c>
      <c r="L4" s="299" t="s">
        <v>96</v>
      </c>
      <c r="M4" s="194" t="s">
        <v>86</v>
      </c>
      <c r="N4" s="299" t="s">
        <v>96</v>
      </c>
      <c r="O4" s="194" t="s">
        <v>86</v>
      </c>
      <c r="P4" s="299" t="s">
        <v>96</v>
      </c>
      <c r="Q4" s="299" t="s">
        <v>86</v>
      </c>
      <c r="R4" s="300" t="s">
        <v>96</v>
      </c>
      <c r="S4" s="299" t="s">
        <v>86</v>
      </c>
      <c r="T4" s="300" t="s">
        <v>96</v>
      </c>
      <c r="U4" s="299" t="s">
        <v>86</v>
      </c>
      <c r="V4" s="300" t="s">
        <v>96</v>
      </c>
      <c r="W4" s="299" t="s">
        <v>86</v>
      </c>
      <c r="X4" s="300" t="s">
        <v>96</v>
      </c>
      <c r="Y4" s="299" t="s">
        <v>86</v>
      </c>
      <c r="Z4" s="300" t="s">
        <v>96</v>
      </c>
      <c r="AA4" s="299" t="s">
        <v>86</v>
      </c>
      <c r="AB4" s="300" t="s">
        <v>96</v>
      </c>
      <c r="AC4" s="299" t="s">
        <v>86</v>
      </c>
      <c r="AD4" s="300" t="s">
        <v>96</v>
      </c>
      <c r="AE4" s="299" t="s">
        <v>86</v>
      </c>
      <c r="AF4" s="300" t="s">
        <v>96</v>
      </c>
      <c r="AG4" s="299" t="s">
        <v>86</v>
      </c>
      <c r="AH4" s="300" t="s">
        <v>96</v>
      </c>
      <c r="AI4" s="299" t="s">
        <v>86</v>
      </c>
      <c r="AJ4" s="300" t="s">
        <v>96</v>
      </c>
      <c r="AK4" s="299" t="s">
        <v>86</v>
      </c>
      <c r="AL4" s="300" t="s">
        <v>96</v>
      </c>
      <c r="AM4" s="299" t="s">
        <v>86</v>
      </c>
      <c r="AN4" s="300" t="s">
        <v>96</v>
      </c>
      <c r="AO4" s="299" t="s">
        <v>86</v>
      </c>
      <c r="AP4" s="300" t="s">
        <v>96</v>
      </c>
      <c r="AQ4" s="299" t="s">
        <v>86</v>
      </c>
      <c r="AR4" s="300" t="s">
        <v>96</v>
      </c>
      <c r="AS4" s="299" t="s">
        <v>86</v>
      </c>
      <c r="AT4" s="300" t="s">
        <v>96</v>
      </c>
      <c r="AU4" s="299" t="s">
        <v>86</v>
      </c>
      <c r="AV4" s="300" t="s">
        <v>96</v>
      </c>
      <c r="AW4" s="299" t="s">
        <v>86</v>
      </c>
      <c r="AX4" s="300" t="s">
        <v>96</v>
      </c>
      <c r="AY4" s="299" t="s">
        <v>86</v>
      </c>
      <c r="AZ4" s="300" t="s">
        <v>96</v>
      </c>
      <c r="BA4" s="299" t="s">
        <v>86</v>
      </c>
      <c r="BB4" s="300" t="s">
        <v>96</v>
      </c>
      <c r="BC4" s="299" t="s">
        <v>86</v>
      </c>
      <c r="BD4" s="300" t="s">
        <v>96</v>
      </c>
      <c r="BE4" s="299" t="s">
        <v>86</v>
      </c>
      <c r="BF4" s="300" t="s">
        <v>96</v>
      </c>
      <c r="BG4" s="299" t="s">
        <v>86</v>
      </c>
      <c r="BH4" s="300" t="s">
        <v>96</v>
      </c>
      <c r="BI4" s="299" t="s">
        <v>86</v>
      </c>
      <c r="BJ4" s="301" t="s">
        <v>96</v>
      </c>
      <c r="BK4" s="302" t="s">
        <v>86</v>
      </c>
      <c r="BL4" s="303" t="s">
        <v>42</v>
      </c>
      <c r="BO4" s="156"/>
      <c r="BP4" s="157"/>
      <c r="BR4" s="13"/>
      <c r="BS4" s="13"/>
      <c r="BU4" s="13"/>
      <c r="BV4" s="13"/>
      <c r="BX4" s="39"/>
    </row>
    <row r="5" spans="1:76" s="11" customFormat="1" ht="15" thickBot="1" x14ac:dyDescent="0.3">
      <c r="A5" s="304" t="s">
        <v>1</v>
      </c>
      <c r="B5" s="305" t="s">
        <v>44</v>
      </c>
      <c r="C5" s="306" t="s">
        <v>45</v>
      </c>
      <c r="D5" s="305" t="s">
        <v>44</v>
      </c>
      <c r="E5" s="306" t="s">
        <v>45</v>
      </c>
      <c r="F5" s="305" t="s">
        <v>44</v>
      </c>
      <c r="G5" s="306" t="s">
        <v>45</v>
      </c>
      <c r="H5" s="305" t="s">
        <v>44</v>
      </c>
      <c r="I5" s="306" t="s">
        <v>45</v>
      </c>
      <c r="J5" s="305" t="s">
        <v>44</v>
      </c>
      <c r="K5" s="306" t="s">
        <v>45</v>
      </c>
      <c r="L5" s="305" t="s">
        <v>44</v>
      </c>
      <c r="M5" s="306" t="s">
        <v>45</v>
      </c>
      <c r="N5" s="305" t="s">
        <v>44</v>
      </c>
      <c r="O5" s="306" t="s">
        <v>45</v>
      </c>
      <c r="P5" s="305" t="s">
        <v>44</v>
      </c>
      <c r="Q5" s="307" t="s">
        <v>45</v>
      </c>
      <c r="R5" s="308" t="s">
        <v>44</v>
      </c>
      <c r="S5" s="307" t="s">
        <v>45</v>
      </c>
      <c r="T5" s="308" t="s">
        <v>44</v>
      </c>
      <c r="U5" s="299" t="s">
        <v>45</v>
      </c>
      <c r="V5" s="308" t="s">
        <v>44</v>
      </c>
      <c r="W5" s="299" t="s">
        <v>45</v>
      </c>
      <c r="X5" s="308" t="s">
        <v>44</v>
      </c>
      <c r="Y5" s="299" t="s">
        <v>45</v>
      </c>
      <c r="Z5" s="308" t="s">
        <v>44</v>
      </c>
      <c r="AA5" s="299" t="s">
        <v>45</v>
      </c>
      <c r="AB5" s="308" t="s">
        <v>44</v>
      </c>
      <c r="AC5" s="299" t="s">
        <v>45</v>
      </c>
      <c r="AD5" s="308" t="s">
        <v>44</v>
      </c>
      <c r="AE5" s="299" t="s">
        <v>45</v>
      </c>
      <c r="AF5" s="308" t="s">
        <v>44</v>
      </c>
      <c r="AG5" s="299" t="s">
        <v>45</v>
      </c>
      <c r="AH5" s="308" t="s">
        <v>44</v>
      </c>
      <c r="AI5" s="299" t="s">
        <v>45</v>
      </c>
      <c r="AJ5" s="308" t="s">
        <v>44</v>
      </c>
      <c r="AK5" s="299" t="s">
        <v>45</v>
      </c>
      <c r="AL5" s="308" t="s">
        <v>44</v>
      </c>
      <c r="AM5" s="299" t="s">
        <v>45</v>
      </c>
      <c r="AN5" s="308" t="s">
        <v>44</v>
      </c>
      <c r="AO5" s="299" t="s">
        <v>45</v>
      </c>
      <c r="AP5" s="308" t="s">
        <v>44</v>
      </c>
      <c r="AQ5" s="299" t="s">
        <v>45</v>
      </c>
      <c r="AR5" s="308" t="s">
        <v>44</v>
      </c>
      <c r="AS5" s="299" t="s">
        <v>45</v>
      </c>
      <c r="AT5" s="308" t="s">
        <v>44</v>
      </c>
      <c r="AU5" s="299" t="s">
        <v>45</v>
      </c>
      <c r="AV5" s="308" t="s">
        <v>44</v>
      </c>
      <c r="AW5" s="299" t="s">
        <v>45</v>
      </c>
      <c r="AX5" s="308" t="s">
        <v>44</v>
      </c>
      <c r="AY5" s="299" t="s">
        <v>45</v>
      </c>
      <c r="AZ5" s="308" t="s">
        <v>44</v>
      </c>
      <c r="BA5" s="299" t="s">
        <v>45</v>
      </c>
      <c r="BB5" s="308" t="s">
        <v>44</v>
      </c>
      <c r="BC5" s="299" t="s">
        <v>45</v>
      </c>
      <c r="BD5" s="308" t="s">
        <v>44</v>
      </c>
      <c r="BE5" s="299" t="s">
        <v>45</v>
      </c>
      <c r="BF5" s="308" t="s">
        <v>44</v>
      </c>
      <c r="BG5" s="299" t="s">
        <v>45</v>
      </c>
      <c r="BH5" s="308" t="s">
        <v>44</v>
      </c>
      <c r="BI5" s="299" t="s">
        <v>45</v>
      </c>
      <c r="BJ5" s="309" t="s">
        <v>44</v>
      </c>
      <c r="BK5" s="302" t="s">
        <v>45</v>
      </c>
      <c r="BL5" s="310" t="s">
        <v>144</v>
      </c>
      <c r="BO5" s="156"/>
      <c r="BP5" s="157"/>
      <c r="BR5" s="13"/>
      <c r="BS5" s="13"/>
      <c r="BU5" s="13"/>
      <c r="BV5" s="13"/>
      <c r="BX5" s="39"/>
    </row>
    <row r="6" spans="1:76" ht="15" thickTop="1" x14ac:dyDescent="0.25">
      <c r="A6" s="158"/>
      <c r="B6" s="311"/>
      <c r="C6" s="312"/>
      <c r="D6" s="313"/>
      <c r="E6" s="314"/>
      <c r="F6" s="313"/>
      <c r="G6" s="312"/>
      <c r="H6" s="315"/>
      <c r="I6" s="316"/>
      <c r="J6" s="317"/>
      <c r="K6" s="96"/>
      <c r="L6" s="16"/>
      <c r="M6" s="96"/>
      <c r="N6" s="16"/>
      <c r="O6" s="96"/>
      <c r="P6" s="16"/>
      <c r="Q6" s="13"/>
      <c r="R6" s="315"/>
      <c r="S6" s="96"/>
      <c r="T6" s="317"/>
      <c r="U6" s="316"/>
      <c r="V6" s="318"/>
      <c r="W6" s="318"/>
      <c r="X6" s="319"/>
      <c r="Y6" s="318"/>
      <c r="Z6" s="319"/>
      <c r="AA6" s="316"/>
      <c r="AB6" s="318"/>
      <c r="AC6" s="316"/>
      <c r="AD6" s="318"/>
      <c r="AE6" s="316"/>
      <c r="AF6" s="318"/>
      <c r="AG6" s="316"/>
      <c r="AH6" s="318"/>
      <c r="AI6" s="316"/>
      <c r="AJ6" s="318"/>
      <c r="AK6" s="316"/>
      <c r="AL6" s="318"/>
      <c r="AM6" s="316"/>
      <c r="AN6" s="318"/>
      <c r="AO6" s="318"/>
      <c r="AP6" s="317"/>
      <c r="AQ6" s="318"/>
      <c r="AR6" s="317"/>
      <c r="AS6" s="318"/>
      <c r="AT6" s="317"/>
      <c r="AU6" s="318"/>
      <c r="AV6" s="317"/>
      <c r="AW6" s="318"/>
      <c r="AX6" s="317"/>
      <c r="AY6" s="318"/>
      <c r="AZ6" s="317"/>
      <c r="BA6" s="318"/>
      <c r="BB6" s="317"/>
      <c r="BC6" s="318"/>
      <c r="BD6" s="317"/>
      <c r="BE6" s="318"/>
      <c r="BF6" s="317"/>
      <c r="BG6" s="318"/>
      <c r="BH6" s="317"/>
      <c r="BI6" s="318"/>
      <c r="BJ6" s="320"/>
      <c r="BK6" s="321"/>
      <c r="BL6" s="303"/>
      <c r="BO6" s="156"/>
      <c r="BP6" s="157"/>
      <c r="BR6" s="13"/>
      <c r="BS6" s="13"/>
      <c r="BU6" s="13"/>
      <c r="BV6" s="13"/>
      <c r="BX6" s="39"/>
    </row>
    <row r="7" spans="1:76" ht="15" customHeight="1" x14ac:dyDescent="0.25">
      <c r="A7" s="160" t="str">
        <f>'Table 4'!A7</f>
        <v>Baker</v>
      </c>
      <c r="B7" s="322">
        <v>981.9</v>
      </c>
      <c r="C7" s="314">
        <f>B7*2000/15850</f>
        <v>123.89905362776025</v>
      </c>
      <c r="D7" s="323">
        <v>1228.0999999999999</v>
      </c>
      <c r="E7" s="314">
        <f>D7*2000/16170</f>
        <v>151.89857761286333</v>
      </c>
      <c r="F7" s="323">
        <v>1658.5</v>
      </c>
      <c r="G7" s="314">
        <f>F7*2000/16420</f>
        <v>202.00974421437272</v>
      </c>
      <c r="H7" s="323">
        <v>2768</v>
      </c>
      <c r="I7" s="324">
        <f>H7*2000/16680</f>
        <v>331.89448441247004</v>
      </c>
      <c r="J7" s="323">
        <v>3643.7</v>
      </c>
      <c r="K7" s="324">
        <f>J7*2000/16640</f>
        <v>437.94471153846155</v>
      </c>
      <c r="L7" s="13">
        <v>2957.6</v>
      </c>
      <c r="M7" s="324">
        <f>L7*2000/16730</f>
        <v>353.56843992827254</v>
      </c>
      <c r="N7" s="13">
        <v>2934</v>
      </c>
      <c r="O7" s="324">
        <f>N7*2000/16820</f>
        <v>348.87039239001189</v>
      </c>
      <c r="P7" s="13">
        <v>2792.4</v>
      </c>
      <c r="Q7" s="314">
        <f>P7*2000/16720</f>
        <v>334.01913875598086</v>
      </c>
      <c r="R7" s="323">
        <v>2849</v>
      </c>
      <c r="S7" s="96">
        <v>340</v>
      </c>
      <c r="T7" s="323">
        <v>3488</v>
      </c>
      <c r="U7" s="96">
        <v>418</v>
      </c>
      <c r="V7" s="13">
        <v>3374.5</v>
      </c>
      <c r="W7" s="13">
        <v>404.1317365269461</v>
      </c>
      <c r="X7" s="323">
        <v>3532.9360000000001</v>
      </c>
      <c r="Y7" s="13">
        <v>428.23466666666667</v>
      </c>
      <c r="Z7" s="323">
        <v>3016.212</v>
      </c>
      <c r="AA7" s="96">
        <v>364.49691842900302</v>
      </c>
      <c r="AB7" s="323">
        <v>3756.4270000000001</v>
      </c>
      <c r="AC7" s="96">
        <v>455.32448484848487</v>
      </c>
      <c r="AD7" s="13">
        <v>2781.8530000000001</v>
      </c>
      <c r="AE7" s="96">
        <v>337.80850030358226</v>
      </c>
      <c r="AF7" s="13">
        <v>3565.232</v>
      </c>
      <c r="AG7" s="96">
        <v>433.85847277152419</v>
      </c>
      <c r="AH7" s="325">
        <v>3365.759</v>
      </c>
      <c r="AI7" s="326">
        <v>409.03246357494857</v>
      </c>
      <c r="AJ7" s="325">
        <v>4066.8209999999999</v>
      </c>
      <c r="AK7" s="326">
        <v>494.44632218844987</v>
      </c>
      <c r="AL7" s="323">
        <v>3793.3690000000001</v>
      </c>
      <c r="AM7" s="96">
        <v>468.75118937287613</v>
      </c>
      <c r="AN7" s="13">
        <v>3402.4690000000001</v>
      </c>
      <c r="AO7" s="13">
        <v>419.66931853222326</v>
      </c>
      <c r="AP7" s="323">
        <v>3200.4270000000001</v>
      </c>
      <c r="AQ7" s="13">
        <v>394.87069710055522</v>
      </c>
      <c r="AR7" s="323">
        <v>3324.7159999999999</v>
      </c>
      <c r="AS7" s="13">
        <v>408.44176904176902</v>
      </c>
      <c r="AT7" s="323">
        <v>4070.8890000000001</v>
      </c>
      <c r="AU7" s="13">
        <v>498.73065849923432</v>
      </c>
      <c r="AV7" s="323">
        <v>4121.5460000000003</v>
      </c>
      <c r="AW7" s="13">
        <v>501.86252663622531</v>
      </c>
      <c r="AX7" s="323">
        <v>3111.13</v>
      </c>
      <c r="AY7" s="13">
        <v>376.87825560266504</v>
      </c>
      <c r="AZ7" s="323">
        <v>2957.174</v>
      </c>
      <c r="BA7" s="13">
        <v>353.0954029850746</v>
      </c>
      <c r="BB7" s="323">
        <v>2623.8539999999998</v>
      </c>
      <c r="BC7" s="13">
        <v>313.0156874440799</v>
      </c>
      <c r="BD7" s="323">
        <v>2621.09</v>
      </c>
      <c r="BE7" s="13">
        <v>311.66349583828776</v>
      </c>
      <c r="BF7" s="323">
        <v>3385.9490000000001</v>
      </c>
      <c r="BG7" s="13">
        <v>400.46706091070371</v>
      </c>
      <c r="BH7" s="323">
        <v>3333.0129999999999</v>
      </c>
      <c r="BI7" s="13">
        <v>395.37520759193359</v>
      </c>
      <c r="BJ7" s="327">
        <f>'Table 2'!B6</f>
        <v>3187.357</v>
      </c>
      <c r="BK7" s="366">
        <f>'Table 2'!C6</f>
        <v>371.74396314640694</v>
      </c>
      <c r="BL7" s="110">
        <f>(BK7/BI7)-1</f>
        <v>-5.9769161019110784E-2</v>
      </c>
      <c r="BO7" s="156"/>
      <c r="BP7" s="157"/>
      <c r="BQ7" s="161"/>
      <c r="BR7" s="13"/>
      <c r="BS7" s="13"/>
      <c r="BT7" s="13"/>
      <c r="BU7" s="13"/>
      <c r="BV7" s="13"/>
      <c r="BX7" s="39"/>
    </row>
    <row r="8" spans="1:76" ht="15" customHeight="1" x14ac:dyDescent="0.25">
      <c r="A8" s="160" t="str">
        <f>'Table 4'!A8</f>
        <v>Benton</v>
      </c>
      <c r="B8" s="322">
        <v>21480.3</v>
      </c>
      <c r="C8" s="314">
        <f>B8*2000/(72490-3890)</f>
        <v>626.24781341107871</v>
      </c>
      <c r="D8" s="323">
        <v>22217.8</v>
      </c>
      <c r="E8" s="314">
        <f>D8*2000/(73840-3975)</f>
        <v>636.02089744507259</v>
      </c>
      <c r="F8" s="323">
        <v>24053.5</v>
      </c>
      <c r="G8" s="314">
        <f>F8*2000/(75290-4075)</f>
        <v>675.51779821666787</v>
      </c>
      <c r="H8" s="323">
        <v>25916</v>
      </c>
      <c r="I8" s="324">
        <f>H8*2000/(76270-4200)</f>
        <v>719.18967670320524</v>
      </c>
      <c r="J8" s="323">
        <v>30351.9</v>
      </c>
      <c r="K8" s="324">
        <f>J8*2000/(77490-4350)</f>
        <v>829.96718621821162</v>
      </c>
      <c r="L8" s="13">
        <v>31698.1</v>
      </c>
      <c r="M8" s="324">
        <f>L8*2000/(78210-4540)</f>
        <v>860.54296185692954</v>
      </c>
      <c r="N8" s="13">
        <v>31957</v>
      </c>
      <c r="O8" s="324">
        <f>N8*2000/(78590-4740)</f>
        <v>865.45700744752878</v>
      </c>
      <c r="P8" s="13">
        <v>29992.2</v>
      </c>
      <c r="Q8" s="314">
        <f>P8*2000/(78040-4980)</f>
        <v>821.02929099370385</v>
      </c>
      <c r="R8" s="323">
        <v>28488</v>
      </c>
      <c r="S8" s="96">
        <v>779</v>
      </c>
      <c r="T8" s="323">
        <v>35609</v>
      </c>
      <c r="U8" s="96">
        <v>966</v>
      </c>
      <c r="V8" s="13">
        <v>36426.5</v>
      </c>
      <c r="W8" s="13">
        <v>977.6957659531638</v>
      </c>
      <c r="X8" s="323">
        <v>34365.600999999995</v>
      </c>
      <c r="Y8" s="13">
        <v>923.00009400389422</v>
      </c>
      <c r="Z8" s="323">
        <v>42092.333999999995</v>
      </c>
      <c r="AA8" s="96">
        <v>1114.512054014695</v>
      </c>
      <c r="AB8" s="323">
        <v>38851.923999999999</v>
      </c>
      <c r="AC8" s="96">
        <v>1017.3323906781881</v>
      </c>
      <c r="AD8" s="13">
        <v>35728.027000000002</v>
      </c>
      <c r="AE8" s="96">
        <v>920.967855853998</v>
      </c>
      <c r="AF8" s="13">
        <v>36291.841999999997</v>
      </c>
      <c r="AG8" s="96">
        <v>922.27143238332428</v>
      </c>
      <c r="AH8" s="325">
        <v>38210.110999999997</v>
      </c>
      <c r="AI8" s="326">
        <v>965.64256006021981</v>
      </c>
      <c r="AJ8" s="325">
        <v>31437.606</v>
      </c>
      <c r="AK8" s="326">
        <v>789.2748361828726</v>
      </c>
      <c r="AL8" s="323">
        <v>32938.411999999997</v>
      </c>
      <c r="AM8" s="96">
        <v>832.32455652701265</v>
      </c>
      <c r="AN8" s="13">
        <v>33774.947999999997</v>
      </c>
      <c r="AO8" s="13">
        <v>851.85941460584888</v>
      </c>
      <c r="AP8" s="323">
        <v>38226.283000000003</v>
      </c>
      <c r="AQ8" s="13">
        <v>955.40628085127651</v>
      </c>
      <c r="AR8" s="323">
        <v>37952.81</v>
      </c>
      <c r="AS8" s="13">
        <v>939.274869142341</v>
      </c>
      <c r="AT8" s="323">
        <v>33959.432999999997</v>
      </c>
      <c r="AU8" s="13">
        <v>832.40025001838376</v>
      </c>
      <c r="AV8" s="323">
        <v>33393.544999999998</v>
      </c>
      <c r="AW8" s="13">
        <v>807.21180110710918</v>
      </c>
      <c r="AX8" s="323">
        <v>34311.230000000003</v>
      </c>
      <c r="AY8" s="13">
        <v>820.12668363749356</v>
      </c>
      <c r="AZ8" s="323">
        <v>32590.377</v>
      </c>
      <c r="BA8" s="13">
        <v>768.14276118083785</v>
      </c>
      <c r="BB8" s="323">
        <v>35072.129000000001</v>
      </c>
      <c r="BC8" s="13">
        <v>819.01171113316593</v>
      </c>
      <c r="BD8" s="323">
        <v>36319.447</v>
      </c>
      <c r="BE8" s="13">
        <v>843.60831542883693</v>
      </c>
      <c r="BF8" s="323">
        <v>39470.216</v>
      </c>
      <c r="BG8" s="13">
        <v>914.03267527354831</v>
      </c>
      <c r="BH8" s="323">
        <v>35226.038</v>
      </c>
      <c r="BI8" s="13">
        <v>832.2356415526732</v>
      </c>
      <c r="BJ8" s="327">
        <f>'Table 2'!B7</f>
        <v>32968.417999999998</v>
      </c>
      <c r="BK8" s="366">
        <f>'Table 2'!C7</f>
        <v>763.38312896815421</v>
      </c>
      <c r="BL8" s="110">
        <f t="shared" ref="BL8:BL41" si="0">(BK8/BI8)-1</f>
        <v>-8.2731992174792324E-2</v>
      </c>
      <c r="BN8" s="13"/>
      <c r="BO8" s="156"/>
      <c r="BP8" s="157"/>
      <c r="BQ8" s="161"/>
      <c r="BR8" s="13"/>
      <c r="BS8" s="13"/>
      <c r="BT8" s="13"/>
      <c r="BU8" s="13"/>
      <c r="BV8" s="13"/>
      <c r="BX8" s="39"/>
    </row>
    <row r="9" spans="1:76" ht="15" customHeight="1" x14ac:dyDescent="0.25">
      <c r="A9" s="160" t="str">
        <f>'Table 4'!A9</f>
        <v>Clatsop</v>
      </c>
      <c r="B9" s="322">
        <v>5148.2</v>
      </c>
      <c r="C9" s="314">
        <f>B9*2000/34270</f>
        <v>300.44937262912168</v>
      </c>
      <c r="D9" s="323">
        <v>6987.4</v>
      </c>
      <c r="E9" s="314">
        <f>D9*2000/34660</f>
        <v>403.19676860934794</v>
      </c>
      <c r="F9" s="323">
        <v>7124.6</v>
      </c>
      <c r="G9" s="314">
        <f>F9*2000/35210</f>
        <v>404.69184890656061</v>
      </c>
      <c r="H9" s="323">
        <v>7040</v>
      </c>
      <c r="I9" s="324">
        <f>H9*2000/35430</f>
        <v>397.40333051086651</v>
      </c>
      <c r="J9" s="323">
        <v>7117.9</v>
      </c>
      <c r="K9" s="324">
        <f>J9*2000/35320</f>
        <v>403.05209513023783</v>
      </c>
      <c r="L9" s="13">
        <v>9121.6</v>
      </c>
      <c r="M9" s="324">
        <f>L9*2000/35630</f>
        <v>512.01796239124337</v>
      </c>
      <c r="N9" s="13">
        <v>8512</v>
      </c>
      <c r="O9" s="324">
        <f>N9*2000/35590</f>
        <v>478.3366114076988</v>
      </c>
      <c r="P9" s="13">
        <v>10333</v>
      </c>
      <c r="Q9" s="314">
        <f>P9*2000/35580</f>
        <v>580.831928049466</v>
      </c>
      <c r="R9" s="323">
        <v>10586</v>
      </c>
      <c r="S9" s="96">
        <v>593</v>
      </c>
      <c r="T9" s="323">
        <v>11999</v>
      </c>
      <c r="U9" s="96">
        <v>669</v>
      </c>
      <c r="V9" s="13">
        <v>11369.5</v>
      </c>
      <c r="W9" s="13">
        <v>629.88919667590028</v>
      </c>
      <c r="X9" s="323">
        <v>13425.133000000003</v>
      </c>
      <c r="Y9" s="13">
        <v>739.676749311295</v>
      </c>
      <c r="Z9" s="323">
        <v>14738.658999999994</v>
      </c>
      <c r="AA9" s="96">
        <v>809.81642857142822</v>
      </c>
      <c r="AB9" s="323">
        <v>22705.756000000001</v>
      </c>
      <c r="AC9" s="96">
        <v>1239.3971615720525</v>
      </c>
      <c r="AD9" s="13">
        <v>19576.330000000002</v>
      </c>
      <c r="AE9" s="96">
        <v>1056.8945876636524</v>
      </c>
      <c r="AF9" s="13">
        <v>19029.217000000001</v>
      </c>
      <c r="AG9" s="96">
        <v>1016.5180021367521</v>
      </c>
      <c r="AH9" s="325">
        <v>20984.067999999999</v>
      </c>
      <c r="AI9" s="326">
        <v>1113.3407798884077</v>
      </c>
      <c r="AJ9" s="325">
        <v>17583.773000000001</v>
      </c>
      <c r="AK9" s="326">
        <v>929.3748942917548</v>
      </c>
      <c r="AL9" s="323">
        <v>17439.810000000001</v>
      </c>
      <c r="AM9" s="96">
        <v>940.91232802805507</v>
      </c>
      <c r="AN9" s="13">
        <v>18365.510999999999</v>
      </c>
      <c r="AO9" s="13">
        <v>988.85508143760933</v>
      </c>
      <c r="AP9" s="323">
        <v>19465.326000000001</v>
      </c>
      <c r="AQ9" s="13">
        <v>1046.8043022317827</v>
      </c>
      <c r="AR9" s="323">
        <v>23012.653999999999</v>
      </c>
      <c r="AS9" s="13">
        <v>1234.9156962704587</v>
      </c>
      <c r="AT9" s="323">
        <v>19025.190999999999</v>
      </c>
      <c r="AU9" s="13">
        <v>1014.8121616215495</v>
      </c>
      <c r="AV9" s="323">
        <v>20973.076000000001</v>
      </c>
      <c r="AW9" s="13">
        <v>1111.156344370861</v>
      </c>
      <c r="AX9" s="323">
        <v>20671.272000000001</v>
      </c>
      <c r="AY9" s="13">
        <v>1081.5577240026162</v>
      </c>
      <c r="AZ9" s="323">
        <v>23961.995999999999</v>
      </c>
      <c r="BA9" s="13">
        <v>1234.5180834621328</v>
      </c>
      <c r="BB9" s="323">
        <v>24447.695</v>
      </c>
      <c r="BC9" s="13">
        <v>1247.3313775510203</v>
      </c>
      <c r="BD9" s="323">
        <v>19604.293000000001</v>
      </c>
      <c r="BE9" s="13">
        <v>996.91294177472662</v>
      </c>
      <c r="BF9" s="323">
        <v>20592.774000000001</v>
      </c>
      <c r="BG9" s="13">
        <v>1043.8613103535674</v>
      </c>
      <c r="BH9" s="323">
        <v>19410.521000000001</v>
      </c>
      <c r="BI9" s="13">
        <v>937.07255962151203</v>
      </c>
      <c r="BJ9" s="327">
        <f>'Table 2'!B8</f>
        <v>20091.323</v>
      </c>
      <c r="BK9" s="366">
        <f>'Table 2'!C8</f>
        <v>957.38148548040522</v>
      </c>
      <c r="BL9" s="110">
        <f t="shared" si="0"/>
        <v>2.1672735638631924E-2</v>
      </c>
      <c r="BN9" s="13"/>
      <c r="BO9" s="156"/>
      <c r="BP9" s="157"/>
      <c r="BQ9" s="161"/>
      <c r="BR9" s="13"/>
      <c r="BS9" s="13"/>
      <c r="BT9" s="13"/>
      <c r="BU9" s="13"/>
      <c r="BV9" s="13"/>
      <c r="BX9" s="39"/>
    </row>
    <row r="10" spans="1:76" ht="15" customHeight="1" x14ac:dyDescent="0.25">
      <c r="A10" s="160" t="str">
        <f>'Table 4'!A10</f>
        <v>Columbia</v>
      </c>
      <c r="B10" s="322">
        <v>7894</v>
      </c>
      <c r="C10" s="314">
        <f>B10*2000/38810</f>
        <v>406.80237052306109</v>
      </c>
      <c r="D10" s="323">
        <v>5906.6</v>
      </c>
      <c r="E10" s="314">
        <f>D10*2000/39440</f>
        <v>299.5233265720081</v>
      </c>
      <c r="F10" s="323">
        <v>5233.3999999999996</v>
      </c>
      <c r="G10" s="314">
        <f>F10*2000/39880</f>
        <v>262.45737211634906</v>
      </c>
      <c r="H10" s="323">
        <v>6937</v>
      </c>
      <c r="I10" s="324">
        <f>H10*2000/40520</f>
        <v>342.39881539980257</v>
      </c>
      <c r="J10" s="323">
        <v>6258.1</v>
      </c>
      <c r="K10" s="324">
        <f>J10*2000/41380</f>
        <v>302.46979217013052</v>
      </c>
      <c r="L10" s="13">
        <v>7616.8</v>
      </c>
      <c r="M10" s="324">
        <f>L10*2000/41960</f>
        <v>363.05052430886559</v>
      </c>
      <c r="N10" s="13">
        <v>9252</v>
      </c>
      <c r="O10" s="324">
        <f>N10*2000/42690</f>
        <v>433.45045678144766</v>
      </c>
      <c r="P10" s="13">
        <v>7732</v>
      </c>
      <c r="Q10" s="314">
        <f>P10*2000/43280</f>
        <v>357.30129390018482</v>
      </c>
      <c r="R10" s="323">
        <v>10361</v>
      </c>
      <c r="S10" s="96">
        <v>474</v>
      </c>
      <c r="T10" s="323">
        <v>14050</v>
      </c>
      <c r="U10" s="96">
        <v>634</v>
      </c>
      <c r="V10" s="13">
        <v>11830.5</v>
      </c>
      <c r="W10" s="13">
        <v>530.51569506726457</v>
      </c>
      <c r="X10" s="323">
        <v>14758.190999999997</v>
      </c>
      <c r="Y10" s="13">
        <v>655.91959999999983</v>
      </c>
      <c r="Z10" s="323">
        <v>11359.583999999997</v>
      </c>
      <c r="AA10" s="96">
        <v>497.68166484118274</v>
      </c>
      <c r="AB10" s="323">
        <v>13209.278</v>
      </c>
      <c r="AC10" s="96">
        <v>571.58277801817394</v>
      </c>
      <c r="AD10" s="13">
        <v>12940.150999999996</v>
      </c>
      <c r="AE10" s="96">
        <v>551.05508357287329</v>
      </c>
      <c r="AF10" s="13">
        <v>13646.91</v>
      </c>
      <c r="AG10" s="96">
        <v>573.82150741091141</v>
      </c>
      <c r="AH10" s="325">
        <v>12968.463</v>
      </c>
      <c r="AI10" s="326">
        <v>539.30164147440951</v>
      </c>
      <c r="AJ10" s="325">
        <v>12000.688</v>
      </c>
      <c r="AK10" s="326">
        <v>495.79376161950012</v>
      </c>
      <c r="AL10" s="323">
        <v>13728.566999999999</v>
      </c>
      <c r="AM10" s="96">
        <v>555.47509609548854</v>
      </c>
      <c r="AN10" s="13">
        <v>13386.204</v>
      </c>
      <c r="AO10" s="13">
        <v>539.4943677581864</v>
      </c>
      <c r="AP10" s="323">
        <v>12703.004000000001</v>
      </c>
      <c r="AQ10" s="13">
        <v>511.39307568438005</v>
      </c>
      <c r="AR10" s="323">
        <v>13254.028</v>
      </c>
      <c r="AS10" s="13">
        <v>531.75638916750256</v>
      </c>
      <c r="AT10" s="323">
        <v>10272.797</v>
      </c>
      <c r="AU10" s="13">
        <v>410.29643534697954</v>
      </c>
      <c r="AV10" s="323">
        <v>11730.047</v>
      </c>
      <c r="AW10" s="13">
        <v>465.5704306410002</v>
      </c>
      <c r="AX10" s="323">
        <v>13780.995000000001</v>
      </c>
      <c r="AY10" s="13">
        <v>542.61226498671124</v>
      </c>
      <c r="AZ10" s="323">
        <v>10031.780000000001</v>
      </c>
      <c r="BA10" s="13">
        <v>390.75976239166425</v>
      </c>
      <c r="BB10" s="323">
        <v>10447.724</v>
      </c>
      <c r="BC10" s="13">
        <v>402.6097880539499</v>
      </c>
      <c r="BD10" s="323">
        <v>11507.794</v>
      </c>
      <c r="BE10" s="13">
        <v>436.3144644549763</v>
      </c>
      <c r="BF10" s="323">
        <v>11056.278</v>
      </c>
      <c r="BG10" s="13">
        <v>415.02545045045048</v>
      </c>
      <c r="BH10" s="323">
        <v>11463.468000000001</v>
      </c>
      <c r="BI10" s="13">
        <v>432.46946089712151</v>
      </c>
      <c r="BJ10" s="327">
        <f>'Table 2'!B9</f>
        <v>9341.3410000000003</v>
      </c>
      <c r="BK10" s="366">
        <f>'Table 2'!C9</f>
        <v>351.47157717440888</v>
      </c>
      <c r="BL10" s="110">
        <f t="shared" si="0"/>
        <v>-0.18729156864553931</v>
      </c>
      <c r="BN10" s="13"/>
      <c r="BO10" s="156"/>
      <c r="BP10" s="157"/>
      <c r="BQ10" s="161"/>
      <c r="BR10" s="13"/>
      <c r="BS10" s="13"/>
      <c r="BT10" s="13"/>
      <c r="BU10" s="13"/>
      <c r="BV10" s="13"/>
      <c r="BX10" s="39"/>
    </row>
    <row r="11" spans="1:76" ht="15" customHeight="1" x14ac:dyDescent="0.25">
      <c r="A11" s="162" t="str">
        <f>'Table 4'!A11</f>
        <v>Coos</v>
      </c>
      <c r="B11" s="328">
        <v>10035.1</v>
      </c>
      <c r="C11" s="329">
        <f>B11*2000/62110</f>
        <v>323.1395910481404</v>
      </c>
      <c r="D11" s="330">
        <v>8818.9</v>
      </c>
      <c r="E11" s="329">
        <f>D11*2000/62950</f>
        <v>280.18745035742654</v>
      </c>
      <c r="F11" s="330">
        <v>11521.8</v>
      </c>
      <c r="G11" s="329">
        <f>F11*2000/63250</f>
        <v>364.32569169960476</v>
      </c>
      <c r="H11" s="330">
        <v>13873</v>
      </c>
      <c r="I11" s="331">
        <f>H11*2000/63510</f>
        <v>436.87608250669189</v>
      </c>
      <c r="J11" s="330">
        <v>14972.4</v>
      </c>
      <c r="K11" s="331">
        <f>J11*2000/63460</f>
        <v>471.86889379136466</v>
      </c>
      <c r="L11" s="330">
        <v>15102</v>
      </c>
      <c r="M11" s="331">
        <f>L11*2000/63460</f>
        <v>475.95335644500472</v>
      </c>
      <c r="N11" s="332">
        <v>13905</v>
      </c>
      <c r="O11" s="331">
        <f>N11*2000/63220</f>
        <v>439.89243910155017</v>
      </c>
      <c r="P11" s="330">
        <v>11067.8</v>
      </c>
      <c r="Q11" s="329">
        <f>P11*2000/62860</f>
        <v>352.141266306077</v>
      </c>
      <c r="R11" s="330">
        <v>11754</v>
      </c>
      <c r="S11" s="333">
        <v>374</v>
      </c>
      <c r="T11" s="323">
        <v>11075</v>
      </c>
      <c r="U11" s="96">
        <v>352</v>
      </c>
      <c r="V11" s="13">
        <v>13825.3</v>
      </c>
      <c r="W11" s="13">
        <v>441.35035913806865</v>
      </c>
      <c r="X11" s="323">
        <v>11613.627</v>
      </c>
      <c r="Y11" s="13">
        <v>368.68657142857143</v>
      </c>
      <c r="Z11" s="323">
        <v>12446.494000000008</v>
      </c>
      <c r="AA11" s="96">
        <v>397.01735247208956</v>
      </c>
      <c r="AB11" s="323">
        <v>13826.147000000001</v>
      </c>
      <c r="AC11" s="96">
        <v>441.06059494377541</v>
      </c>
      <c r="AD11" s="13">
        <v>13363.897999999999</v>
      </c>
      <c r="AE11" s="96">
        <v>424.89143947221999</v>
      </c>
      <c r="AF11" s="13">
        <v>12162.306</v>
      </c>
      <c r="AG11" s="96">
        <v>385.79876288659796</v>
      </c>
      <c r="AH11" s="325">
        <v>13528.682000000001</v>
      </c>
      <c r="AI11" s="326">
        <v>428.05714618073188</v>
      </c>
      <c r="AJ11" s="325">
        <v>12666.044</v>
      </c>
      <c r="AK11" s="326">
        <v>401.68220090382937</v>
      </c>
      <c r="AL11" s="323">
        <v>22551.439999999999</v>
      </c>
      <c r="AM11" s="96">
        <v>715.5212183707464</v>
      </c>
      <c r="AN11" s="13">
        <v>36367.678999999996</v>
      </c>
      <c r="AO11" s="13">
        <v>1155.2629923761119</v>
      </c>
      <c r="AP11" s="323">
        <v>31613.405999999999</v>
      </c>
      <c r="AQ11" s="13">
        <v>1005.355573223088</v>
      </c>
      <c r="AR11" s="323">
        <v>27145.505000000001</v>
      </c>
      <c r="AS11" s="13">
        <v>863.68135539293667</v>
      </c>
      <c r="AT11" s="323">
        <v>26189.53</v>
      </c>
      <c r="AU11" s="13">
        <v>832.73545310015902</v>
      </c>
      <c r="AV11" s="323">
        <v>13024.057000000001</v>
      </c>
      <c r="AW11" s="13">
        <v>413.52776631211304</v>
      </c>
      <c r="AX11" s="323">
        <v>13214.696</v>
      </c>
      <c r="AY11" s="13">
        <v>418.25276151289762</v>
      </c>
      <c r="AZ11" s="323">
        <v>14029.517</v>
      </c>
      <c r="BA11" s="13">
        <v>443.20066340230613</v>
      </c>
      <c r="BB11" s="323">
        <v>12602.602999999999</v>
      </c>
      <c r="BC11" s="13">
        <v>398.34383247728169</v>
      </c>
      <c r="BD11" s="323">
        <v>16091.565000000001</v>
      </c>
      <c r="BE11" s="13">
        <v>508.50260704692687</v>
      </c>
      <c r="BF11" s="323">
        <v>14781.115</v>
      </c>
      <c r="BG11" s="13">
        <v>466.90720998183684</v>
      </c>
      <c r="BH11" s="323">
        <v>15520.620999999999</v>
      </c>
      <c r="BI11" s="13">
        <v>476.42879945974153</v>
      </c>
      <c r="BJ11" s="327">
        <f>'Table 2'!B10</f>
        <v>18081.96</v>
      </c>
      <c r="BK11" s="366">
        <f>'Table 2'!C10</f>
        <v>555.41421833739093</v>
      </c>
      <c r="BL11" s="122">
        <f t="shared" si="0"/>
        <v>0.16578640705015513</v>
      </c>
      <c r="BN11" s="13"/>
      <c r="BO11" s="156"/>
      <c r="BP11" s="157"/>
      <c r="BQ11" s="161"/>
      <c r="BR11" s="13"/>
      <c r="BS11" s="13"/>
      <c r="BT11" s="13"/>
      <c r="BU11" s="13"/>
      <c r="BV11" s="13"/>
      <c r="BX11" s="39"/>
    </row>
    <row r="12" spans="1:76" ht="15" customHeight="1" x14ac:dyDescent="0.25">
      <c r="A12" s="160" t="str">
        <f>'Table 4'!A12</f>
        <v>Crook</v>
      </c>
      <c r="B12" s="322">
        <v>1580.7</v>
      </c>
      <c r="C12" s="314">
        <f>B12*2000/15360</f>
        <v>205.8203125</v>
      </c>
      <c r="D12" s="323">
        <v>1900.5</v>
      </c>
      <c r="E12" s="314">
        <f>D12*2000/15980</f>
        <v>237.85982478097623</v>
      </c>
      <c r="F12" s="323">
        <v>1553.5</v>
      </c>
      <c r="G12" s="314">
        <f>F12*2000/16460</f>
        <v>188.76063183475091</v>
      </c>
      <c r="H12" s="323">
        <v>3125</v>
      </c>
      <c r="I12" s="324">
        <f>H12*2000/16990</f>
        <v>367.86344908769865</v>
      </c>
      <c r="J12" s="323">
        <v>3156</v>
      </c>
      <c r="K12" s="324">
        <f>J12*2000/17400</f>
        <v>362.75862068965517</v>
      </c>
      <c r="L12" s="13">
        <v>2249.6</v>
      </c>
      <c r="M12" s="324">
        <f>L12*2000/17830</f>
        <v>252.33875490745933</v>
      </c>
      <c r="N12" s="13">
        <v>2267</v>
      </c>
      <c r="O12" s="324">
        <f>N12*2000/18340</f>
        <v>247.21919302071973</v>
      </c>
      <c r="P12" s="13">
        <v>4176.8</v>
      </c>
      <c r="Q12" s="314">
        <f>P12*2000/18890</f>
        <v>442.22339862361036</v>
      </c>
      <c r="R12" s="334">
        <v>5215</v>
      </c>
      <c r="S12" s="335">
        <v>540</v>
      </c>
      <c r="T12" s="334">
        <v>7040</v>
      </c>
      <c r="U12" s="335">
        <v>709</v>
      </c>
      <c r="V12" s="336">
        <v>6174.6</v>
      </c>
      <c r="W12" s="336">
        <v>611.34653465346537</v>
      </c>
      <c r="X12" s="334">
        <v>2828.7590000000005</v>
      </c>
      <c r="Y12" s="336">
        <v>278.69546798029563</v>
      </c>
      <c r="Z12" s="334">
        <v>4617.3949999999995</v>
      </c>
      <c r="AA12" s="335">
        <v>447.20532687651325</v>
      </c>
      <c r="AB12" s="334">
        <v>4817.2719999999999</v>
      </c>
      <c r="AC12" s="335">
        <v>423.03156970362238</v>
      </c>
      <c r="AD12" s="336">
        <v>7075.4830000000002</v>
      </c>
      <c r="AE12" s="335">
        <v>577.00167176350658</v>
      </c>
      <c r="AF12" s="336">
        <v>7003.9279999999999</v>
      </c>
      <c r="AG12" s="335">
        <v>541.15727255167087</v>
      </c>
      <c r="AH12" s="337">
        <v>7870.5770000000002</v>
      </c>
      <c r="AI12" s="367">
        <v>586.36880856702612</v>
      </c>
      <c r="AJ12" s="337">
        <v>6273.4040000000005</v>
      </c>
      <c r="AK12" s="367">
        <v>461.53422843479859</v>
      </c>
      <c r="AL12" s="334">
        <v>7006.4570000000003</v>
      </c>
      <c r="AM12" s="335">
        <v>666.64671741198856</v>
      </c>
      <c r="AN12" s="336">
        <v>7534.61</v>
      </c>
      <c r="AO12" s="336">
        <v>722.57108607048667</v>
      </c>
      <c r="AP12" s="334">
        <v>6327.616</v>
      </c>
      <c r="AQ12" s="336">
        <v>612.84416464891046</v>
      </c>
      <c r="AR12" s="334">
        <v>6181.5259999999998</v>
      </c>
      <c r="AS12" s="336">
        <v>597.53755437409382</v>
      </c>
      <c r="AT12" s="334">
        <v>5208.9459999999999</v>
      </c>
      <c r="AU12" s="336">
        <v>501.34225216554381</v>
      </c>
      <c r="AV12" s="334">
        <v>4458.8419999999996</v>
      </c>
      <c r="AW12" s="336">
        <v>422.93972018022293</v>
      </c>
      <c r="AX12" s="334">
        <v>5302.0429999999997</v>
      </c>
      <c r="AY12" s="336">
        <v>491.38489341983319</v>
      </c>
      <c r="AZ12" s="334">
        <v>6188.7420000000002</v>
      </c>
      <c r="BA12" s="336">
        <v>559.94046595792804</v>
      </c>
      <c r="BB12" s="334">
        <v>5617.7169999999996</v>
      </c>
      <c r="BC12" s="336">
        <v>494.73509467195066</v>
      </c>
      <c r="BD12" s="334">
        <v>7152.3559999999998</v>
      </c>
      <c r="BE12" s="336">
        <v>610.26928327645055</v>
      </c>
      <c r="BF12" s="334">
        <v>7342.4350000000004</v>
      </c>
      <c r="BG12" s="336">
        <v>626.48762798634812</v>
      </c>
      <c r="BH12" s="334">
        <v>7448.66</v>
      </c>
      <c r="BI12" s="336">
        <v>584.62130131072911</v>
      </c>
      <c r="BJ12" s="368">
        <f>'Table 2'!B11</f>
        <v>11310.914000000001</v>
      </c>
      <c r="BK12" s="369">
        <f>'Table 2'!C11</f>
        <v>864.68995943356788</v>
      </c>
      <c r="BL12" s="110">
        <f t="shared" si="0"/>
        <v>0.47905996154249064</v>
      </c>
      <c r="BN12" s="13"/>
      <c r="BO12" s="156"/>
      <c r="BP12" s="157"/>
      <c r="BQ12" s="161"/>
      <c r="BR12" s="13"/>
      <c r="BS12" s="13"/>
      <c r="BT12" s="13"/>
      <c r="BU12" s="13"/>
      <c r="BV12" s="13"/>
      <c r="BX12" s="39"/>
    </row>
    <row r="13" spans="1:76" ht="15" customHeight="1" x14ac:dyDescent="0.25">
      <c r="A13" s="160" t="str">
        <f>'Table 4'!A13</f>
        <v>Curry</v>
      </c>
      <c r="B13" s="322">
        <v>2863.3</v>
      </c>
      <c r="C13" s="314">
        <f>B13*2000/19880</f>
        <v>288.0583501006036</v>
      </c>
      <c r="D13" s="323">
        <v>3599.7</v>
      </c>
      <c r="E13" s="314">
        <f>D13*2000/20370</f>
        <v>353.43151693667158</v>
      </c>
      <c r="F13" s="323">
        <v>4212.1000000000004</v>
      </c>
      <c r="G13" s="314">
        <f>F13*2000/20710</f>
        <v>406.76967648478995</v>
      </c>
      <c r="H13" s="323">
        <v>5328</v>
      </c>
      <c r="I13" s="324">
        <f>H13*2000/20990</f>
        <v>507.67031919961886</v>
      </c>
      <c r="J13" s="323">
        <v>6011.2</v>
      </c>
      <c r="K13" s="324">
        <f>J13*2000/21000</f>
        <v>572.49523809523805</v>
      </c>
      <c r="L13" s="13">
        <v>5782.1</v>
      </c>
      <c r="M13" s="324">
        <f>L13*2000/21030</f>
        <v>549.89063242986208</v>
      </c>
      <c r="N13" s="13">
        <v>4905</v>
      </c>
      <c r="O13" s="324">
        <f>N13*2000/21030</f>
        <v>466.47646219686163</v>
      </c>
      <c r="P13" s="13">
        <v>5720.1</v>
      </c>
      <c r="Q13" s="314">
        <f>P13*2000/21120</f>
        <v>541.67613636363637</v>
      </c>
      <c r="R13" s="323">
        <v>10387</v>
      </c>
      <c r="S13" s="96">
        <v>980</v>
      </c>
      <c r="T13" s="323">
        <v>9464</v>
      </c>
      <c r="U13" s="96">
        <v>878</v>
      </c>
      <c r="V13" s="13">
        <v>10099.200000000001</v>
      </c>
      <c r="W13" s="13">
        <v>950.51294117647058</v>
      </c>
      <c r="X13" s="323">
        <v>6837.5150000000003</v>
      </c>
      <c r="Y13" s="13">
        <v>648.10568720379149</v>
      </c>
      <c r="Z13" s="323">
        <v>7003.1559999999981</v>
      </c>
      <c r="AA13" s="96">
        <v>662.23697399527168</v>
      </c>
      <c r="AB13" s="323">
        <v>3991.8420000000001</v>
      </c>
      <c r="AC13" s="96">
        <v>376.76658801321378</v>
      </c>
      <c r="AD13" s="13">
        <v>4829.5330000000004</v>
      </c>
      <c r="AE13" s="96">
        <v>452.09763632108587</v>
      </c>
      <c r="AF13" s="13">
        <v>6632.1390000000001</v>
      </c>
      <c r="AG13" s="96">
        <v>617.66137369033765</v>
      </c>
      <c r="AH13" s="325">
        <v>5161.3500000000004</v>
      </c>
      <c r="AI13" s="326">
        <v>479.89501041572709</v>
      </c>
      <c r="AJ13" s="325">
        <v>4223.0789999999997</v>
      </c>
      <c r="AK13" s="326">
        <v>395.78997188378634</v>
      </c>
      <c r="AL13" s="323">
        <v>4349.3379999999997</v>
      </c>
      <c r="AM13" s="96">
        <v>389.11545515544623</v>
      </c>
      <c r="AN13" s="13">
        <v>6234.9449999999997</v>
      </c>
      <c r="AO13" s="13">
        <v>558.31161853593017</v>
      </c>
      <c r="AP13" s="323">
        <v>5557.4589999999998</v>
      </c>
      <c r="AQ13" s="13">
        <v>498.53859609777976</v>
      </c>
      <c r="AR13" s="323">
        <v>4797.7690000000002</v>
      </c>
      <c r="AS13" s="13">
        <v>430.29318385650225</v>
      </c>
      <c r="AT13" s="323">
        <v>5747.6909999999998</v>
      </c>
      <c r="AU13" s="13">
        <v>514.21972713039588</v>
      </c>
      <c r="AV13" s="323">
        <v>5423.6480000000001</v>
      </c>
      <c r="AW13" s="13">
        <v>482.74570538495772</v>
      </c>
      <c r="AX13" s="323">
        <v>6988.8850000000002</v>
      </c>
      <c r="AY13" s="13">
        <v>618.48539823008855</v>
      </c>
      <c r="AZ13" s="323">
        <v>5547.8950000000004</v>
      </c>
      <c r="BA13" s="13">
        <v>486.55075641306729</v>
      </c>
      <c r="BB13" s="323">
        <v>6444.5129999999999</v>
      </c>
      <c r="BC13" s="13">
        <v>562.47113244599609</v>
      </c>
      <c r="BD13" s="323">
        <v>6003.4139999999998</v>
      </c>
      <c r="BE13" s="13">
        <v>522.03599999999994</v>
      </c>
      <c r="BF13" s="323">
        <v>6477.91</v>
      </c>
      <c r="BG13" s="13">
        <v>563.17409258856765</v>
      </c>
      <c r="BH13" s="323">
        <v>5651.8540000000003</v>
      </c>
      <c r="BI13" s="13">
        <v>477.71566224325926</v>
      </c>
      <c r="BJ13" s="327">
        <f>'Table 2'!B12</f>
        <v>5936.1959999999999</v>
      </c>
      <c r="BK13" s="366">
        <f>'Table 2'!C12</f>
        <v>496.80570040177088</v>
      </c>
      <c r="BL13" s="110">
        <f t="shared" si="0"/>
        <v>3.9961089131699268E-2</v>
      </c>
      <c r="BN13" s="13"/>
      <c r="BO13" s="156"/>
      <c r="BP13" s="157"/>
      <c r="BQ13" s="161"/>
      <c r="BR13" s="13"/>
      <c r="BS13" s="13"/>
      <c r="BT13" s="13"/>
      <c r="BU13" s="13"/>
      <c r="BV13" s="13"/>
      <c r="BX13" s="39"/>
    </row>
    <row r="14" spans="1:76" ht="15" customHeight="1" x14ac:dyDescent="0.25">
      <c r="A14" s="160" t="str">
        <f>'Table 4'!A14</f>
        <v>Deschutes</v>
      </c>
      <c r="B14" s="322">
        <v>12857.5</v>
      </c>
      <c r="C14" s="314">
        <f>B14*2000/84350</f>
        <v>304.86069946650861</v>
      </c>
      <c r="D14" s="323">
        <v>22741.3</v>
      </c>
      <c r="E14" s="314">
        <f>D14*2000/88280</f>
        <v>515.20842772995013</v>
      </c>
      <c r="F14" s="323">
        <v>30410.5</v>
      </c>
      <c r="G14" s="314">
        <f>F14*2000/91700</f>
        <v>663.26063249727372</v>
      </c>
      <c r="H14" s="323">
        <v>29856</v>
      </c>
      <c r="I14" s="324">
        <f>H14*2000/95900</f>
        <v>622.64859228362877</v>
      </c>
      <c r="J14" s="323">
        <v>30221.8</v>
      </c>
      <c r="K14" s="324">
        <f>J14*2000/99880</f>
        <v>605.16219463356026</v>
      </c>
      <c r="L14" s="13">
        <v>31342.400000000001</v>
      </c>
      <c r="M14" s="324">
        <f>L14*2000/103180</f>
        <v>607.52859081217287</v>
      </c>
      <c r="N14" s="13">
        <v>48309</v>
      </c>
      <c r="O14" s="324">
        <f>N14*2000/107540</f>
        <v>898.43779058954806</v>
      </c>
      <c r="P14" s="13">
        <v>36537</v>
      </c>
      <c r="Q14" s="314">
        <f>P14*2000/112930</f>
        <v>647.07340830603027</v>
      </c>
      <c r="R14" s="323">
        <v>49993</v>
      </c>
      <c r="S14" s="96">
        <v>858</v>
      </c>
      <c r="T14" s="323">
        <v>49459</v>
      </c>
      <c r="U14" s="96">
        <v>810</v>
      </c>
      <c r="V14" s="13">
        <v>46857</v>
      </c>
      <c r="W14" s="13">
        <v>740.82213438735175</v>
      </c>
      <c r="X14" s="323">
        <v>53550.092000000011</v>
      </c>
      <c r="Y14" s="13">
        <v>820.69106513409986</v>
      </c>
      <c r="Z14" s="323">
        <v>55395.354999999967</v>
      </c>
      <c r="AA14" s="96">
        <v>817.94544112218489</v>
      </c>
      <c r="AB14" s="323">
        <v>62503.038</v>
      </c>
      <c r="AC14" s="96">
        <v>871.18319046623458</v>
      </c>
      <c r="AD14" s="13">
        <v>69442.592000000004</v>
      </c>
      <c r="AE14" s="96">
        <v>910.03626118009367</v>
      </c>
      <c r="AF14" s="13">
        <v>75346.482999999993</v>
      </c>
      <c r="AG14" s="96">
        <v>937.08703438840871</v>
      </c>
      <c r="AH14" s="325">
        <v>64276.093999999997</v>
      </c>
      <c r="AI14" s="326">
        <v>769.69316067547902</v>
      </c>
      <c r="AJ14" s="325">
        <v>75362.197</v>
      </c>
      <c r="AK14" s="326">
        <v>882.95242670103391</v>
      </c>
      <c r="AL14" s="323">
        <v>62077.142</v>
      </c>
      <c r="AM14" s="96">
        <v>786.2593584750324</v>
      </c>
      <c r="AN14" s="13">
        <v>72634.838000000003</v>
      </c>
      <c r="AO14" s="13">
        <v>914.36460110149494</v>
      </c>
      <c r="AP14" s="323">
        <v>72065.180999999997</v>
      </c>
      <c r="AQ14" s="13">
        <v>900.02723866616714</v>
      </c>
      <c r="AR14" s="323">
        <v>74062.19</v>
      </c>
      <c r="AS14" s="13">
        <v>911.39443162590374</v>
      </c>
      <c r="AT14" s="323">
        <v>72964.687000000005</v>
      </c>
      <c r="AU14" s="13">
        <v>876.97941105769235</v>
      </c>
      <c r="AV14" s="323">
        <v>83270.788</v>
      </c>
      <c r="AW14" s="13">
        <v>975.41042520791848</v>
      </c>
      <c r="AX14" s="323">
        <v>79754.388999999996</v>
      </c>
      <c r="AY14" s="13">
        <v>903.04174144422109</v>
      </c>
      <c r="AZ14" s="323">
        <v>84808.491999999998</v>
      </c>
      <c r="BA14" s="13">
        <v>927.22344066036192</v>
      </c>
      <c r="BB14" s="323">
        <v>83501.358999999997</v>
      </c>
      <c r="BC14" s="13">
        <v>883.70577838924748</v>
      </c>
      <c r="BD14" s="323">
        <v>84250.903000000006</v>
      </c>
      <c r="BE14" s="13">
        <v>873.06635233160625</v>
      </c>
      <c r="BF14" s="323">
        <v>98504.289000000004</v>
      </c>
      <c r="BG14" s="13">
        <v>999.96740349719562</v>
      </c>
      <c r="BH14" s="323">
        <v>87139.058999999994</v>
      </c>
      <c r="BI14" s="13">
        <v>856.86669944441712</v>
      </c>
      <c r="BJ14" s="327">
        <f>'Table 2'!B13</f>
        <v>84413.03</v>
      </c>
      <c r="BK14" s="366">
        <f>'Table 2'!C13</f>
        <v>813.38169268222384</v>
      </c>
      <c r="BL14" s="110">
        <f t="shared" si="0"/>
        <v>-5.0748858358468651E-2</v>
      </c>
      <c r="BN14" s="13"/>
      <c r="BO14" s="156"/>
      <c r="BP14" s="157"/>
      <c r="BQ14" s="161"/>
      <c r="BR14" s="13"/>
      <c r="BS14" s="13"/>
      <c r="BT14" s="13"/>
      <c r="BU14" s="13"/>
      <c r="BV14" s="13"/>
      <c r="BX14" s="39"/>
    </row>
    <row r="15" spans="1:76" ht="15" customHeight="1" x14ac:dyDescent="0.25">
      <c r="A15" s="160" t="str">
        <f>'Table 4'!A15</f>
        <v>Douglas</v>
      </c>
      <c r="B15" s="322">
        <v>29467.4</v>
      </c>
      <c r="C15" s="314">
        <f>B15*2000/96000</f>
        <v>613.9041666666667</v>
      </c>
      <c r="D15" s="323">
        <v>26712.3</v>
      </c>
      <c r="E15" s="314">
        <f>D15*2000/96810</f>
        <v>551.85001549426715</v>
      </c>
      <c r="F15" s="323">
        <v>27418</v>
      </c>
      <c r="G15" s="314">
        <f>F15*2000/97610</f>
        <v>561.78670218215348</v>
      </c>
      <c r="H15" s="323">
        <v>30172</v>
      </c>
      <c r="I15" s="324">
        <f>H15*2000/98820</f>
        <v>610.6456182958915</v>
      </c>
      <c r="J15" s="323">
        <v>30944.9</v>
      </c>
      <c r="K15" s="324">
        <f>J15*2000/99730</f>
        <v>620.57354858116912</v>
      </c>
      <c r="L15" s="13">
        <v>34498.300000000003</v>
      </c>
      <c r="M15" s="324">
        <f>L15*2000/100460</f>
        <v>686.80668922954408</v>
      </c>
      <c r="N15" s="13">
        <v>37476</v>
      </c>
      <c r="O15" s="324">
        <f>N15*2000/100530</f>
        <v>745.5684870188004</v>
      </c>
      <c r="P15" s="13">
        <v>30878.400000000001</v>
      </c>
      <c r="Q15" s="314">
        <f>P15*2000/100340</f>
        <v>615.47538369543554</v>
      </c>
      <c r="R15" s="323">
        <v>31390</v>
      </c>
      <c r="S15" s="96">
        <v>625</v>
      </c>
      <c r="T15" s="323">
        <v>38983</v>
      </c>
      <c r="U15" s="96">
        <v>770</v>
      </c>
      <c r="V15" s="13">
        <v>35008.6</v>
      </c>
      <c r="W15" s="13">
        <v>691.18657453109574</v>
      </c>
      <c r="X15" s="323">
        <v>36007.384999999987</v>
      </c>
      <c r="Y15" s="13">
        <v>707.41424361493091</v>
      </c>
      <c r="Z15" s="323">
        <v>42007.193000000014</v>
      </c>
      <c r="AA15" s="96">
        <v>820.85379579873018</v>
      </c>
      <c r="AB15" s="323">
        <v>33960.124000000003</v>
      </c>
      <c r="AC15" s="96">
        <v>660.02864778193475</v>
      </c>
      <c r="AD15" s="13">
        <v>31979.952000000001</v>
      </c>
      <c r="AE15" s="96">
        <v>616.09501517121805</v>
      </c>
      <c r="AF15" s="13">
        <v>36157.521000000001</v>
      </c>
      <c r="AG15" s="96">
        <v>690.85304036302841</v>
      </c>
      <c r="AH15" s="325">
        <v>44082.023000000001</v>
      </c>
      <c r="AI15" s="326">
        <v>837.73107815575599</v>
      </c>
      <c r="AJ15" s="325">
        <v>30845.852999999999</v>
      </c>
      <c r="AK15" s="326">
        <v>585.33807106598988</v>
      </c>
      <c r="AL15" s="323">
        <v>41949.112999999998</v>
      </c>
      <c r="AM15" s="96">
        <v>779.07165010678796</v>
      </c>
      <c r="AN15" s="13">
        <v>55220.309000000001</v>
      </c>
      <c r="AO15" s="13">
        <v>1024.5430493065542</v>
      </c>
      <c r="AP15" s="323">
        <v>50341.671999999999</v>
      </c>
      <c r="AQ15" s="13">
        <v>930.57298396413887</v>
      </c>
      <c r="AR15" s="323">
        <v>42332.826999999997</v>
      </c>
      <c r="AS15" s="13">
        <v>777.81951309141016</v>
      </c>
      <c r="AT15" s="323">
        <v>36263.47</v>
      </c>
      <c r="AU15" s="13">
        <v>663.04283036979473</v>
      </c>
      <c r="AV15" s="323">
        <v>32335.102999999999</v>
      </c>
      <c r="AW15" s="13">
        <v>588.39237558002003</v>
      </c>
      <c r="AX15" s="323">
        <v>27725.05</v>
      </c>
      <c r="AY15" s="13">
        <v>502.28814710811179</v>
      </c>
      <c r="AZ15" s="323">
        <v>31633.834999999999</v>
      </c>
      <c r="BA15" s="13">
        <v>569.05621514660913</v>
      </c>
      <c r="BB15" s="323">
        <v>33227.296999999999</v>
      </c>
      <c r="BC15" s="13">
        <v>594.75181456123869</v>
      </c>
      <c r="BD15" s="323">
        <v>30870.629000000001</v>
      </c>
      <c r="BE15" s="13">
        <v>550.03347884187087</v>
      </c>
      <c r="BF15" s="323">
        <v>41785.906999999999</v>
      </c>
      <c r="BG15" s="13">
        <v>742.66252554874256</v>
      </c>
      <c r="BH15" s="323">
        <v>35145.51</v>
      </c>
      <c r="BI15" s="13">
        <v>629.31777893172421</v>
      </c>
      <c r="BJ15" s="327">
        <f>'Table 2'!B14</f>
        <v>25416.13</v>
      </c>
      <c r="BK15" s="366">
        <f>'Table 2'!C14</f>
        <v>455.01492556220722</v>
      </c>
      <c r="BL15" s="110">
        <f t="shared" si="0"/>
        <v>-0.27697112524835787</v>
      </c>
      <c r="BN15" s="13"/>
      <c r="BO15" s="156"/>
      <c r="BP15" s="157"/>
      <c r="BQ15" s="161"/>
      <c r="BR15" s="13"/>
      <c r="BS15" s="13"/>
      <c r="BT15" s="13"/>
      <c r="BU15" s="13"/>
      <c r="BV15" s="13"/>
      <c r="BX15" s="39"/>
    </row>
    <row r="16" spans="1:76" ht="15" customHeight="1" x14ac:dyDescent="0.25">
      <c r="A16" s="162" t="str">
        <f>'Table 4'!A16</f>
        <v>Gilliam</v>
      </c>
      <c r="B16" s="328">
        <v>177.2</v>
      </c>
      <c r="C16" s="329">
        <f>B16*2000/1730</f>
        <v>204.85549132947978</v>
      </c>
      <c r="D16" s="330">
        <v>154.6</v>
      </c>
      <c r="E16" s="329">
        <f>D16*2000/1720</f>
        <v>179.76744186046511</v>
      </c>
      <c r="F16" s="330">
        <v>199.4</v>
      </c>
      <c r="G16" s="329">
        <f>F16*2000/1800</f>
        <v>221.55555555555554</v>
      </c>
      <c r="H16" s="330">
        <v>283</v>
      </c>
      <c r="I16" s="331">
        <f>H16*2000/1790</f>
        <v>316.20111731843576</v>
      </c>
      <c r="J16" s="330">
        <v>283.5</v>
      </c>
      <c r="K16" s="331">
        <f>J16*2000/1850</f>
        <v>306.48648648648651</v>
      </c>
      <c r="L16" s="330">
        <v>343.6</v>
      </c>
      <c r="M16" s="331">
        <f>L16*2000/1840</f>
        <v>373.47826086956519</v>
      </c>
      <c r="N16" s="332">
        <v>295</v>
      </c>
      <c r="O16" s="331">
        <f>N16*2000/1880</f>
        <v>313.82978723404256</v>
      </c>
      <c r="P16" s="330">
        <v>262.89999999999998</v>
      </c>
      <c r="Q16" s="329">
        <f>P16*2000/1910</f>
        <v>275.28795811518324</v>
      </c>
      <c r="R16" s="330">
        <v>266</v>
      </c>
      <c r="S16" s="333">
        <v>280</v>
      </c>
      <c r="T16" s="330">
        <v>252</v>
      </c>
      <c r="U16" s="333">
        <v>265</v>
      </c>
      <c r="V16" s="332">
        <v>369.8</v>
      </c>
      <c r="W16" s="332">
        <v>389.26315789473682</v>
      </c>
      <c r="X16" s="330">
        <v>272.35900000000004</v>
      </c>
      <c r="Y16" s="332">
        <v>286.69368421052638</v>
      </c>
      <c r="Z16" s="330">
        <v>265.74800000000005</v>
      </c>
      <c r="AA16" s="333">
        <v>279.73473684210535</v>
      </c>
      <c r="AB16" s="330">
        <v>159.19399999999999</v>
      </c>
      <c r="AC16" s="333">
        <v>168.45925925925926</v>
      </c>
      <c r="AD16" s="332">
        <v>225.08099999999999</v>
      </c>
      <c r="AE16" s="333">
        <v>238.8127320954907</v>
      </c>
      <c r="AF16" s="332">
        <v>300.62</v>
      </c>
      <c r="AG16" s="333">
        <v>318.9602122015915</v>
      </c>
      <c r="AH16" s="338">
        <v>369.904</v>
      </c>
      <c r="AI16" s="339">
        <v>392.76417409448044</v>
      </c>
      <c r="AJ16" s="338">
        <v>767.69500000000005</v>
      </c>
      <c r="AK16" s="339">
        <v>814.53050397877985</v>
      </c>
      <c r="AL16" s="330">
        <v>595.94799999999998</v>
      </c>
      <c r="AM16" s="333">
        <v>637.37754010695187</v>
      </c>
      <c r="AN16" s="332">
        <v>461.88900000000001</v>
      </c>
      <c r="AO16" s="332">
        <v>491.37127659574469</v>
      </c>
      <c r="AP16" s="330">
        <v>1684.204</v>
      </c>
      <c r="AQ16" s="332">
        <v>1772.8463157894737</v>
      </c>
      <c r="AR16" s="330">
        <v>1394.818</v>
      </c>
      <c r="AS16" s="332">
        <v>1434.2601542416453</v>
      </c>
      <c r="AT16" s="330">
        <v>488.37599999999998</v>
      </c>
      <c r="AU16" s="332">
        <v>494.55797468354433</v>
      </c>
      <c r="AV16" s="330">
        <v>1070.4559999999999</v>
      </c>
      <c r="AW16" s="332">
        <v>1084.0060759493672</v>
      </c>
      <c r="AX16" s="330">
        <v>357.62099999999998</v>
      </c>
      <c r="AY16" s="332">
        <v>361.23333333333335</v>
      </c>
      <c r="AZ16" s="330">
        <v>354.13200000000001</v>
      </c>
      <c r="BA16" s="332">
        <v>355.01954887218045</v>
      </c>
      <c r="BB16" s="330">
        <v>300.947</v>
      </c>
      <c r="BC16" s="332">
        <v>303.22115869017631</v>
      </c>
      <c r="BD16" s="330">
        <v>282.06200000000001</v>
      </c>
      <c r="BE16" s="332">
        <v>283.47939698492462</v>
      </c>
      <c r="BF16" s="330">
        <v>353.48700000000002</v>
      </c>
      <c r="BG16" s="332">
        <v>355.26331658291457</v>
      </c>
      <c r="BH16" s="330">
        <v>372.62200000000001</v>
      </c>
      <c r="BI16" s="332">
        <v>365.49485041687103</v>
      </c>
      <c r="BJ16" s="340">
        <f>'Table 2'!B15</f>
        <v>763.22500000000002</v>
      </c>
      <c r="BK16" s="370">
        <f>'Table 2'!C15</f>
        <v>736.97323918379209</v>
      </c>
      <c r="BL16" s="122">
        <f t="shared" si="0"/>
        <v>1.0163710606133725</v>
      </c>
      <c r="BN16" s="13"/>
      <c r="BO16" s="156"/>
      <c r="BP16" s="157"/>
      <c r="BQ16" s="161"/>
      <c r="BR16" s="13"/>
      <c r="BS16" s="13"/>
      <c r="BT16" s="13"/>
      <c r="BU16" s="13"/>
      <c r="BV16" s="13"/>
      <c r="BX16" s="39"/>
    </row>
    <row r="17" spans="1:76" ht="15" customHeight="1" x14ac:dyDescent="0.25">
      <c r="A17" s="160" t="str">
        <f>'Table 4'!A17</f>
        <v>Grant</v>
      </c>
      <c r="B17" s="322">
        <v>911.4</v>
      </c>
      <c r="C17" s="314">
        <f>B17*2000/7860</f>
        <v>231.90839694656489</v>
      </c>
      <c r="D17" s="323">
        <v>725.2</v>
      </c>
      <c r="E17" s="314">
        <f>D17*2000/7930</f>
        <v>182.90037831021436</v>
      </c>
      <c r="F17" s="323">
        <v>872</v>
      </c>
      <c r="G17" s="314">
        <f>F17*2000/7950</f>
        <v>219.37106918238993</v>
      </c>
      <c r="H17" s="323">
        <v>848</v>
      </c>
      <c r="I17" s="324">
        <f>H17*2000/8010</f>
        <v>211.73533083645444</v>
      </c>
      <c r="J17" s="323">
        <v>687.3</v>
      </c>
      <c r="K17" s="324">
        <f>J17*2000/8040</f>
        <v>170.97014925373134</v>
      </c>
      <c r="L17" s="13">
        <v>604.20000000000005</v>
      </c>
      <c r="M17" s="324">
        <f>L17*2000/8080</f>
        <v>149.55445544554456</v>
      </c>
      <c r="N17" s="13">
        <v>610</v>
      </c>
      <c r="O17" s="324">
        <f>N17*2000/8120</f>
        <v>150.2463054187192</v>
      </c>
      <c r="P17" s="13">
        <v>733.5</v>
      </c>
      <c r="Q17" s="314">
        <f>P17*2000/7950</f>
        <v>184.52830188679246</v>
      </c>
      <c r="R17" s="334">
        <v>791</v>
      </c>
      <c r="S17" s="335">
        <v>199</v>
      </c>
      <c r="T17" s="334">
        <v>897</v>
      </c>
      <c r="U17" s="335">
        <v>230</v>
      </c>
      <c r="V17" s="336">
        <v>947.2</v>
      </c>
      <c r="W17" s="336">
        <v>244.43870967741935</v>
      </c>
      <c r="X17" s="334">
        <v>731.2080000000002</v>
      </c>
      <c r="Y17" s="336">
        <v>191.16549019607848</v>
      </c>
      <c r="Z17" s="334">
        <v>954.43100000000027</v>
      </c>
      <c r="AA17" s="335">
        <v>246.30477419354844</v>
      </c>
      <c r="AB17" s="334">
        <v>1665.1469999999999</v>
      </c>
      <c r="AC17" s="335">
        <v>433.34990240728695</v>
      </c>
      <c r="AD17" s="336">
        <v>1055.4760000000001</v>
      </c>
      <c r="AE17" s="335">
        <v>276.66474442988203</v>
      </c>
      <c r="AF17" s="336">
        <v>1341.672</v>
      </c>
      <c r="AG17" s="335">
        <v>354.00316622691292</v>
      </c>
      <c r="AH17" s="337">
        <v>1324.579</v>
      </c>
      <c r="AI17" s="367">
        <v>351.8948304681561</v>
      </c>
      <c r="AJ17" s="337">
        <v>1097.943</v>
      </c>
      <c r="AK17" s="367">
        <v>291.81209302325584</v>
      </c>
      <c r="AL17" s="334">
        <v>1104.8019999999999</v>
      </c>
      <c r="AM17" s="335">
        <v>296.19356568364611</v>
      </c>
      <c r="AN17" s="336">
        <v>1337.663</v>
      </c>
      <c r="AO17" s="336">
        <v>359.10416107382548</v>
      </c>
      <c r="AP17" s="334">
        <v>953.90700000000004</v>
      </c>
      <c r="AQ17" s="336">
        <v>256.08241610738253</v>
      </c>
      <c r="AR17" s="334">
        <v>1385.8440000000001</v>
      </c>
      <c r="AS17" s="336">
        <v>372.78924008069941</v>
      </c>
      <c r="AT17" s="334">
        <v>838.42600000000004</v>
      </c>
      <c r="AU17" s="13">
        <v>225.83865319865319</v>
      </c>
      <c r="AV17" s="334">
        <v>1234.5640000000001</v>
      </c>
      <c r="AW17" s="336">
        <v>332.3187079407806</v>
      </c>
      <c r="AX17" s="334">
        <v>1456.76</v>
      </c>
      <c r="AY17" s="336">
        <v>393.18758434547908</v>
      </c>
      <c r="AZ17" s="334">
        <v>851.96900000000005</v>
      </c>
      <c r="BA17" s="336">
        <v>229.79608900876602</v>
      </c>
      <c r="BB17" s="334">
        <v>827.02700000000004</v>
      </c>
      <c r="BC17" s="336">
        <v>223.52081081081081</v>
      </c>
      <c r="BD17" s="334">
        <v>850.79200000000003</v>
      </c>
      <c r="BE17" s="336">
        <v>231.19347826086957</v>
      </c>
      <c r="BF17" s="334">
        <v>945.90499999999997</v>
      </c>
      <c r="BG17" s="336">
        <v>258.62064251537936</v>
      </c>
      <c r="BH17" s="334">
        <v>959.54399999999998</v>
      </c>
      <c r="BI17" s="336">
        <v>265.58095765292001</v>
      </c>
      <c r="BJ17" s="368">
        <f>'Table 2'!B16</f>
        <v>978.76300000000003</v>
      </c>
      <c r="BK17" s="369">
        <f>'Table 2'!C16</f>
        <v>266.79176383954768</v>
      </c>
      <c r="BL17" s="110">
        <f t="shared" si="0"/>
        <v>4.5590850990531173E-3</v>
      </c>
      <c r="BN17" s="13"/>
      <c r="BO17" s="156"/>
      <c r="BP17" s="157"/>
      <c r="BQ17" s="161"/>
      <c r="BR17" s="13"/>
      <c r="BS17" s="13"/>
      <c r="BT17" s="13"/>
      <c r="BU17" s="13"/>
      <c r="BV17" s="13"/>
      <c r="BX17" s="39"/>
    </row>
    <row r="18" spans="1:76" ht="15" customHeight="1" x14ac:dyDescent="0.25">
      <c r="A18" s="160" t="str">
        <f>'Table 4'!A18</f>
        <v>Harney</v>
      </c>
      <c r="B18" s="322">
        <v>599.5</v>
      </c>
      <c r="C18" s="314">
        <f>B18*2000/7010</f>
        <v>171.04136947218259</v>
      </c>
      <c r="D18" s="323">
        <v>684</v>
      </c>
      <c r="E18" s="314">
        <f>D18*2000/7060</f>
        <v>193.76770538243625</v>
      </c>
      <c r="F18" s="323">
        <v>648.1</v>
      </c>
      <c r="G18" s="314">
        <f>F18*2000/7230</f>
        <v>179.2807745504841</v>
      </c>
      <c r="H18" s="323">
        <v>1120</v>
      </c>
      <c r="I18" s="324">
        <f>H18*2000/7240</f>
        <v>309.39226519337018</v>
      </c>
      <c r="J18" s="323">
        <v>677.7</v>
      </c>
      <c r="K18" s="324">
        <f>J18*2000/7200</f>
        <v>188.25</v>
      </c>
      <c r="L18" s="13">
        <v>614</v>
      </c>
      <c r="M18" s="324">
        <f>L18*2000/7200</f>
        <v>170.55555555555554</v>
      </c>
      <c r="N18" s="13">
        <v>921</v>
      </c>
      <c r="O18" s="324">
        <f>N18*2000/7420</f>
        <v>248.24797843665769</v>
      </c>
      <c r="P18" s="13">
        <v>1702.9</v>
      </c>
      <c r="Q18" s="314">
        <f>P18*2000/7540</f>
        <v>451.69761273209548</v>
      </c>
      <c r="R18" s="323">
        <v>806</v>
      </c>
      <c r="S18" s="96">
        <v>212</v>
      </c>
      <c r="T18" s="323">
        <v>1076</v>
      </c>
      <c r="U18" s="96">
        <v>283</v>
      </c>
      <c r="V18" s="13">
        <v>1099.4000000000001</v>
      </c>
      <c r="W18" s="13">
        <v>289.31578947368422</v>
      </c>
      <c r="X18" s="323">
        <v>1033.905</v>
      </c>
      <c r="Y18" s="13">
        <v>283.26164383561644</v>
      </c>
      <c r="Z18" s="323">
        <v>820.26300000000003</v>
      </c>
      <c r="AA18" s="96">
        <v>214.44784313725489</v>
      </c>
      <c r="AB18" s="323">
        <v>1149.018</v>
      </c>
      <c r="AC18" s="96">
        <v>300.00469973890341</v>
      </c>
      <c r="AD18" s="13">
        <v>1164.528</v>
      </c>
      <c r="AE18" s="96">
        <v>303.657887874837</v>
      </c>
      <c r="AF18" s="13">
        <v>1203.338</v>
      </c>
      <c r="AG18" s="96">
        <v>313.36927083333336</v>
      </c>
      <c r="AH18" s="325">
        <v>1573.4459999999999</v>
      </c>
      <c r="AI18" s="326">
        <v>408.42774765019453</v>
      </c>
      <c r="AJ18" s="325">
        <v>944.05</v>
      </c>
      <c r="AK18" s="326">
        <v>244.73104342190538</v>
      </c>
      <c r="AL18" s="323">
        <v>1121.77</v>
      </c>
      <c r="AM18" s="96">
        <v>301.34855607790462</v>
      </c>
      <c r="AN18" s="13">
        <v>1327.4159999999999</v>
      </c>
      <c r="AO18" s="13">
        <v>359.97722033898305</v>
      </c>
      <c r="AP18" s="323">
        <v>1414.058</v>
      </c>
      <c r="AQ18" s="13">
        <v>386.6187286397813</v>
      </c>
      <c r="AR18" s="323">
        <v>1307.201</v>
      </c>
      <c r="AS18" s="13">
        <v>360.11046831955923</v>
      </c>
      <c r="AT18" s="323">
        <v>1359.9739999999999</v>
      </c>
      <c r="AU18" s="13">
        <v>374.3906400550585</v>
      </c>
      <c r="AV18" s="323">
        <v>1084.153</v>
      </c>
      <c r="AW18" s="13">
        <v>297.23180260452364</v>
      </c>
      <c r="AX18" s="323">
        <v>1155.732</v>
      </c>
      <c r="AY18" s="13">
        <v>315.7737704918033</v>
      </c>
      <c r="AZ18" s="323">
        <v>1284.807</v>
      </c>
      <c r="BA18" s="13">
        <v>349.13233695652173</v>
      </c>
      <c r="BB18" s="323">
        <v>1056.5899999999999</v>
      </c>
      <c r="BC18" s="13">
        <v>286.33875338753387</v>
      </c>
      <c r="BD18" s="323">
        <v>855.51499999999999</v>
      </c>
      <c r="BE18" s="13">
        <v>232.47690217391303</v>
      </c>
      <c r="BF18" s="323">
        <v>1131.4670000000001</v>
      </c>
      <c r="BG18" s="13">
        <v>310.84258241758243</v>
      </c>
      <c r="BH18" s="323">
        <v>1241.307</v>
      </c>
      <c r="BI18" s="13">
        <v>329.39020830569194</v>
      </c>
      <c r="BJ18" s="327">
        <f>'Table 2'!B17</f>
        <v>1010.271</v>
      </c>
      <c r="BK18" s="366">
        <f>'Table 2'!C17</f>
        <v>264.48085283299167</v>
      </c>
      <c r="BL18" s="110">
        <f t="shared" si="0"/>
        <v>-0.19705915305308919</v>
      </c>
      <c r="BN18" s="13"/>
      <c r="BO18" s="156"/>
      <c r="BP18" s="157"/>
      <c r="BQ18" s="161"/>
      <c r="BR18" s="13"/>
      <c r="BS18" s="13"/>
      <c r="BT18" s="13"/>
      <c r="BU18" s="13"/>
      <c r="BV18" s="13"/>
      <c r="BX18" s="39"/>
    </row>
    <row r="19" spans="1:76" ht="15" customHeight="1" x14ac:dyDescent="0.25">
      <c r="A19" s="160" t="str">
        <f>'Table 4'!A19</f>
        <v>Hood River</v>
      </c>
      <c r="B19" s="322">
        <v>1855.4</v>
      </c>
      <c r="C19" s="314">
        <f>B19*2000/17480</f>
        <v>212.2883295194508</v>
      </c>
      <c r="D19" s="323">
        <v>3069.2</v>
      </c>
      <c r="E19" s="314">
        <f>D19*2000/17950</f>
        <v>341.97214484679665</v>
      </c>
      <c r="F19" s="323">
        <v>3307.7</v>
      </c>
      <c r="G19" s="314">
        <f>F19*2000/18380</f>
        <v>359.92383025027203</v>
      </c>
      <c r="H19" s="323">
        <v>3242</v>
      </c>
      <c r="I19" s="324">
        <f>H19*2000/18890</f>
        <v>343.2503970354685</v>
      </c>
      <c r="J19" s="323">
        <v>3332.7</v>
      </c>
      <c r="K19" s="324">
        <f>J19*2000/19310</f>
        <v>345.17866390471261</v>
      </c>
      <c r="L19" s="13">
        <v>3063</v>
      </c>
      <c r="M19" s="324">
        <f>L19*2000/19490</f>
        <v>314.31503335043612</v>
      </c>
      <c r="N19" s="13">
        <v>3112</v>
      </c>
      <c r="O19" s="324">
        <f>N19*2000/19880</f>
        <v>313.0784708249497</v>
      </c>
      <c r="P19" s="13">
        <v>3696</v>
      </c>
      <c r="Q19" s="314">
        <f>P19*2000/20240</f>
        <v>365.21739130434781</v>
      </c>
      <c r="R19" s="323">
        <v>3403</v>
      </c>
      <c r="S19" s="96">
        <v>332</v>
      </c>
      <c r="T19" s="323">
        <v>6517</v>
      </c>
      <c r="U19" s="96">
        <v>633</v>
      </c>
      <c r="V19" s="13">
        <v>7986.4</v>
      </c>
      <c r="W19" s="13">
        <v>781.06601466992663</v>
      </c>
      <c r="X19" s="323">
        <v>8841.786999999993</v>
      </c>
      <c r="Y19" s="13">
        <v>862.6133658536578</v>
      </c>
      <c r="Z19" s="323">
        <v>9961.1919999999991</v>
      </c>
      <c r="AA19" s="96">
        <v>946.4315439429929</v>
      </c>
      <c r="AB19" s="323">
        <v>9774.9179999999997</v>
      </c>
      <c r="AC19" s="96">
        <v>923.03286118980168</v>
      </c>
      <c r="AD19" s="13">
        <v>9199.8680000000004</v>
      </c>
      <c r="AE19" s="96">
        <v>862.42024841809234</v>
      </c>
      <c r="AF19" s="13">
        <v>8364.5750000000007</v>
      </c>
      <c r="AG19" s="96">
        <v>779.18723800652083</v>
      </c>
      <c r="AH19" s="325">
        <v>7478.8720000000003</v>
      </c>
      <c r="AI19" s="326">
        <v>691.697161375311</v>
      </c>
      <c r="AJ19" s="325">
        <v>7465.7420000000002</v>
      </c>
      <c r="AK19" s="326">
        <v>687.29500575373993</v>
      </c>
      <c r="AL19" s="323">
        <v>6404.085</v>
      </c>
      <c r="AM19" s="96">
        <v>572.17645744918468</v>
      </c>
      <c r="AN19" s="13">
        <v>9540.66</v>
      </c>
      <c r="AO19" s="13">
        <v>843.37325966850824</v>
      </c>
      <c r="AP19" s="323">
        <v>7784.7479999999996</v>
      </c>
      <c r="AQ19" s="13">
        <v>680.63370491803278</v>
      </c>
      <c r="AR19" s="323">
        <v>7847.0739999999996</v>
      </c>
      <c r="AS19" s="13">
        <v>673.7131573298991</v>
      </c>
      <c r="AT19" s="323">
        <v>6701.4440000000004</v>
      </c>
      <c r="AU19" s="13">
        <v>564.80775389801943</v>
      </c>
      <c r="AV19" s="323">
        <v>7782.6880000000001</v>
      </c>
      <c r="AW19" s="13">
        <v>642.00354712311821</v>
      </c>
      <c r="AX19" s="323">
        <v>7437.1360000000004</v>
      </c>
      <c r="AY19" s="13">
        <v>601.34513846775826</v>
      </c>
      <c r="AZ19" s="323">
        <v>6501.4210000000003</v>
      </c>
      <c r="BA19" s="13">
        <v>517.11441638496717</v>
      </c>
      <c r="BB19" s="323">
        <v>7216.683</v>
      </c>
      <c r="BC19" s="13">
        <v>570.26337416041088</v>
      </c>
      <c r="BD19" s="323">
        <v>7583.7240000000002</v>
      </c>
      <c r="BE19" s="13">
        <v>595.26875981161697</v>
      </c>
      <c r="BF19" s="323">
        <v>7558.8890000000001</v>
      </c>
      <c r="BG19" s="13">
        <v>589.61692667706711</v>
      </c>
      <c r="BH19" s="323">
        <v>7647.741</v>
      </c>
      <c r="BI19" s="13">
        <v>640.29981580709978</v>
      </c>
      <c r="BJ19" s="327">
        <f>'Table 2'!B18</f>
        <v>9033.1090000000004</v>
      </c>
      <c r="BK19" s="366">
        <f>'Table 2'!C18</f>
        <v>756.10494417836264</v>
      </c>
      <c r="BL19" s="110">
        <f t="shared" si="0"/>
        <v>0.18086078663835026</v>
      </c>
      <c r="BN19" s="13"/>
      <c r="BO19" s="156"/>
      <c r="BP19" s="157"/>
      <c r="BQ19" s="161"/>
      <c r="BR19" s="13"/>
      <c r="BS19" s="13"/>
      <c r="BT19" s="13"/>
      <c r="BU19" s="13"/>
      <c r="BV19" s="13"/>
      <c r="BX19" s="39"/>
    </row>
    <row r="20" spans="1:76" ht="15" customHeight="1" x14ac:dyDescent="0.25">
      <c r="A20" s="160" t="str">
        <f>'Table 4'!A20</f>
        <v>Jackson</v>
      </c>
      <c r="B20" s="322">
        <v>17133.5</v>
      </c>
      <c r="C20" s="314">
        <f>B20*2000/154940</f>
        <v>221.16303085065186</v>
      </c>
      <c r="D20" s="323">
        <v>23975.4</v>
      </c>
      <c r="E20" s="314">
        <f>D20*2000/159020</f>
        <v>301.53942900264116</v>
      </c>
      <c r="F20" s="323">
        <v>57704.5</v>
      </c>
      <c r="G20" s="314">
        <f>F20*2000/163490</f>
        <v>705.90861826411401</v>
      </c>
      <c r="H20" s="323">
        <v>54764</v>
      </c>
      <c r="I20" s="324">
        <f>H20*2000/167330</f>
        <v>654.56283989720907</v>
      </c>
      <c r="J20" s="323">
        <v>60292.3</v>
      </c>
      <c r="K20" s="324">
        <f>J20*2000/170660</f>
        <v>706.57799132778621</v>
      </c>
      <c r="L20" s="13">
        <v>66412.5</v>
      </c>
      <c r="M20" s="324">
        <f>L20*2000/173460</f>
        <v>765.73849878934629</v>
      </c>
      <c r="N20" s="13">
        <v>71544</v>
      </c>
      <c r="O20" s="324">
        <f>N20*2000/176570</f>
        <v>810.37548847482583</v>
      </c>
      <c r="P20" s="13">
        <v>60638.1</v>
      </c>
      <c r="Q20" s="314">
        <f>P20*2000/179610</f>
        <v>675.21964255887758</v>
      </c>
      <c r="R20" s="323">
        <v>63872</v>
      </c>
      <c r="S20" s="96">
        <v>701</v>
      </c>
      <c r="T20" s="323">
        <v>71666</v>
      </c>
      <c r="U20" s="96">
        <v>776</v>
      </c>
      <c r="V20" s="13">
        <v>88855</v>
      </c>
      <c r="W20" s="13">
        <v>947.28144989339023</v>
      </c>
      <c r="X20" s="323">
        <v>83585.054999999978</v>
      </c>
      <c r="Y20" s="13">
        <v>884.03019566366982</v>
      </c>
      <c r="Z20" s="323">
        <v>83826.210000000006</v>
      </c>
      <c r="AA20" s="96">
        <v>876.84320083682007</v>
      </c>
      <c r="AB20" s="323">
        <v>85191.94</v>
      </c>
      <c r="AC20" s="96">
        <v>875.94211243348843</v>
      </c>
      <c r="AD20" s="13">
        <v>92806.525999999998</v>
      </c>
      <c r="AE20" s="96">
        <v>934.53692822797871</v>
      </c>
      <c r="AF20" s="13">
        <v>80422.122000000003</v>
      </c>
      <c r="AG20" s="96">
        <v>795.03852503583607</v>
      </c>
      <c r="AH20" s="325">
        <v>76330.206999999995</v>
      </c>
      <c r="AI20" s="326">
        <v>743.58272715659507</v>
      </c>
      <c r="AJ20" s="325">
        <v>79274.702999999994</v>
      </c>
      <c r="AK20" s="326">
        <v>765.90215931597504</v>
      </c>
      <c r="AL20" s="323">
        <v>102538.817</v>
      </c>
      <c r="AM20" s="96">
        <v>1008.5454608045637</v>
      </c>
      <c r="AN20" s="13">
        <v>99578.61</v>
      </c>
      <c r="AO20" s="13">
        <v>976.50022064231428</v>
      </c>
      <c r="AP20" s="323">
        <v>108892.74800000001</v>
      </c>
      <c r="AQ20" s="13">
        <v>1064.2891853589406</v>
      </c>
      <c r="AR20" s="323">
        <v>105705.30100000001</v>
      </c>
      <c r="AS20" s="13">
        <v>1024.7229993698802</v>
      </c>
      <c r="AT20" s="323">
        <v>108991.781</v>
      </c>
      <c r="AU20" s="13">
        <v>1046.1118752249549</v>
      </c>
      <c r="AV20" s="323">
        <v>97325.982000000004</v>
      </c>
      <c r="AW20" s="13">
        <v>922.63047280483465</v>
      </c>
      <c r="AX20" s="323">
        <v>110456.432</v>
      </c>
      <c r="AY20" s="13">
        <v>1033.4379528921947</v>
      </c>
      <c r="AZ20" s="323">
        <v>101568.08500000001</v>
      </c>
      <c r="BA20" s="13">
        <v>936.54296911018901</v>
      </c>
      <c r="BB20" s="323">
        <v>96171.319000000003</v>
      </c>
      <c r="BC20" s="13">
        <v>877.47553832116785</v>
      </c>
      <c r="BD20" s="323">
        <v>121707.81600000001</v>
      </c>
      <c r="BE20" s="13">
        <v>1099.9847801527408</v>
      </c>
      <c r="BF20" s="323">
        <v>115754.62</v>
      </c>
      <c r="BG20" s="13">
        <v>1037.0419279698979</v>
      </c>
      <c r="BH20" s="323">
        <v>103404.322</v>
      </c>
      <c r="BI20" s="13">
        <v>923.9664741072346</v>
      </c>
      <c r="BJ20" s="327">
        <f>'Table 2'!B19</f>
        <v>111201.363</v>
      </c>
      <c r="BK20" s="366">
        <f>'Table 2'!C19</f>
        <v>992.81169436669029</v>
      </c>
      <c r="BL20" s="110">
        <f t="shared" si="0"/>
        <v>7.4510517631038553E-2</v>
      </c>
      <c r="BN20" s="13"/>
      <c r="BO20" s="156"/>
      <c r="BP20" s="157"/>
      <c r="BQ20" s="161"/>
      <c r="BR20" s="13"/>
      <c r="BS20" s="13"/>
      <c r="BT20" s="13"/>
      <c r="BU20" s="13"/>
      <c r="BV20" s="13"/>
      <c r="BX20" s="39"/>
    </row>
    <row r="21" spans="1:76" ht="15" customHeight="1" x14ac:dyDescent="0.25">
      <c r="A21" s="162" t="str">
        <f>'Table 4'!A21</f>
        <v>Jefferson</v>
      </c>
      <c r="B21" s="328">
        <v>1268.7</v>
      </c>
      <c r="C21" s="329">
        <f>B21*2000/14930</f>
        <v>169.95311453449432</v>
      </c>
      <c r="D21" s="330">
        <v>1288.0999999999999</v>
      </c>
      <c r="E21" s="329">
        <f>D21*2000/15440</f>
        <v>166.8523316062176</v>
      </c>
      <c r="F21" s="330">
        <v>1838.2</v>
      </c>
      <c r="G21" s="329">
        <f>F21*2000/16340</f>
        <v>224.9938800489596</v>
      </c>
      <c r="H21" s="330">
        <v>2414</v>
      </c>
      <c r="I21" s="331">
        <f>H21*2000/17010</f>
        <v>283.83303938859495</v>
      </c>
      <c r="J21" s="330">
        <v>2667.2</v>
      </c>
      <c r="K21" s="331">
        <f>J21*2000/17370</f>
        <v>307.1042026482441</v>
      </c>
      <c r="L21" s="330">
        <v>4154.8999999999996</v>
      </c>
      <c r="M21" s="331">
        <f>L21*2000/17980</f>
        <v>462.16907675194653</v>
      </c>
      <c r="N21" s="332">
        <v>4339</v>
      </c>
      <c r="O21" s="331">
        <f>N21*2000/18400</f>
        <v>471.63043478260869</v>
      </c>
      <c r="P21" s="330">
        <v>2692.8</v>
      </c>
      <c r="Q21" s="329">
        <f>P21*2000/18720</f>
        <v>287.69230769230768</v>
      </c>
      <c r="R21" s="330">
        <v>3661</v>
      </c>
      <c r="S21" s="333">
        <v>382</v>
      </c>
      <c r="T21" s="330">
        <v>3963</v>
      </c>
      <c r="U21" s="333">
        <v>409</v>
      </c>
      <c r="V21" s="332">
        <v>3060.6</v>
      </c>
      <c r="W21" s="332">
        <v>308.37279596977328</v>
      </c>
      <c r="X21" s="330">
        <v>3075.192</v>
      </c>
      <c r="Y21" s="332">
        <v>309.06452261306532</v>
      </c>
      <c r="Z21" s="330">
        <v>6403.9050000000016</v>
      </c>
      <c r="AA21" s="333">
        <v>632.48444444444465</v>
      </c>
      <c r="AB21" s="330">
        <v>6771.7190000000001</v>
      </c>
      <c r="AC21" s="333">
        <v>657.44844660194178</v>
      </c>
      <c r="AD21" s="332">
        <v>5506.4449999999997</v>
      </c>
      <c r="AE21" s="333">
        <v>514.38066324147599</v>
      </c>
      <c r="AF21" s="332">
        <v>8131.683</v>
      </c>
      <c r="AG21" s="333">
        <v>738.23722197004088</v>
      </c>
      <c r="AH21" s="338">
        <v>6216.63</v>
      </c>
      <c r="AI21" s="339">
        <v>553.810556264105</v>
      </c>
      <c r="AJ21" s="338">
        <v>4475.1400000000003</v>
      </c>
      <c r="AK21" s="339">
        <v>394.02509355051728</v>
      </c>
      <c r="AL21" s="330">
        <v>7300.47</v>
      </c>
      <c r="AM21" s="333">
        <v>671.30758620689653</v>
      </c>
      <c r="AN21" s="332">
        <v>8641.4120000000003</v>
      </c>
      <c r="AO21" s="332">
        <v>791.15696955825126</v>
      </c>
      <c r="AP21" s="330">
        <v>8244.2360000000008</v>
      </c>
      <c r="AQ21" s="332">
        <v>751.52561531449419</v>
      </c>
      <c r="AR21" s="330">
        <v>7304.7889999999998</v>
      </c>
      <c r="AS21" s="332">
        <v>662.86651542649724</v>
      </c>
      <c r="AT21" s="330">
        <v>5400.37</v>
      </c>
      <c r="AU21" s="332">
        <v>486.4102679576672</v>
      </c>
      <c r="AV21" s="330">
        <v>4046.0770000000002</v>
      </c>
      <c r="AW21" s="332">
        <v>360.53259077745599</v>
      </c>
      <c r="AX21" s="330">
        <v>6160.81</v>
      </c>
      <c r="AY21" s="332">
        <v>540.65906099166295</v>
      </c>
      <c r="AZ21" s="330">
        <v>5295.7830000000004</v>
      </c>
      <c r="BA21" s="332">
        <v>456.72988357050451</v>
      </c>
      <c r="BB21" s="330">
        <v>4611.54</v>
      </c>
      <c r="BC21" s="332">
        <v>391.47198641765704</v>
      </c>
      <c r="BD21" s="330">
        <v>3009.5720000000001</v>
      </c>
      <c r="BE21" s="332">
        <v>252.48087248322148</v>
      </c>
      <c r="BF21" s="330">
        <v>4139.7179999999998</v>
      </c>
      <c r="BG21" s="332">
        <v>343.47380211574364</v>
      </c>
      <c r="BH21" s="330">
        <v>4727.7640000000001</v>
      </c>
      <c r="BI21" s="332">
        <v>379.90791112539677</v>
      </c>
      <c r="BJ21" s="340">
        <f>'Table 2'!B20</f>
        <v>6625.1379999999999</v>
      </c>
      <c r="BK21" s="370">
        <f>'Table 2'!C20</f>
        <v>521.58608568616557</v>
      </c>
      <c r="BL21" s="122">
        <f t="shared" si="0"/>
        <v>0.37292767644947755</v>
      </c>
      <c r="BN21" s="13"/>
      <c r="BO21" s="156"/>
      <c r="BP21" s="157"/>
      <c r="BQ21" s="161"/>
      <c r="BR21" s="13"/>
      <c r="BS21" s="13"/>
      <c r="BT21" s="13"/>
      <c r="BU21" s="13"/>
      <c r="BV21" s="13"/>
      <c r="BX21" s="39"/>
    </row>
    <row r="22" spans="1:76" ht="15" customHeight="1" x14ac:dyDescent="0.25">
      <c r="A22" s="160" t="str">
        <f>'Table 4'!A22</f>
        <v>Josephine</v>
      </c>
      <c r="B22" s="322">
        <v>7825.9</v>
      </c>
      <c r="C22" s="314">
        <f>B22*2000/65480</f>
        <v>239.03176542455711</v>
      </c>
      <c r="D22" s="323">
        <v>9320.7000000000007</v>
      </c>
      <c r="E22" s="314">
        <f>D22*2000/67480</f>
        <v>276.25074096028453</v>
      </c>
      <c r="F22" s="323">
        <v>12461.9</v>
      </c>
      <c r="G22" s="314">
        <f>F22*2000/69390</f>
        <v>359.18432050727773</v>
      </c>
      <c r="H22" s="323">
        <v>17648</v>
      </c>
      <c r="I22" s="324">
        <f>H22*2000/71290</f>
        <v>495.10450273530648</v>
      </c>
      <c r="J22" s="323">
        <v>21687.599999999999</v>
      </c>
      <c r="K22" s="324">
        <f>J22*2000/72300</f>
        <v>599.93360995850617</v>
      </c>
      <c r="L22" s="13">
        <v>23296.2</v>
      </c>
      <c r="M22" s="324">
        <f>L22*2000/73410</f>
        <v>634.68737229260319</v>
      </c>
      <c r="N22" s="13">
        <v>28020</v>
      </c>
      <c r="O22" s="324">
        <f>N22*2000/74430</f>
        <v>752.92220878677949</v>
      </c>
      <c r="P22" s="13">
        <v>30928.1</v>
      </c>
      <c r="Q22" s="314">
        <f>P22*2000/75210</f>
        <v>822.44648318042812</v>
      </c>
      <c r="R22" s="334">
        <v>26534</v>
      </c>
      <c r="S22" s="335">
        <v>698</v>
      </c>
      <c r="T22" s="334">
        <v>25556</v>
      </c>
      <c r="U22" s="335">
        <v>665</v>
      </c>
      <c r="V22" s="336">
        <v>32644.400000000001</v>
      </c>
      <c r="W22" s="336">
        <v>840.80875724404382</v>
      </c>
      <c r="X22" s="334">
        <v>31344.504999999986</v>
      </c>
      <c r="Y22" s="336">
        <v>800.11499680918917</v>
      </c>
      <c r="Z22" s="334">
        <v>36526.443000000007</v>
      </c>
      <c r="AA22" s="335">
        <v>929.4260305343513</v>
      </c>
      <c r="AB22" s="334">
        <v>36553.745999999999</v>
      </c>
      <c r="AC22" s="335">
        <v>917.91690627158016</v>
      </c>
      <c r="AD22" s="336">
        <v>42004.690999999999</v>
      </c>
      <c r="AE22" s="335">
        <v>1035.5547858243451</v>
      </c>
      <c r="AF22" s="336">
        <v>32942.726000000002</v>
      </c>
      <c r="AG22" s="335">
        <v>799.67777642917838</v>
      </c>
      <c r="AH22" s="337">
        <v>35957.273999999998</v>
      </c>
      <c r="AI22" s="367">
        <v>863.44774633018528</v>
      </c>
      <c r="AJ22" s="337">
        <v>29510.403999999999</v>
      </c>
      <c r="AK22" s="367">
        <v>705.44203669395802</v>
      </c>
      <c r="AL22" s="334">
        <v>32992.466999999997</v>
      </c>
      <c r="AM22" s="335">
        <v>797.16018121413458</v>
      </c>
      <c r="AN22" s="336">
        <v>47044.53</v>
      </c>
      <c r="AO22" s="336">
        <v>1136.0668920550593</v>
      </c>
      <c r="AP22" s="334">
        <v>48566.591</v>
      </c>
      <c r="AQ22" s="336">
        <v>1173.4603684687406</v>
      </c>
      <c r="AR22" s="334">
        <v>43614.375999999997</v>
      </c>
      <c r="AS22" s="336">
        <v>1053.2965284066895</v>
      </c>
      <c r="AT22" s="334">
        <v>39386.868999999999</v>
      </c>
      <c r="AU22" s="13">
        <v>947.88205282473973</v>
      </c>
      <c r="AV22" s="334">
        <v>32724.685000000001</v>
      </c>
      <c r="AW22" s="336">
        <v>781.7650501672241</v>
      </c>
      <c r="AX22" s="334">
        <v>38476.017</v>
      </c>
      <c r="AY22" s="336">
        <v>908.79284322409217</v>
      </c>
      <c r="AZ22" s="334">
        <v>41782.453999999998</v>
      </c>
      <c r="BA22" s="336">
        <v>975.65566841798011</v>
      </c>
      <c r="BB22" s="334">
        <v>37385.330999999998</v>
      </c>
      <c r="BC22" s="336">
        <v>865.45126454077206</v>
      </c>
      <c r="BD22" s="334">
        <v>33572.050000000003</v>
      </c>
      <c r="BE22" s="336">
        <v>773.99538904899134</v>
      </c>
      <c r="BF22" s="334">
        <v>46849.188999999998</v>
      </c>
      <c r="BG22" s="336">
        <v>1082.4673983364141</v>
      </c>
      <c r="BH22" s="334">
        <v>43623.182999999997</v>
      </c>
      <c r="BI22" s="336">
        <v>983.30139302136865</v>
      </c>
      <c r="BJ22" s="368">
        <f>'Table 2'!B21</f>
        <v>34186.535000000003</v>
      </c>
      <c r="BK22" s="369">
        <f>'Table 2'!C21</f>
        <v>770.88119550374711</v>
      </c>
      <c r="BL22" s="110">
        <f t="shared" si="0"/>
        <v>-0.21602755678492702</v>
      </c>
      <c r="BN22" s="13"/>
      <c r="BO22" s="156"/>
      <c r="BP22" s="157"/>
      <c r="BQ22" s="161"/>
      <c r="BR22" s="13"/>
      <c r="BS22" s="13"/>
      <c r="BT22" s="13"/>
      <c r="BU22" s="13"/>
      <c r="BV22" s="13"/>
      <c r="BX22" s="39"/>
    </row>
    <row r="23" spans="1:76" ht="15" customHeight="1" x14ac:dyDescent="0.25">
      <c r="A23" s="160" t="str">
        <f>'Table 4'!A23</f>
        <v>Klamath</v>
      </c>
      <c r="B23" s="322">
        <v>8827.2000000000007</v>
      </c>
      <c r="C23" s="314">
        <f>B23*2000/58710</f>
        <v>300.70516096065404</v>
      </c>
      <c r="D23" s="323">
        <v>9236.7999999999993</v>
      </c>
      <c r="E23" s="314">
        <f>D23*2000/59630</f>
        <v>309.80379003857121</v>
      </c>
      <c r="F23" s="323">
        <v>11949.8</v>
      </c>
      <c r="G23" s="314">
        <f>F23*2000/60590</f>
        <v>394.44792870110581</v>
      </c>
      <c r="H23" s="323">
        <v>13561</v>
      </c>
      <c r="I23" s="324">
        <f>H23*2000/61190</f>
        <v>443.24235986272265</v>
      </c>
      <c r="J23" s="323">
        <v>11170.6</v>
      </c>
      <c r="K23" s="324">
        <f>J23*2000/62130</f>
        <v>359.58796072750687</v>
      </c>
      <c r="L23" s="13">
        <v>12849.5</v>
      </c>
      <c r="M23" s="324">
        <f>L23*2000/62860</f>
        <v>408.82914412981228</v>
      </c>
      <c r="N23" s="13">
        <v>13111</v>
      </c>
      <c r="O23" s="324">
        <f>N23*2000/63250</f>
        <v>414.57707509881425</v>
      </c>
      <c r="P23" s="13">
        <v>11447.4</v>
      </c>
      <c r="Q23" s="314">
        <f>P23*2000/63530</f>
        <v>360.37777427986777</v>
      </c>
      <c r="R23" s="323">
        <v>14070</v>
      </c>
      <c r="S23" s="96">
        <v>440</v>
      </c>
      <c r="T23" s="323">
        <v>21617</v>
      </c>
      <c r="U23" s="96">
        <v>673</v>
      </c>
      <c r="V23" s="13">
        <v>25245.599999999999</v>
      </c>
      <c r="W23" s="13">
        <v>782.20294345468631</v>
      </c>
      <c r="X23" s="323">
        <v>17635.823000000004</v>
      </c>
      <c r="Y23" s="13">
        <v>546.00071207430346</v>
      </c>
      <c r="Z23" s="323">
        <v>27328.190999999999</v>
      </c>
      <c r="AA23" s="96">
        <v>843.46268518518514</v>
      </c>
      <c r="AB23" s="323">
        <v>38475.883000000002</v>
      </c>
      <c r="AC23" s="96">
        <v>1182.8724310199063</v>
      </c>
      <c r="AD23" s="13">
        <v>36649.836000000003</v>
      </c>
      <c r="AE23" s="96">
        <v>1119.8483232755327</v>
      </c>
      <c r="AF23" s="13">
        <v>34502.127</v>
      </c>
      <c r="AG23" s="96">
        <v>1048.4578591506495</v>
      </c>
      <c r="AH23" s="325">
        <v>48818.930999999997</v>
      </c>
      <c r="AI23" s="326">
        <v>1475.3664964916697</v>
      </c>
      <c r="AJ23" s="325">
        <v>26255.694</v>
      </c>
      <c r="AK23" s="326">
        <v>791.43011303692538</v>
      </c>
      <c r="AL23" s="323">
        <v>20571.011999999999</v>
      </c>
      <c r="AM23" s="96">
        <v>618.6305390572137</v>
      </c>
      <c r="AN23" s="13">
        <v>20751.418000000001</v>
      </c>
      <c r="AO23" s="13">
        <v>623.35289876839897</v>
      </c>
      <c r="AP23" s="323">
        <v>23431.541000000001</v>
      </c>
      <c r="AQ23" s="13">
        <v>702.17383877734494</v>
      </c>
      <c r="AR23" s="323">
        <v>19793.194</v>
      </c>
      <c r="AS23" s="13">
        <v>592.52189791947308</v>
      </c>
      <c r="AT23" s="323">
        <v>22133.703000000001</v>
      </c>
      <c r="AU23" s="13">
        <v>661.59626363772236</v>
      </c>
      <c r="AV23" s="323">
        <v>15183.351000000001</v>
      </c>
      <c r="AW23" s="13">
        <v>452.4914617791685</v>
      </c>
      <c r="AX23" s="323">
        <v>20055.238000000001</v>
      </c>
      <c r="AY23" s="13">
        <v>595.0226375908619</v>
      </c>
      <c r="AZ23" s="323">
        <v>18156.181</v>
      </c>
      <c r="BA23" s="13">
        <v>536.45090855370074</v>
      </c>
      <c r="BB23" s="323">
        <v>17441.686000000002</v>
      </c>
      <c r="BC23" s="13">
        <v>513.29270158917006</v>
      </c>
      <c r="BD23" s="323">
        <v>17130.665000000001</v>
      </c>
      <c r="BE23" s="13">
        <v>502.43921396099137</v>
      </c>
      <c r="BF23" s="323">
        <v>18988.834999999999</v>
      </c>
      <c r="BG23" s="13">
        <v>557.87983841351456</v>
      </c>
      <c r="BH23" s="323">
        <v>21202.896000000001</v>
      </c>
      <c r="BI23" s="13">
        <v>607.34141101658508</v>
      </c>
      <c r="BJ23" s="327">
        <f>'Table 2'!B22</f>
        <v>20070.82</v>
      </c>
      <c r="BK23" s="366">
        <f>'Table 2'!C22</f>
        <v>566.59109109819701</v>
      </c>
      <c r="BL23" s="110">
        <f t="shared" si="0"/>
        <v>-6.7096231508697923E-2</v>
      </c>
      <c r="BN23" s="13"/>
      <c r="BO23" s="156"/>
      <c r="BP23" s="157"/>
      <c r="BQ23" s="161"/>
      <c r="BR23" s="13"/>
      <c r="BS23" s="13"/>
      <c r="BT23" s="13"/>
      <c r="BU23" s="13"/>
      <c r="BV23" s="13"/>
      <c r="BX23" s="39"/>
    </row>
    <row r="24" spans="1:76" ht="15" customHeight="1" x14ac:dyDescent="0.25">
      <c r="A24" s="160" t="str">
        <f>'Table 4'!A24</f>
        <v>Lake</v>
      </c>
      <c r="B24" s="322">
        <v>269</v>
      </c>
      <c r="C24" s="314">
        <f>B24*2000/7300</f>
        <v>73.698630136986296</v>
      </c>
      <c r="D24" s="323">
        <v>394.2</v>
      </c>
      <c r="E24" s="314">
        <f>D24*2000/7320</f>
        <v>107.70491803278688</v>
      </c>
      <c r="F24" s="323">
        <v>597</v>
      </c>
      <c r="G24" s="314">
        <f>F24*2000/7440</f>
        <v>160.48387096774192</v>
      </c>
      <c r="H24" s="323">
        <v>715</v>
      </c>
      <c r="I24" s="324">
        <f>H24*2000/7480</f>
        <v>191.1764705882353</v>
      </c>
      <c r="J24" s="323">
        <v>601.20000000000005</v>
      </c>
      <c r="K24" s="324">
        <f>J24*2000/7460</f>
        <v>161.17962466487936</v>
      </c>
      <c r="L24" s="13">
        <v>581</v>
      </c>
      <c r="M24" s="324">
        <f>L24*2000/7460</f>
        <v>155.76407506702412</v>
      </c>
      <c r="N24" s="13">
        <v>553</v>
      </c>
      <c r="O24" s="324">
        <f>N24*2000/7380</f>
        <v>149.86449864498644</v>
      </c>
      <c r="P24" s="13">
        <v>410</v>
      </c>
      <c r="Q24" s="314">
        <f>P24*2000/7420</f>
        <v>110.51212938005391</v>
      </c>
      <c r="R24" s="323">
        <v>369</v>
      </c>
      <c r="S24" s="96">
        <v>99</v>
      </c>
      <c r="T24" s="323">
        <v>643</v>
      </c>
      <c r="U24" s="96">
        <v>171</v>
      </c>
      <c r="V24" s="13">
        <v>584.6</v>
      </c>
      <c r="W24" s="13">
        <v>156.93959731543623</v>
      </c>
      <c r="X24" s="323">
        <v>1649.9260000000002</v>
      </c>
      <c r="Y24" s="13">
        <v>445.92594594594601</v>
      </c>
      <c r="Z24" s="323">
        <v>1629.06</v>
      </c>
      <c r="AA24" s="96">
        <v>434.416</v>
      </c>
      <c r="AB24" s="323">
        <v>1020.436</v>
      </c>
      <c r="AC24" s="96">
        <v>271.93497668221187</v>
      </c>
      <c r="AD24" s="13">
        <v>1359.521</v>
      </c>
      <c r="AE24" s="96">
        <v>360.61564986737403</v>
      </c>
      <c r="AF24" s="13">
        <v>1690.894</v>
      </c>
      <c r="AG24" s="96">
        <v>447.03079973562461</v>
      </c>
      <c r="AH24" s="325">
        <v>2949.5770000000002</v>
      </c>
      <c r="AI24" s="326">
        <v>777.71124786012433</v>
      </c>
      <c r="AJ24" s="325">
        <v>1753.585</v>
      </c>
      <c r="AK24" s="326">
        <v>461.46973684210525</v>
      </c>
      <c r="AL24" s="323">
        <v>2214.5839999999998</v>
      </c>
      <c r="AM24" s="96">
        <v>561.36476552598231</v>
      </c>
      <c r="AN24" s="13">
        <v>2655.8020000000001</v>
      </c>
      <c r="AO24" s="13">
        <v>673.63398858592268</v>
      </c>
      <c r="AP24" s="323">
        <v>1843.268</v>
      </c>
      <c r="AQ24" s="13">
        <v>465.47171717171716</v>
      </c>
      <c r="AR24" s="323">
        <v>2176.8110000000001</v>
      </c>
      <c r="AS24" s="13">
        <v>548.3151133501259</v>
      </c>
      <c r="AT24" s="323">
        <v>1145.4010000000001</v>
      </c>
      <c r="AU24" s="13">
        <v>286.70863579474343</v>
      </c>
      <c r="AV24" s="323">
        <v>846.55</v>
      </c>
      <c r="AW24" s="13">
        <v>211.37328339575529</v>
      </c>
      <c r="AX24" s="323">
        <v>897.41499999999996</v>
      </c>
      <c r="AY24" s="13">
        <v>223.93387398627573</v>
      </c>
      <c r="AZ24" s="323">
        <v>605.84699999999998</v>
      </c>
      <c r="BA24" s="13">
        <v>149.22339901477832</v>
      </c>
      <c r="BB24" s="323">
        <v>773.28399999999999</v>
      </c>
      <c r="BC24" s="13">
        <v>190.58139248305608</v>
      </c>
      <c r="BD24" s="323">
        <v>366.04599999999999</v>
      </c>
      <c r="BE24" s="13">
        <v>90.605445544554456</v>
      </c>
      <c r="BF24" s="323">
        <v>424.70299999999997</v>
      </c>
      <c r="BG24" s="13">
        <v>105.18959752321982</v>
      </c>
      <c r="BH24" s="323">
        <v>567.70699999999999</v>
      </c>
      <c r="BI24" s="13">
        <v>138.8545921487098</v>
      </c>
      <c r="BJ24" s="327">
        <f>'Table 2'!B23</f>
        <v>629.572</v>
      </c>
      <c r="BK24" s="366">
        <f>'Table 2'!C23</f>
        <v>152.69724890550111</v>
      </c>
      <c r="BL24" s="110">
        <f t="shared" si="0"/>
        <v>9.9691746182698715E-2</v>
      </c>
      <c r="BN24" s="13"/>
      <c r="BO24" s="156"/>
      <c r="BP24" s="157"/>
      <c r="BQ24" s="161"/>
      <c r="BR24" s="13"/>
      <c r="BS24" s="13"/>
      <c r="BT24" s="13"/>
      <c r="BU24" s="13"/>
      <c r="BV24" s="13"/>
      <c r="BX24" s="39"/>
    </row>
    <row r="25" spans="1:76" ht="15" customHeight="1" x14ac:dyDescent="0.25">
      <c r="A25" s="160" t="str">
        <f>'Table 4'!A25</f>
        <v>Lane</v>
      </c>
      <c r="B25" s="322">
        <v>72071.7</v>
      </c>
      <c r="C25" s="314">
        <f>B25*2000/292240</f>
        <v>493.23638105666578</v>
      </c>
      <c r="D25" s="323">
        <v>104604.1</v>
      </c>
      <c r="E25" s="314">
        <f>D25*2000/296930</f>
        <v>704.57077425655882</v>
      </c>
      <c r="F25" s="323">
        <v>118788.4</v>
      </c>
      <c r="G25" s="314">
        <f>F25*2000/301370</f>
        <v>788.3226598533364</v>
      </c>
      <c r="H25" s="323">
        <v>115083</v>
      </c>
      <c r="I25" s="324">
        <f>H25*2000/306130</f>
        <v>751.85705419266321</v>
      </c>
      <c r="J25" s="323">
        <v>153843.4</v>
      </c>
      <c r="K25" s="324">
        <f>J25*2000/310320</f>
        <v>991.51456560969325</v>
      </c>
      <c r="L25" s="13">
        <v>164634.5</v>
      </c>
      <c r="M25" s="324">
        <f>L25*2000/315790</f>
        <v>1042.6834288609518</v>
      </c>
      <c r="N25" s="13">
        <v>171708</v>
      </c>
      <c r="O25" s="324">
        <f>N25*2000/318730</f>
        <v>1077.4511341888119</v>
      </c>
      <c r="P25" s="13">
        <v>180382.5</v>
      </c>
      <c r="Q25" s="314">
        <f>P25*2000/320970</f>
        <v>1123.9835498644734</v>
      </c>
      <c r="R25" s="323">
        <v>216532</v>
      </c>
      <c r="S25" s="96">
        <v>1337</v>
      </c>
      <c r="T25" s="323">
        <v>206010</v>
      </c>
      <c r="U25" s="96">
        <v>1264</v>
      </c>
      <c r="V25" s="13">
        <v>202262.2</v>
      </c>
      <c r="W25" s="13">
        <v>1232.7423434404998</v>
      </c>
      <c r="X25" s="323">
        <v>218368.42</v>
      </c>
      <c r="Y25" s="13">
        <v>1325.8556162720097</v>
      </c>
      <c r="Z25" s="323">
        <v>213032.62300000005</v>
      </c>
      <c r="AA25" s="96">
        <v>1278.1318314084299</v>
      </c>
      <c r="AB25" s="323">
        <v>243260.78200000001</v>
      </c>
      <c r="AC25" s="96">
        <v>1447.61463320291</v>
      </c>
      <c r="AD25" s="13">
        <v>248598.71799999999</v>
      </c>
      <c r="AE25" s="96">
        <v>1463.464519927003</v>
      </c>
      <c r="AF25" s="13">
        <v>237578.49100000001</v>
      </c>
      <c r="AG25" s="96">
        <v>1384.7321268286996</v>
      </c>
      <c r="AH25" s="325">
        <v>217536.709</v>
      </c>
      <c r="AI25" s="326">
        <v>1257.8793586928723</v>
      </c>
      <c r="AJ25" s="325">
        <v>190876.55</v>
      </c>
      <c r="AK25" s="326">
        <v>1097.969743162012</v>
      </c>
      <c r="AL25" s="323">
        <v>237492.52600000001</v>
      </c>
      <c r="AM25" s="96">
        <v>1349.3510184369761</v>
      </c>
      <c r="AN25" s="13">
        <v>269099.56</v>
      </c>
      <c r="AO25" s="13">
        <v>1523.9742322776119</v>
      </c>
      <c r="AP25" s="323">
        <v>268428.77399999998</v>
      </c>
      <c r="AQ25" s="13">
        <v>1515.6904234895537</v>
      </c>
      <c r="AR25" s="323">
        <v>229817.516</v>
      </c>
      <c r="AS25" s="13">
        <v>1290.6564605124606</v>
      </c>
      <c r="AT25" s="323">
        <v>264472.49300000002</v>
      </c>
      <c r="AU25" s="13">
        <v>1474.1851033291066</v>
      </c>
      <c r="AV25" s="323">
        <v>242829.511</v>
      </c>
      <c r="AW25" s="13">
        <v>1341.0438271434489</v>
      </c>
      <c r="AX25" s="323">
        <v>258325.94500000001</v>
      </c>
      <c r="AY25" s="13">
        <v>1411.848636388479</v>
      </c>
      <c r="AZ25" s="323">
        <v>302487.30499999999</v>
      </c>
      <c r="BA25" s="13">
        <v>1632.4193470048569</v>
      </c>
      <c r="BB25" s="323">
        <v>318395.28100000002</v>
      </c>
      <c r="BC25" s="13">
        <v>1697.5649445510769</v>
      </c>
      <c r="BD25" s="323">
        <v>346009.07199999999</v>
      </c>
      <c r="BE25" s="13">
        <v>1826.4836993243243</v>
      </c>
      <c r="BF25" s="323">
        <v>331136.21100000001</v>
      </c>
      <c r="BG25" s="13">
        <v>1736.5841700208462</v>
      </c>
      <c r="BH25" s="323">
        <v>337437.96399999998</v>
      </c>
      <c r="BI25" s="13">
        <v>1763.7036955732046</v>
      </c>
      <c r="BJ25" s="327">
        <f>'Table 2'!B24</f>
        <v>319447.43099999998</v>
      </c>
      <c r="BK25" s="366">
        <f>'Table 2'!C24</f>
        <v>1663.9703676035299</v>
      </c>
      <c r="BL25" s="110">
        <f t="shared" si="0"/>
        <v>-5.6547666266164587E-2</v>
      </c>
      <c r="BN25" s="13"/>
      <c r="BO25" s="156"/>
      <c r="BP25" s="157"/>
      <c r="BQ25" s="161"/>
      <c r="BR25" s="13"/>
      <c r="BS25" s="13"/>
      <c r="BT25" s="13"/>
      <c r="BU25" s="13"/>
      <c r="BV25" s="13"/>
      <c r="BX25" s="39"/>
    </row>
    <row r="26" spans="1:76" ht="15" customHeight="1" x14ac:dyDescent="0.25">
      <c r="A26" s="162" t="str">
        <f>'Table 4'!A26</f>
        <v>Lincoln</v>
      </c>
      <c r="B26" s="328">
        <v>6885.9</v>
      </c>
      <c r="C26" s="329">
        <f>B26*2000/40730</f>
        <v>338.12423275227104</v>
      </c>
      <c r="D26" s="330">
        <v>7282.9</v>
      </c>
      <c r="E26" s="329">
        <f>D26*2000/41900</f>
        <v>347.63245823389019</v>
      </c>
      <c r="F26" s="330">
        <v>8665.4</v>
      </c>
      <c r="G26" s="329">
        <f>F26*2000/42940</f>
        <v>403.60503027480206</v>
      </c>
      <c r="H26" s="330">
        <v>8246</v>
      </c>
      <c r="I26" s="331">
        <f>H26*2000/43940</f>
        <v>375.32999544833865</v>
      </c>
      <c r="J26" s="330">
        <v>7822.9</v>
      </c>
      <c r="K26" s="331">
        <f>J26*2000/44500</f>
        <v>351.59101123595508</v>
      </c>
      <c r="L26" s="330">
        <v>9846.6</v>
      </c>
      <c r="M26" s="331">
        <f>L26*2000/45050</f>
        <v>437.14095449500553</v>
      </c>
      <c r="N26" s="332">
        <v>10416</v>
      </c>
      <c r="O26" s="331">
        <f>N26*2000/44840</f>
        <v>464.58519179304193</v>
      </c>
      <c r="P26" s="330">
        <v>9912</v>
      </c>
      <c r="Q26" s="329">
        <f>P26*2000/44500</f>
        <v>445.4831460674157</v>
      </c>
      <c r="R26" s="330">
        <v>12192</v>
      </c>
      <c r="S26" s="333">
        <v>547</v>
      </c>
      <c r="T26" s="330">
        <v>15128</v>
      </c>
      <c r="U26" s="333">
        <v>678</v>
      </c>
      <c r="V26" s="332">
        <v>15161.6</v>
      </c>
      <c r="W26" s="332">
        <v>678.37136465324386</v>
      </c>
      <c r="X26" s="330">
        <v>15798.656000000001</v>
      </c>
      <c r="Y26" s="332">
        <v>702.1624888888889</v>
      </c>
      <c r="Z26" s="330">
        <v>17785</v>
      </c>
      <c r="AA26" s="333">
        <v>801.12612612612611</v>
      </c>
      <c r="AB26" s="330">
        <v>22974.101999999999</v>
      </c>
      <c r="AC26" s="333">
        <v>1034.75293322824</v>
      </c>
      <c r="AD26" s="332">
        <v>18029.807000000001</v>
      </c>
      <c r="AE26" s="333">
        <v>809.96437556154535</v>
      </c>
      <c r="AF26" s="332">
        <v>20034.603999999999</v>
      </c>
      <c r="AG26" s="333">
        <v>897.80882814250504</v>
      </c>
      <c r="AH26" s="338">
        <v>21354.724999999999</v>
      </c>
      <c r="AI26" s="339">
        <v>955.1851321834398</v>
      </c>
      <c r="AJ26" s="338">
        <v>17009.580999999998</v>
      </c>
      <c r="AK26" s="339">
        <v>761.05507829977626</v>
      </c>
      <c r="AL26" s="330">
        <v>18810.494999999999</v>
      </c>
      <c r="AM26" s="333">
        <v>815.45442722445</v>
      </c>
      <c r="AN26" s="332">
        <v>18520.291000000001</v>
      </c>
      <c r="AO26" s="332">
        <v>802.52588018632866</v>
      </c>
      <c r="AP26" s="330">
        <v>22103.924999999999</v>
      </c>
      <c r="AQ26" s="332">
        <v>954.91629765633434</v>
      </c>
      <c r="AR26" s="330">
        <v>16915.409</v>
      </c>
      <c r="AS26" s="332">
        <v>726.60691580756009</v>
      </c>
      <c r="AT26" s="330">
        <v>19939.863000000001</v>
      </c>
      <c r="AU26" s="332">
        <v>850.4953294945617</v>
      </c>
      <c r="AV26" s="330">
        <v>19826.708999999999</v>
      </c>
      <c r="AW26" s="332">
        <v>839.67004764425621</v>
      </c>
      <c r="AX26" s="330">
        <v>17012.327000000001</v>
      </c>
      <c r="AY26" s="332">
        <v>712.78210956321357</v>
      </c>
      <c r="AZ26" s="330">
        <v>14868.022999999999</v>
      </c>
      <c r="BA26" s="332">
        <v>620.01763969974979</v>
      </c>
      <c r="BB26" s="330">
        <v>18515.539000000001</v>
      </c>
      <c r="BC26" s="332">
        <v>768.12026550508199</v>
      </c>
      <c r="BD26" s="330">
        <v>19639.169000000002</v>
      </c>
      <c r="BE26" s="332">
        <v>813.89013675922092</v>
      </c>
      <c r="BF26" s="330">
        <v>18402.539000000001</v>
      </c>
      <c r="BG26" s="332">
        <v>761.9310216333713</v>
      </c>
      <c r="BH26" s="330">
        <v>24901.986000000001</v>
      </c>
      <c r="BI26" s="332">
        <v>978.40936683496057</v>
      </c>
      <c r="BJ26" s="340">
        <f>'Table 2'!B25</f>
        <v>20328.132000000001</v>
      </c>
      <c r="BK26" s="370">
        <f>'Table 2'!C25</f>
        <v>795.7772367017734</v>
      </c>
      <c r="BL26" s="122">
        <f t="shared" si="0"/>
        <v>-0.18666228709970412</v>
      </c>
      <c r="BN26" s="13"/>
      <c r="BO26" s="156"/>
      <c r="BP26" s="157"/>
      <c r="BQ26" s="161"/>
      <c r="BR26" s="13"/>
      <c r="BS26" s="13"/>
      <c r="BT26" s="13"/>
      <c r="BU26" s="13"/>
      <c r="BV26" s="13"/>
      <c r="BX26" s="39"/>
    </row>
    <row r="27" spans="1:76" ht="15" customHeight="1" x14ac:dyDescent="0.25">
      <c r="A27" s="160" t="str">
        <f>'Table 4'!A27</f>
        <v>Linn</v>
      </c>
      <c r="B27" s="322">
        <v>17231.5</v>
      </c>
      <c r="C27" s="314">
        <f>B27*2000/(93990+3890-41-115+310)</f>
        <v>351.54130199726626</v>
      </c>
      <c r="D27" s="323">
        <v>25823</v>
      </c>
      <c r="E27" s="314">
        <f>D27*2000/(95300+3975-41-112+310)</f>
        <v>519.41025022125677</v>
      </c>
      <c r="F27" s="323">
        <v>25213</v>
      </c>
      <c r="G27" s="314">
        <f>F27*2000/(96650+4075-40-110+310)</f>
        <v>499.83644744015464</v>
      </c>
      <c r="H27" s="323">
        <v>31551</v>
      </c>
      <c r="I27" s="324">
        <f>H27*2000/(98510+4200-44-112+310)</f>
        <v>613.45076994867009</v>
      </c>
      <c r="J27" s="323">
        <v>33200.5</v>
      </c>
      <c r="K27" s="324">
        <f>J27*2000/(100180+4350-44-115+310)</f>
        <v>634.31759345057844</v>
      </c>
      <c r="L27" s="13">
        <v>35423.800000000003</v>
      </c>
      <c r="M27" s="324">
        <f>L27*2000/(101560+4540-45-114+310)</f>
        <v>666.79466546197216</v>
      </c>
      <c r="N27" s="13">
        <v>34631</v>
      </c>
      <c r="O27" s="324">
        <f>N27*2000/(102140+4740-45-115+310)</f>
        <v>647.12697374567881</v>
      </c>
      <c r="P27" s="13">
        <v>35775.699999999997</v>
      </c>
      <c r="Q27" s="314">
        <f>P27*2000/(102710+4980-45-135+310)</f>
        <v>663.61899462066413</v>
      </c>
      <c r="R27" s="334">
        <v>33830</v>
      </c>
      <c r="S27" s="335">
        <v>623</v>
      </c>
      <c r="T27" s="334">
        <v>36510</v>
      </c>
      <c r="U27" s="335">
        <v>670</v>
      </c>
      <c r="V27" s="336">
        <v>44738.9</v>
      </c>
      <c r="W27" s="336">
        <v>816.77590141487906</v>
      </c>
      <c r="X27" s="334">
        <v>38884.031000000003</v>
      </c>
      <c r="Y27" s="336">
        <v>699.88806191783283</v>
      </c>
      <c r="Z27" s="334">
        <v>57999.438000000002</v>
      </c>
      <c r="AA27" s="335">
        <v>1028.860490487383</v>
      </c>
      <c r="AB27" s="334">
        <v>62504.245999999999</v>
      </c>
      <c r="AC27" s="335">
        <v>1098.5894366816065</v>
      </c>
      <c r="AD27" s="336">
        <v>60754.023000000001</v>
      </c>
      <c r="AE27" s="335">
        <v>1056.7571098084918</v>
      </c>
      <c r="AF27" s="336">
        <v>51543.381999999998</v>
      </c>
      <c r="AG27" s="335">
        <v>887.78356313029099</v>
      </c>
      <c r="AH27" s="337">
        <v>54219.38</v>
      </c>
      <c r="AI27" s="367">
        <v>923.99336548130725</v>
      </c>
      <c r="AJ27" s="337">
        <v>56124.925000000003</v>
      </c>
      <c r="AK27" s="367">
        <v>950.27936980943593</v>
      </c>
      <c r="AL27" s="334">
        <v>62831.837</v>
      </c>
      <c r="AM27" s="335">
        <v>1016.2688351179115</v>
      </c>
      <c r="AN27" s="336">
        <v>76149.835000000006</v>
      </c>
      <c r="AO27" s="336">
        <v>1225.6039109966603</v>
      </c>
      <c r="AP27" s="334">
        <v>65299.213000000003</v>
      </c>
      <c r="AQ27" s="336">
        <v>1044.5701374114185</v>
      </c>
      <c r="AR27" s="334">
        <v>61833.213000000003</v>
      </c>
      <c r="AS27" s="336">
        <v>983.01650994014449</v>
      </c>
      <c r="AT27" s="334">
        <v>60159.305</v>
      </c>
      <c r="AU27" s="13">
        <v>946.85383089901791</v>
      </c>
      <c r="AV27" s="334">
        <v>59426.476000000002</v>
      </c>
      <c r="AW27" s="336">
        <v>926.2159116590426</v>
      </c>
      <c r="AX27" s="334">
        <v>60100.211000000003</v>
      </c>
      <c r="AY27" s="336">
        <v>923.49622766176492</v>
      </c>
      <c r="AZ27" s="334">
        <v>62464.461000000003</v>
      </c>
      <c r="BA27" s="336">
        <v>946.93338891836584</v>
      </c>
      <c r="BB27" s="334">
        <v>74439.637000000002</v>
      </c>
      <c r="BC27" s="336">
        <v>1113.3824466414394</v>
      </c>
      <c r="BD27" s="334">
        <v>80581.23</v>
      </c>
      <c r="BE27" s="336">
        <v>1193.7517869708529</v>
      </c>
      <c r="BF27" s="334">
        <v>93476.213000000003</v>
      </c>
      <c r="BG27" s="336">
        <v>1376.4719923428067</v>
      </c>
      <c r="BH27" s="334">
        <v>74775.134999999995</v>
      </c>
      <c r="BI27" s="336">
        <v>1068.1322896058166</v>
      </c>
      <c r="BJ27" s="368">
        <f>'Table 2'!B26</f>
        <v>85953.39</v>
      </c>
      <c r="BK27" s="369">
        <f>'Table 2'!C26</f>
        <v>1221.9900413746141</v>
      </c>
      <c r="BL27" s="110">
        <f t="shared" si="0"/>
        <v>0.14404372310996894</v>
      </c>
      <c r="BN27" s="13"/>
      <c r="BO27" s="156"/>
      <c r="BP27" s="157"/>
      <c r="BQ27" s="161"/>
      <c r="BR27" s="13"/>
      <c r="BS27" s="13"/>
      <c r="BT27" s="13"/>
      <c r="BU27" s="13"/>
      <c r="BV27" s="13"/>
      <c r="BX27" s="39"/>
    </row>
    <row r="28" spans="1:76" ht="15" customHeight="1" x14ac:dyDescent="0.25">
      <c r="A28" s="160" t="str">
        <f>'Table 4'!A28</f>
        <v>Malheur</v>
      </c>
      <c r="B28" s="322">
        <v>3282.9</v>
      </c>
      <c r="C28" s="314">
        <f>B28*2000/27730</f>
        <v>236.77605481428057</v>
      </c>
      <c r="D28" s="323">
        <v>2675.1</v>
      </c>
      <c r="E28" s="314">
        <f>D28*2000/28330</f>
        <v>188.85280621249558</v>
      </c>
      <c r="F28" s="323">
        <v>2142.1999999999998</v>
      </c>
      <c r="G28" s="314">
        <f>F28*2000/28770</f>
        <v>148.91901286061869</v>
      </c>
      <c r="H28" s="323">
        <v>2922</v>
      </c>
      <c r="I28" s="324">
        <f>H28*2000/29490</f>
        <v>198.16887080366226</v>
      </c>
      <c r="J28" s="323">
        <v>4807.5</v>
      </c>
      <c r="K28" s="324">
        <f>J28*2000/30140</f>
        <v>319.01128069011281</v>
      </c>
      <c r="L28" s="13">
        <v>5163.1000000000004</v>
      </c>
      <c r="M28" s="324">
        <f>L28*2000/30620</f>
        <v>337.23709993468321</v>
      </c>
      <c r="N28" s="13">
        <v>5662</v>
      </c>
      <c r="O28" s="324">
        <f>N28*2000/31140</f>
        <v>363.6480411046885</v>
      </c>
      <c r="P28" s="13">
        <v>6537.8</v>
      </c>
      <c r="Q28" s="314">
        <f>P28*2000/31340</f>
        <v>417.21761327377152</v>
      </c>
      <c r="R28" s="323">
        <v>7212</v>
      </c>
      <c r="S28" s="96">
        <v>454</v>
      </c>
      <c r="T28" s="323">
        <v>7204</v>
      </c>
      <c r="U28" s="96">
        <v>450</v>
      </c>
      <c r="V28" s="13">
        <v>8138.3</v>
      </c>
      <c r="W28" s="13">
        <v>508.64375000000001</v>
      </c>
      <c r="X28" s="323">
        <v>7296.7630000000017</v>
      </c>
      <c r="Y28" s="13">
        <v>456.04768750000011</v>
      </c>
      <c r="Z28" s="323">
        <v>7885.773000000001</v>
      </c>
      <c r="AA28" s="96">
        <v>495.18197802197807</v>
      </c>
      <c r="AB28" s="323">
        <v>7491.7889999999998</v>
      </c>
      <c r="AC28" s="96">
        <v>471.18169811320757</v>
      </c>
      <c r="AD28" s="13">
        <v>6862.4560000000001</v>
      </c>
      <c r="AE28" s="96">
        <v>432.62133963750983</v>
      </c>
      <c r="AF28" s="13">
        <v>7044.8819999999996</v>
      </c>
      <c r="AG28" s="96">
        <v>445.59658444022773</v>
      </c>
      <c r="AH28" s="325">
        <v>6436.8239999999996</v>
      </c>
      <c r="AI28" s="326">
        <v>406.41033809791759</v>
      </c>
      <c r="AJ28" s="325">
        <v>4909.4089999999997</v>
      </c>
      <c r="AK28" s="326">
        <v>309.54659520807064</v>
      </c>
      <c r="AL28" s="323">
        <v>6288.6620000000003</v>
      </c>
      <c r="AM28" s="96">
        <v>401.25455415536766</v>
      </c>
      <c r="AN28" s="13">
        <v>5308.634</v>
      </c>
      <c r="AO28" s="13">
        <v>337.64566703768486</v>
      </c>
      <c r="AP28" s="323">
        <v>7469.7139999999999</v>
      </c>
      <c r="AQ28" s="13">
        <v>475.85373467112595</v>
      </c>
      <c r="AR28" s="323">
        <v>7698.7120000000004</v>
      </c>
      <c r="AS28" s="13">
        <v>489.73994910941474</v>
      </c>
      <c r="AT28" s="323">
        <v>6621.0159999999996</v>
      </c>
      <c r="AU28" s="13">
        <v>420.78271369558308</v>
      </c>
      <c r="AV28" s="323">
        <v>6703.0990000000002</v>
      </c>
      <c r="AW28" s="13">
        <v>425.86397712833548</v>
      </c>
      <c r="AX28" s="323">
        <v>7972.7420000000002</v>
      </c>
      <c r="AY28" s="13">
        <v>502.93278662671503</v>
      </c>
      <c r="AZ28" s="323">
        <v>6790.7060000000001</v>
      </c>
      <c r="BA28" s="13">
        <v>426.48491128905636</v>
      </c>
      <c r="BB28" s="323">
        <v>5170.2929999999997</v>
      </c>
      <c r="BC28" s="13">
        <v>323.90245888801877</v>
      </c>
      <c r="BD28" s="323">
        <v>5461.7960000000003</v>
      </c>
      <c r="BE28" s="13">
        <v>341.04252263502968</v>
      </c>
      <c r="BF28" s="323">
        <v>5366.5410000000002</v>
      </c>
      <c r="BG28" s="13">
        <v>334.31185173648964</v>
      </c>
      <c r="BH28" s="323">
        <v>6636.1549999999997</v>
      </c>
      <c r="BI28" s="13">
        <v>414.82450382872327</v>
      </c>
      <c r="BJ28" s="327">
        <f>'Table 2'!B27</f>
        <v>6640.9089999999997</v>
      </c>
      <c r="BK28" s="366">
        <f>'Table 2'!C27</f>
        <v>413.83245565407117</v>
      </c>
      <c r="BL28" s="110">
        <f t="shared" si="0"/>
        <v>-2.3914888476831431E-3</v>
      </c>
      <c r="BN28" s="13"/>
      <c r="BO28" s="156"/>
      <c r="BP28" s="157"/>
      <c r="BQ28" s="161"/>
      <c r="BR28" s="13"/>
      <c r="BS28" s="13"/>
      <c r="BT28" s="13"/>
      <c r="BU28" s="13"/>
      <c r="BV28" s="13"/>
      <c r="BX28" s="39"/>
    </row>
    <row r="29" spans="1:76" ht="15" customHeight="1" x14ac:dyDescent="0.25">
      <c r="A29" s="160" t="str">
        <f>'Table 4'!A29</f>
        <v>Marion</v>
      </c>
      <c r="B29" s="322">
        <v>55834.2</v>
      </c>
      <c r="C29" s="314">
        <f>B29*2000/(242110+41+115-310)</f>
        <v>461.52358280017853</v>
      </c>
      <c r="D29" s="323">
        <v>62541.5</v>
      </c>
      <c r="E29" s="314">
        <f>D29*2000/(249110+41+112-310)</f>
        <v>502.43620281739925</v>
      </c>
      <c r="F29" s="323">
        <v>72009.2</v>
      </c>
      <c r="G29" s="314">
        <f>F29*2000/(254650+40+110-310)</f>
        <v>565.90985893355344</v>
      </c>
      <c r="H29" s="323">
        <v>81164</v>
      </c>
      <c r="I29" s="324">
        <f>H29*2000/(260600+44+112-310)</f>
        <v>623.26931494436462</v>
      </c>
      <c r="J29" s="323">
        <v>85730.9</v>
      </c>
      <c r="K29" s="324">
        <f>J29*2000/(266160+44+115-310)</f>
        <v>644.57142427511849</v>
      </c>
      <c r="L29" s="13">
        <v>89400.2</v>
      </c>
      <c r="M29" s="324">
        <f>L29*2000/(271830+44+115-310)</f>
        <v>658.1311032505273</v>
      </c>
      <c r="N29" s="13">
        <v>104053</v>
      </c>
      <c r="O29" s="324">
        <f>N29*2000/(276910+115+45-310)</f>
        <v>751.93669605434309</v>
      </c>
      <c r="P29" s="13">
        <v>109639</v>
      </c>
      <c r="Q29" s="314">
        <f>P29*2000/(281850+45+135-310)</f>
        <v>778.35439443419</v>
      </c>
      <c r="R29" s="323">
        <v>134032</v>
      </c>
      <c r="S29" s="96">
        <v>937</v>
      </c>
      <c r="T29" s="323">
        <v>191817</v>
      </c>
      <c r="U29" s="96">
        <v>1331</v>
      </c>
      <c r="V29" s="13">
        <v>205041.3</v>
      </c>
      <c r="W29" s="13">
        <v>1410.0180514724843</v>
      </c>
      <c r="X29" s="323">
        <v>187275.45600000003</v>
      </c>
      <c r="Y29" s="13">
        <v>1266.5728121195727</v>
      </c>
      <c r="Z29" s="323">
        <v>203346.23399999991</v>
      </c>
      <c r="AA29" s="96">
        <v>1363.5044355785021</v>
      </c>
      <c r="AB29" s="323">
        <v>238913.78200000001</v>
      </c>
      <c r="AC29" s="96">
        <v>1582.4724755754264</v>
      </c>
      <c r="AD29" s="13">
        <v>264168.23700000002</v>
      </c>
      <c r="AE29" s="96">
        <v>1723.9418996965446</v>
      </c>
      <c r="AF29" s="13">
        <v>251672.535</v>
      </c>
      <c r="AG29" s="96">
        <v>1619.1392920558944</v>
      </c>
      <c r="AH29" s="325">
        <v>239440.992</v>
      </c>
      <c r="AI29" s="326">
        <v>1521.8472204192183</v>
      </c>
      <c r="AJ29" s="325">
        <v>218787.31400000001</v>
      </c>
      <c r="AK29" s="326">
        <v>1376.1290290117147</v>
      </c>
      <c r="AL29" s="323">
        <v>206397.80900000001</v>
      </c>
      <c r="AM29" s="96">
        <v>1307.6601504712125</v>
      </c>
      <c r="AN29" s="13">
        <v>235583.739</v>
      </c>
      <c r="AO29" s="13">
        <v>1482.017589164672</v>
      </c>
      <c r="AP29" s="323">
        <v>228708.20499999999</v>
      </c>
      <c r="AQ29" s="13">
        <v>1428.2301385089986</v>
      </c>
      <c r="AR29" s="323">
        <v>232540.34700000001</v>
      </c>
      <c r="AS29" s="13">
        <v>1441.4223719526181</v>
      </c>
      <c r="AT29" s="323">
        <v>238421.58</v>
      </c>
      <c r="AU29" s="13">
        <v>1463.0277146249643</v>
      </c>
      <c r="AV29" s="323">
        <v>240543.89199999999</v>
      </c>
      <c r="AW29" s="13">
        <v>1459.7172852392164</v>
      </c>
      <c r="AX29" s="323">
        <v>237131.758</v>
      </c>
      <c r="AY29" s="13">
        <v>1420.9972494711674</v>
      </c>
      <c r="AZ29" s="323">
        <v>248034.99400000001</v>
      </c>
      <c r="BA29" s="13">
        <v>1463.3332979351032</v>
      </c>
      <c r="BB29" s="323">
        <v>262575.85200000001</v>
      </c>
      <c r="BC29" s="13">
        <v>1527.3274952957361</v>
      </c>
      <c r="BD29" s="323">
        <v>242932.405</v>
      </c>
      <c r="BE29" s="13">
        <v>1397.9307457705145</v>
      </c>
      <c r="BF29" s="323">
        <v>270385.61599999998</v>
      </c>
      <c r="BG29" s="13">
        <v>1549.8430356528718</v>
      </c>
      <c r="BH29" s="323">
        <v>290246.91100000002</v>
      </c>
      <c r="BI29" s="13">
        <v>1673.2159293004702</v>
      </c>
      <c r="BJ29" s="327">
        <f>'Table 2'!B28</f>
        <v>291952.25199999998</v>
      </c>
      <c r="BK29" s="366">
        <f>'Table 2'!C28</f>
        <v>1676.1913788495033</v>
      </c>
      <c r="BL29" s="110">
        <f t="shared" si="0"/>
        <v>1.7782818684239921E-3</v>
      </c>
      <c r="BN29" s="13"/>
      <c r="BO29" s="163"/>
      <c r="BP29" s="157"/>
      <c r="BQ29" s="161"/>
      <c r="BR29" s="13"/>
      <c r="BS29" s="13"/>
      <c r="BT29" s="13"/>
      <c r="BU29" s="13"/>
      <c r="BV29" s="13"/>
      <c r="BX29" s="39"/>
    </row>
    <row r="30" spans="1:76" ht="15" customHeight="1" x14ac:dyDescent="0.25">
      <c r="A30" s="160" t="str">
        <f>'Table 4'!A30</f>
        <v>Metro</v>
      </c>
      <c r="B30" s="322">
        <v>514746.5</v>
      </c>
      <c r="C30" s="314">
        <f>B30*2000/(296470+606580+344560)</f>
        <v>825.17212911085994</v>
      </c>
      <c r="D30" s="323">
        <v>575819</v>
      </c>
      <c r="E30" s="314">
        <f>D30*2000/(303160+616300+358360)</f>
        <v>901.25213253822915</v>
      </c>
      <c r="F30" s="323">
        <v>635869.30000000005</v>
      </c>
      <c r="G30" s="314">
        <f>F30*2000/(309050+622130+371280)</f>
        <v>976.41278810865595</v>
      </c>
      <c r="H30" s="323">
        <v>735231</v>
      </c>
      <c r="I30" s="324">
        <f>H30*2000/(314710+628970+385410)</f>
        <v>1106.367514615263</v>
      </c>
      <c r="J30" s="323">
        <v>752469.7</v>
      </c>
      <c r="K30" s="324">
        <f>J30*2000/(322160+638780+399590)</f>
        <v>1106.1420181840899</v>
      </c>
      <c r="L30" s="13">
        <v>835593.2</v>
      </c>
      <c r="M30" s="324">
        <f>L30*2000/(328680+646260+412650)</f>
        <v>1204.3805446853899</v>
      </c>
      <c r="N30" s="13">
        <v>912018</v>
      </c>
      <c r="O30" s="324">
        <f>N30*2000/(332830+651520+425580)</f>
        <v>1293.7067797692084</v>
      </c>
      <c r="P30" s="13">
        <v>932889</v>
      </c>
      <c r="Q30" s="314">
        <f>P30*2000/(336050+656810+437790)</f>
        <v>1304.1470660189425</v>
      </c>
      <c r="R30" s="323">
        <v>970850</v>
      </c>
      <c r="S30" s="96">
        <v>1338</v>
      </c>
      <c r="T30" s="323">
        <v>1097409</v>
      </c>
      <c r="U30" s="96">
        <v>1496</v>
      </c>
      <c r="V30" s="13">
        <v>1053618</v>
      </c>
      <c r="W30" s="13">
        <v>1419.8160563285383</v>
      </c>
      <c r="X30" s="323">
        <v>1188457.3589999999</v>
      </c>
      <c r="Y30" s="13">
        <v>1580.3010293237589</v>
      </c>
      <c r="Z30" s="323">
        <v>1283273.1089999999</v>
      </c>
      <c r="AA30" s="96">
        <v>1685.8553717813977</v>
      </c>
      <c r="AB30" s="323">
        <v>1402299.4129999999</v>
      </c>
      <c r="AC30" s="96">
        <v>1816.5559041653983</v>
      </c>
      <c r="AD30" s="13">
        <v>1337847.5490000001</v>
      </c>
      <c r="AE30" s="96">
        <v>1705.1658507363766</v>
      </c>
      <c r="AF30" s="13">
        <v>1325112.2620000001</v>
      </c>
      <c r="AG30" s="96">
        <v>1663.282554585564</v>
      </c>
      <c r="AH30" s="325">
        <v>1234180.041</v>
      </c>
      <c r="AI30" s="326">
        <v>1528.9000207491788</v>
      </c>
      <c r="AJ30" s="325">
        <v>1106279.4310000001</v>
      </c>
      <c r="AK30" s="326">
        <v>1356.012945059188</v>
      </c>
      <c r="AL30" s="323">
        <v>1110443.4099999999</v>
      </c>
      <c r="AM30" s="96">
        <v>1350.3828022631162</v>
      </c>
      <c r="AN30" s="13">
        <v>1122541.7150000001</v>
      </c>
      <c r="AO30" s="13">
        <v>1355.0925321784794</v>
      </c>
      <c r="AP30" s="323">
        <v>1222023.6939999999</v>
      </c>
      <c r="AQ30" s="13">
        <v>1460.9032965325141</v>
      </c>
      <c r="AR30" s="323">
        <v>1278986.5360000001</v>
      </c>
      <c r="AS30" s="13">
        <v>1510.3761643835617</v>
      </c>
      <c r="AT30" s="323">
        <v>1182294.352</v>
      </c>
      <c r="AU30" s="13">
        <v>1376.5495885642099</v>
      </c>
      <c r="AV30" s="323">
        <v>1285247.861</v>
      </c>
      <c r="AW30" s="13">
        <v>1472.738520154579</v>
      </c>
      <c r="AX30" s="323">
        <v>1116643.5819999999</v>
      </c>
      <c r="AY30" s="13">
        <v>1255.1881073151815</v>
      </c>
      <c r="AZ30" s="323">
        <v>1116851.0419999999</v>
      </c>
      <c r="BA30" s="13">
        <v>1232.8226706257658</v>
      </c>
      <c r="BB30" s="323">
        <v>1108975.07</v>
      </c>
      <c r="BC30" s="13">
        <v>1206.0598747692366</v>
      </c>
      <c r="BD30" s="323">
        <v>1134078.0179999999</v>
      </c>
      <c r="BE30" s="13">
        <v>1220.3835420971075</v>
      </c>
      <c r="BF30" s="323">
        <v>1179512.054</v>
      </c>
      <c r="BG30" s="13">
        <v>1257.3716499969353</v>
      </c>
      <c r="BH30" s="323">
        <v>1136080.199</v>
      </c>
      <c r="BI30" s="13">
        <v>1227.5153633880491</v>
      </c>
      <c r="BJ30" s="327">
        <f>'Table 2'!B29</f>
        <v>1139009.9939999999</v>
      </c>
      <c r="BK30" s="366">
        <f>'Table 2'!C29</f>
        <v>1231.4410401422967</v>
      </c>
      <c r="BL30" s="110">
        <f t="shared" si="0"/>
        <v>3.198067308430641E-3</v>
      </c>
      <c r="BN30" s="13"/>
      <c r="BO30" s="156"/>
      <c r="BP30" s="157"/>
      <c r="BQ30" s="161"/>
      <c r="BR30" s="13"/>
      <c r="BS30" s="13"/>
      <c r="BT30" s="13"/>
      <c r="BU30" s="13"/>
      <c r="BV30" s="13"/>
      <c r="BX30" s="39"/>
    </row>
    <row r="31" spans="1:76" ht="15" customHeight="1" x14ac:dyDescent="0.25">
      <c r="A31" s="162" t="str">
        <f>'Table 4'!A31</f>
        <v>Milton Freewater</v>
      </c>
      <c r="B31" s="328">
        <v>907.9</v>
      </c>
      <c r="C31" s="329">
        <f>B31*2000/5630</f>
        <v>322.52220248667851</v>
      </c>
      <c r="D31" s="330">
        <v>755.2</v>
      </c>
      <c r="E31" s="329">
        <f>D31*2000/5765</f>
        <v>261.99479618386817</v>
      </c>
      <c r="F31" s="330">
        <v>744</v>
      </c>
      <c r="G31" s="329">
        <f>F31*2000/5865</f>
        <v>253.70843989769821</v>
      </c>
      <c r="H31" s="330">
        <v>1375</v>
      </c>
      <c r="I31" s="331">
        <f>H31*2000/5985</f>
        <v>459.48203842940683</v>
      </c>
      <c r="J31" s="330">
        <v>1186</v>
      </c>
      <c r="K31" s="331">
        <f>J31*2000/6055</f>
        <v>391.7423616845582</v>
      </c>
      <c r="L31" s="330">
        <v>1273.2</v>
      </c>
      <c r="M31" s="331">
        <f>L31*2000/6200</f>
        <v>410.70967741935482</v>
      </c>
      <c r="N31" s="332">
        <v>1310</v>
      </c>
      <c r="O31" s="331">
        <v>403.07692307692309</v>
      </c>
      <c r="P31" s="330">
        <v>1190.9000000000001</v>
      </c>
      <c r="Q31" s="329">
        <f>N31*2000/6720</f>
        <v>389.88095238095241</v>
      </c>
      <c r="R31" s="330">
        <v>1317</v>
      </c>
      <c r="S31" s="333">
        <v>406</v>
      </c>
      <c r="T31" s="330">
        <v>1344</v>
      </c>
      <c r="U31" s="333">
        <v>410</v>
      </c>
      <c r="V31" s="332">
        <v>1641.1</v>
      </c>
      <c r="W31" s="332">
        <v>508.86821705426354</v>
      </c>
      <c r="X31" s="330">
        <v>1771.4789999999998</v>
      </c>
      <c r="Y31" s="332">
        <v>545.07046153846147</v>
      </c>
      <c r="Z31" s="330">
        <v>1878.645</v>
      </c>
      <c r="AA31" s="333">
        <v>578.04461538461544</v>
      </c>
      <c r="AB31" s="330">
        <v>2167.1680000000001</v>
      </c>
      <c r="AC31" s="333">
        <v>662.74250764525993</v>
      </c>
      <c r="AD31" s="332">
        <v>2611.5030000000002</v>
      </c>
      <c r="AE31" s="333">
        <v>793.16719817767648</v>
      </c>
      <c r="AF31" s="332">
        <v>2350.6759999999999</v>
      </c>
      <c r="AG31" s="333">
        <v>717.76366412213736</v>
      </c>
      <c r="AH31" s="338">
        <v>3598.4250000000002</v>
      </c>
      <c r="AI31" s="339">
        <v>994.34022590832853</v>
      </c>
      <c r="AJ31" s="338">
        <v>2319.4560000000001</v>
      </c>
      <c r="AK31" s="339">
        <v>640.46831423443325</v>
      </c>
      <c r="AL31" s="330">
        <v>2345.5889999999999</v>
      </c>
      <c r="AM31" s="333">
        <v>617.26026315789477</v>
      </c>
      <c r="AN31" s="332">
        <v>2566.5320000000002</v>
      </c>
      <c r="AO31" s="332">
        <v>670.28780360407416</v>
      </c>
      <c r="AP31" s="330">
        <v>1614.6410000000001</v>
      </c>
      <c r="AQ31" s="332">
        <v>418.73469917012449</v>
      </c>
      <c r="AR31" s="330">
        <v>3103.0990000000002</v>
      </c>
      <c r="AS31" s="332">
        <v>796.73894344951532</v>
      </c>
      <c r="AT31" s="330">
        <v>2674.0839999999998</v>
      </c>
      <c r="AU31" s="332">
        <v>682.68675006382432</v>
      </c>
      <c r="AV31" s="330">
        <v>2845.5</v>
      </c>
      <c r="AW31" s="332">
        <v>718.96911123744553</v>
      </c>
      <c r="AX31" s="330">
        <v>1884.4839999999999</v>
      </c>
      <c r="AY31" s="332">
        <v>471.82874311467202</v>
      </c>
      <c r="AZ31" s="330">
        <v>1374.5329999999999</v>
      </c>
      <c r="BA31" s="332">
        <v>341.49888198757765</v>
      </c>
      <c r="BB31" s="330">
        <v>1147.328</v>
      </c>
      <c r="BC31" s="332">
        <v>284.11514888875132</v>
      </c>
      <c r="BD31" s="330">
        <v>813.16600000000005</v>
      </c>
      <c r="BE31" s="332">
        <v>200.38590438639724</v>
      </c>
      <c r="BF31" s="330">
        <v>1523.2190000000001</v>
      </c>
      <c r="BG31" s="332">
        <v>373.81900730106139</v>
      </c>
      <c r="BH31" s="330">
        <v>2241.6289999999999</v>
      </c>
      <c r="BI31" s="332">
        <v>556.76738323211998</v>
      </c>
      <c r="BJ31" s="340">
        <f>'Table 2'!B30</f>
        <v>1276.4269999999999</v>
      </c>
      <c r="BK31" s="370">
        <f>'Table 2'!C30</f>
        <v>317.51520503476326</v>
      </c>
      <c r="BL31" s="122">
        <f t="shared" si="0"/>
        <v>-0.42971658434526316</v>
      </c>
      <c r="BN31" s="13"/>
      <c r="BO31" s="156"/>
      <c r="BP31" s="157"/>
      <c r="BQ31" s="161"/>
      <c r="BR31" s="13"/>
      <c r="BS31" s="13"/>
      <c r="BT31" s="13"/>
      <c r="BU31" s="13"/>
      <c r="BV31" s="13"/>
      <c r="BX31" s="39"/>
    </row>
    <row r="32" spans="1:76" ht="15" customHeight="1" x14ac:dyDescent="0.25">
      <c r="A32" s="160" t="str">
        <f>'Table 4'!A32</f>
        <v>Morrow</v>
      </c>
      <c r="B32" s="322">
        <v>930.4</v>
      </c>
      <c r="C32" s="314">
        <f>B32*2000/8190</f>
        <v>227.20390720390719</v>
      </c>
      <c r="D32" s="323">
        <v>973.3</v>
      </c>
      <c r="E32" s="314">
        <f>D32*2000/8610</f>
        <v>226.08594657375144</v>
      </c>
      <c r="F32" s="323">
        <v>822</v>
      </c>
      <c r="G32" s="314">
        <f>F32*2000/8760</f>
        <v>187.67123287671234</v>
      </c>
      <c r="H32" s="323">
        <v>918</v>
      </c>
      <c r="I32" s="324">
        <f>H32*2000/9050</f>
        <v>202.87292817679557</v>
      </c>
      <c r="J32" s="323">
        <v>842</v>
      </c>
      <c r="K32" s="324">
        <f>J32*2000/9310</f>
        <v>180.88077336197637</v>
      </c>
      <c r="L32" s="13">
        <v>1252.7</v>
      </c>
      <c r="M32" s="324">
        <f>L32*2000/9710</f>
        <v>258.02265705458291</v>
      </c>
      <c r="N32" s="13">
        <v>1227</v>
      </c>
      <c r="O32" s="324">
        <f>N32*2000/10130</f>
        <v>242.2507403751234</v>
      </c>
      <c r="P32" s="13">
        <v>1445.9</v>
      </c>
      <c r="Q32" s="314">
        <f>P32*2000/10730</f>
        <v>269.50605778191988</v>
      </c>
      <c r="R32" s="334">
        <v>1428</v>
      </c>
      <c r="S32" s="335">
        <v>257</v>
      </c>
      <c r="T32" s="334">
        <v>1364</v>
      </c>
      <c r="U32" s="335">
        <v>245</v>
      </c>
      <c r="V32" s="336">
        <v>1608.2</v>
      </c>
      <c r="W32" s="336">
        <v>285.90222222222224</v>
      </c>
      <c r="X32" s="334">
        <v>1940.752</v>
      </c>
      <c r="Y32" s="336">
        <v>330.34076595744682</v>
      </c>
      <c r="Z32" s="334">
        <v>2244.6329999999998</v>
      </c>
      <c r="AA32" s="335">
        <v>382.06519148936172</v>
      </c>
      <c r="AB32" s="334">
        <v>1477.028</v>
      </c>
      <c r="AC32" s="335">
        <v>247.30481372959397</v>
      </c>
      <c r="AD32" s="336">
        <v>2874.2959999999998</v>
      </c>
      <c r="AE32" s="335">
        <v>474.11068041237115</v>
      </c>
      <c r="AF32" s="336">
        <v>3967.16</v>
      </c>
      <c r="AG32" s="335">
        <v>643.23631941629515</v>
      </c>
      <c r="AH32" s="337">
        <v>3868.3820000000001</v>
      </c>
      <c r="AI32" s="367">
        <v>619.73046539098414</v>
      </c>
      <c r="AJ32" s="337">
        <v>3548.1419999999998</v>
      </c>
      <c r="AK32" s="367">
        <v>565.89186602870814</v>
      </c>
      <c r="AL32" s="334">
        <v>3020.1819999999998</v>
      </c>
      <c r="AM32" s="335">
        <v>540.52474272930647</v>
      </c>
      <c r="AN32" s="336">
        <v>3268.6329999999998</v>
      </c>
      <c r="AO32" s="336">
        <v>580.0590949423248</v>
      </c>
      <c r="AP32" s="334">
        <v>3680.0189999999998</v>
      </c>
      <c r="AQ32" s="336">
        <v>651.330796460177</v>
      </c>
      <c r="AR32" s="334">
        <v>2944.3919999999998</v>
      </c>
      <c r="AS32" s="336">
        <v>515.42967177242883</v>
      </c>
      <c r="AT32" s="334">
        <v>4047.444</v>
      </c>
      <c r="AU32" s="13">
        <v>702.37639913232101</v>
      </c>
      <c r="AV32" s="334">
        <v>4465.665</v>
      </c>
      <c r="AW32" s="336">
        <v>767.95614789337924</v>
      </c>
      <c r="AX32" s="334">
        <v>5634.9790000000003</v>
      </c>
      <c r="AY32" s="336">
        <v>959.55368241805024</v>
      </c>
      <c r="AZ32" s="334">
        <v>5988.9979999999996</v>
      </c>
      <c r="BA32" s="336">
        <v>1007.4008410428931</v>
      </c>
      <c r="BB32" s="334">
        <v>5383.5360000000001</v>
      </c>
      <c r="BC32" s="336">
        <v>905.93790492217079</v>
      </c>
      <c r="BD32" s="334">
        <v>5151.2560000000003</v>
      </c>
      <c r="BE32" s="336">
        <v>812.5009463722397</v>
      </c>
      <c r="BF32" s="334">
        <v>5846.6170000000002</v>
      </c>
      <c r="BG32" s="336">
        <v>911.75313840155945</v>
      </c>
      <c r="BH32" s="334">
        <v>5584.14</v>
      </c>
      <c r="BI32" s="336">
        <v>883.91610605461017</v>
      </c>
      <c r="BJ32" s="368">
        <f>'Table 2'!B31</f>
        <v>4921.6959999999999</v>
      </c>
      <c r="BK32" s="369">
        <f>'Table 2'!C31</f>
        <v>799.28123666180352</v>
      </c>
      <c r="BL32" s="110">
        <f t="shared" si="0"/>
        <v>-9.5749889399093902E-2</v>
      </c>
      <c r="BN32" s="13"/>
      <c r="BO32" s="156"/>
      <c r="BP32" s="157"/>
      <c r="BQ32" s="161"/>
      <c r="BR32" s="13"/>
      <c r="BS32" s="13"/>
      <c r="BT32" s="13"/>
      <c r="BU32" s="13"/>
      <c r="BV32" s="13"/>
      <c r="BX32" s="39"/>
    </row>
    <row r="33" spans="1:76" ht="15" customHeight="1" x14ac:dyDescent="0.25">
      <c r="A33" s="160" t="str">
        <f>'Table 4'!A33</f>
        <v>Polk</v>
      </c>
      <c r="B33" s="322">
        <v>4872.6000000000004</v>
      </c>
      <c r="C33" s="314">
        <f>B33*2000/(52760-554)</f>
        <v>186.66819905757959</v>
      </c>
      <c r="D33" s="323">
        <v>8218.2000000000007</v>
      </c>
      <c r="E33" s="314">
        <f>D33*2000/(53860-554)</f>
        <v>308.34052451881593</v>
      </c>
      <c r="F33" s="323">
        <v>7604.4</v>
      </c>
      <c r="G33" s="314">
        <f>F33*2000/(55690-555)</f>
        <v>275.84655844744719</v>
      </c>
      <c r="H33" s="323">
        <v>7751</v>
      </c>
      <c r="I33" s="324">
        <f>H33*2000/(56660-556)</f>
        <v>276.30828461428774</v>
      </c>
      <c r="J33" s="323">
        <v>6787</v>
      </c>
      <c r="K33" s="324">
        <f>J33*2000/(57850-556)</f>
        <v>236.9183509617063</v>
      </c>
      <c r="L33" s="13">
        <v>9373.2000000000007</v>
      </c>
      <c r="M33" s="324">
        <f>L33*2000/(59370-558)</f>
        <v>318.751275249949</v>
      </c>
      <c r="N33" s="13">
        <v>13195</v>
      </c>
      <c r="O33" s="324">
        <f>N33*2000/(60810-560)</f>
        <v>438.00829875518673</v>
      </c>
      <c r="P33" s="13">
        <v>15429.3</v>
      </c>
      <c r="Q33" s="314">
        <f>N33*2000/(61720-580)</f>
        <v>431.63231926725547</v>
      </c>
      <c r="R33" s="323">
        <v>18000</v>
      </c>
      <c r="S33" s="96">
        <v>581</v>
      </c>
      <c r="T33" s="323">
        <v>22550</v>
      </c>
      <c r="U33" s="96">
        <v>717</v>
      </c>
      <c r="V33" s="13">
        <v>23784.6</v>
      </c>
      <c r="W33" s="13">
        <v>758.19572840293279</v>
      </c>
      <c r="X33" s="323">
        <v>28008.965</v>
      </c>
      <c r="Y33" s="13">
        <v>885.09922578606415</v>
      </c>
      <c r="Z33" s="323">
        <v>32517.084999999995</v>
      </c>
      <c r="AA33" s="96">
        <v>1012.3625466998753</v>
      </c>
      <c r="AB33" s="323">
        <v>40116.216</v>
      </c>
      <c r="AC33" s="96">
        <v>1235.1051724137931</v>
      </c>
      <c r="AD33" s="13">
        <v>38074.002</v>
      </c>
      <c r="AE33" s="96">
        <v>1154.6498658053952</v>
      </c>
      <c r="AF33" s="13">
        <v>33838.233</v>
      </c>
      <c r="AG33" s="96">
        <v>1013.3482967732275</v>
      </c>
      <c r="AH33" s="325">
        <v>34827.885000000002</v>
      </c>
      <c r="AI33" s="326">
        <v>1031.7080648744723</v>
      </c>
      <c r="AJ33" s="325">
        <v>32200.666000000001</v>
      </c>
      <c r="AK33" s="326">
        <v>946.17398075369135</v>
      </c>
      <c r="AL33" s="323">
        <v>33133.565999999999</v>
      </c>
      <c r="AM33" s="96">
        <v>887.70438044206298</v>
      </c>
      <c r="AN33" s="13">
        <v>34439.135999999999</v>
      </c>
      <c r="AO33" s="13">
        <v>916.90990415335466</v>
      </c>
      <c r="AP33" s="323">
        <v>30504.565999999999</v>
      </c>
      <c r="AQ33" s="13">
        <v>805.08223805753494</v>
      </c>
      <c r="AR33" s="323">
        <v>29952.576000000001</v>
      </c>
      <c r="AS33" s="13">
        <v>785.97118790836805</v>
      </c>
      <c r="AT33" s="323">
        <v>34579.885000000002</v>
      </c>
      <c r="AU33" s="13">
        <v>899.49887497236205</v>
      </c>
      <c r="AV33" s="323">
        <v>35113.976999999999</v>
      </c>
      <c r="AW33" s="13">
        <v>903.57883224826946</v>
      </c>
      <c r="AX33" s="323">
        <v>39521.921000000002</v>
      </c>
      <c r="AY33" s="13">
        <v>1002.3185351441143</v>
      </c>
      <c r="AZ33" s="323">
        <v>45871.851999999999</v>
      </c>
      <c r="BA33" s="13">
        <v>1144.9357793585423</v>
      </c>
      <c r="BB33" s="323">
        <v>35979.498</v>
      </c>
      <c r="BC33" s="13">
        <v>886.03085636889739</v>
      </c>
      <c r="BD33" s="323">
        <v>46727.146999999997</v>
      </c>
      <c r="BE33" s="13">
        <v>1138.9920048750762</v>
      </c>
      <c r="BF33" s="323">
        <v>44773.896999999997</v>
      </c>
      <c r="BG33" s="13">
        <v>1080.0602339886625</v>
      </c>
      <c r="BH33" s="323">
        <v>36338.767</v>
      </c>
      <c r="BI33" s="13">
        <v>825.95615510500954</v>
      </c>
      <c r="BJ33" s="327">
        <f>'Table 2'!B32</f>
        <v>34934.953999999998</v>
      </c>
      <c r="BK33" s="366">
        <f>'Table 2'!C32</f>
        <v>779.17502181171858</v>
      </c>
      <c r="BL33" s="110">
        <f t="shared" si="0"/>
        <v>-5.6638761033681484E-2</v>
      </c>
      <c r="BN33" s="13"/>
      <c r="BO33" s="156"/>
      <c r="BP33" s="157"/>
      <c r="BQ33" s="161"/>
      <c r="BR33" s="13"/>
      <c r="BS33" s="13"/>
      <c r="BT33" s="13"/>
      <c r="BU33" s="13"/>
      <c r="BV33" s="13"/>
      <c r="BX33" s="39"/>
    </row>
    <row r="34" spans="1:76" ht="15" customHeight="1" x14ac:dyDescent="0.25">
      <c r="A34" s="160" t="str">
        <f>'Table 4'!A34</f>
        <v>Sherman</v>
      </c>
      <c r="B34" s="322">
        <v>269.8</v>
      </c>
      <c r="C34" s="314">
        <f>B34*2000/1940</f>
        <v>278.14432989690721</v>
      </c>
      <c r="D34" s="323">
        <v>168.6</v>
      </c>
      <c r="E34" s="314">
        <f>D34*2000/1970</f>
        <v>171.16751269035532</v>
      </c>
      <c r="F34" s="323">
        <v>202</v>
      </c>
      <c r="G34" s="314">
        <f>F34*2000/1950</f>
        <v>207.17948717948718</v>
      </c>
      <c r="H34" s="323">
        <v>227</v>
      </c>
      <c r="I34" s="324">
        <f>H34*2000/1980</f>
        <v>229.2929292929293</v>
      </c>
      <c r="J34" s="323">
        <v>264.39999999999998</v>
      </c>
      <c r="K34" s="324">
        <f>J34*2000/1920</f>
        <v>275.41666666666669</v>
      </c>
      <c r="L34" s="13">
        <v>166.2</v>
      </c>
      <c r="M34" s="324">
        <f>L34*2000/1920</f>
        <v>173.125</v>
      </c>
      <c r="N34" s="13">
        <v>210</v>
      </c>
      <c r="O34" s="324">
        <f>N34*2000/1920</f>
        <v>218.75</v>
      </c>
      <c r="P34" s="13">
        <v>347.6</v>
      </c>
      <c r="Q34" s="314">
        <f>P34*2000/1930</f>
        <v>360.20725388601034</v>
      </c>
      <c r="R34" s="323">
        <v>217</v>
      </c>
      <c r="S34" s="96">
        <v>223</v>
      </c>
      <c r="T34" s="323">
        <v>234</v>
      </c>
      <c r="U34" s="96">
        <v>246</v>
      </c>
      <c r="V34" s="13">
        <v>243.1</v>
      </c>
      <c r="W34" s="13">
        <v>262.81081081081084</v>
      </c>
      <c r="X34" s="323">
        <v>238.85</v>
      </c>
      <c r="Y34" s="13">
        <v>251.42105263157896</v>
      </c>
      <c r="Z34" s="323">
        <v>432.33799999999997</v>
      </c>
      <c r="AA34" s="96">
        <v>455.09263157894731</v>
      </c>
      <c r="AB34" s="323">
        <v>182.03700000000001</v>
      </c>
      <c r="AC34" s="96">
        <v>193.6563829787234</v>
      </c>
      <c r="AD34" s="13">
        <v>232.31</v>
      </c>
      <c r="AE34" s="96">
        <v>249.12600536193028</v>
      </c>
      <c r="AF34" s="13">
        <v>238.93199999999999</v>
      </c>
      <c r="AG34" s="96">
        <v>257.60862533692722</v>
      </c>
      <c r="AH34" s="325">
        <v>256.03800000000001</v>
      </c>
      <c r="AI34" s="326">
        <v>277.84915897992403</v>
      </c>
      <c r="AJ34" s="325">
        <v>203.57300000000001</v>
      </c>
      <c r="AK34" s="326">
        <v>222.48415300546449</v>
      </c>
      <c r="AL34" s="323">
        <v>153.98699999999999</v>
      </c>
      <c r="AM34" s="96">
        <v>174.48951841359772</v>
      </c>
      <c r="AN34" s="13">
        <v>194.46299999999999</v>
      </c>
      <c r="AO34" s="13">
        <v>220.35467422096318</v>
      </c>
      <c r="AP34" s="323">
        <v>319.03699999999998</v>
      </c>
      <c r="AQ34" s="13">
        <v>361.51501416430597</v>
      </c>
      <c r="AR34" s="323">
        <v>180.54300000000001</v>
      </c>
      <c r="AS34" s="13">
        <v>202.85730337078652</v>
      </c>
      <c r="AT34" s="323">
        <v>219.34100000000001</v>
      </c>
      <c r="AU34" s="13">
        <v>245.76022408963584</v>
      </c>
      <c r="AV34" s="323">
        <v>251.381</v>
      </c>
      <c r="AW34" s="13">
        <v>280.87262569832404</v>
      </c>
      <c r="AX34" s="323">
        <v>163.566</v>
      </c>
      <c r="AY34" s="13">
        <v>182.24623955431755</v>
      </c>
      <c r="AZ34" s="323">
        <v>151.02099999999999</v>
      </c>
      <c r="BA34" s="13">
        <v>167.80111111111111</v>
      </c>
      <c r="BB34" s="323">
        <v>193.06899999999999</v>
      </c>
      <c r="BC34" s="13">
        <v>216.32380952380953</v>
      </c>
      <c r="BD34" s="323">
        <v>89.606999999999999</v>
      </c>
      <c r="BE34" s="13">
        <v>101.25084745762712</v>
      </c>
      <c r="BF34" s="323">
        <v>141.732</v>
      </c>
      <c r="BG34" s="13">
        <v>157.91866295264623</v>
      </c>
      <c r="BH34" s="323">
        <v>446.96499999999997</v>
      </c>
      <c r="BI34" s="13">
        <v>468.5167714884696</v>
      </c>
      <c r="BJ34" s="327">
        <f>'Table 2'!B33</f>
        <v>395.964</v>
      </c>
      <c r="BK34" s="366">
        <f>'Table 2'!C33</f>
        <v>408.57256669971912</v>
      </c>
      <c r="BL34" s="110">
        <f t="shared" si="0"/>
        <v>-0.12794462959844277</v>
      </c>
      <c r="BN34" s="13"/>
      <c r="BO34" s="156"/>
      <c r="BP34" s="157"/>
      <c r="BQ34" s="161"/>
      <c r="BR34" s="13"/>
      <c r="BS34" s="13"/>
      <c r="BT34" s="13"/>
      <c r="BU34" s="13"/>
      <c r="BV34" s="13"/>
      <c r="BX34" s="39"/>
    </row>
    <row r="35" spans="1:76" ht="15" customHeight="1" x14ac:dyDescent="0.25">
      <c r="A35" s="160" t="str">
        <f>'Table 4'!A35</f>
        <v>Tillamook</v>
      </c>
      <c r="B35" s="322">
        <v>4518.3</v>
      </c>
      <c r="C35" s="314">
        <f>B35*2000/22250</f>
        <v>406.13932584269662</v>
      </c>
      <c r="D35" s="323">
        <v>4347.8999999999996</v>
      </c>
      <c r="E35" s="314">
        <f>D35*2000/22750</f>
        <v>382.23296703296705</v>
      </c>
      <c r="F35" s="323">
        <v>5157.3999999999996</v>
      </c>
      <c r="G35" s="314">
        <f>F35*2000/23100</f>
        <v>446.52813852813853</v>
      </c>
      <c r="H35" s="323">
        <v>4820</v>
      </c>
      <c r="I35" s="324">
        <f>H35*2000/23550</f>
        <v>409.34182590233547</v>
      </c>
      <c r="J35" s="323">
        <v>5245.6</v>
      </c>
      <c r="K35" s="324">
        <f>J35*2000/23940</f>
        <v>438.22890559732667</v>
      </c>
      <c r="L35" s="13">
        <v>5059.5</v>
      </c>
      <c r="M35" s="324">
        <f>L35*2000/24170</f>
        <v>418.65949524203558</v>
      </c>
      <c r="N35" s="13">
        <v>5372</v>
      </c>
      <c r="O35" s="324">
        <f>N35*2000/24110</f>
        <v>445.62422231439234</v>
      </c>
      <c r="P35" s="13">
        <v>6930</v>
      </c>
      <c r="Q35" s="314">
        <f>P35*2000/24220</f>
        <v>572.25433526011557</v>
      </c>
      <c r="R35" s="323">
        <v>6174</v>
      </c>
      <c r="S35" s="96">
        <v>508</v>
      </c>
      <c r="T35" s="323">
        <v>7113</v>
      </c>
      <c r="U35" s="96">
        <v>578</v>
      </c>
      <c r="V35" s="13">
        <v>7052.1</v>
      </c>
      <c r="W35" s="13">
        <v>573.34146341463418</v>
      </c>
      <c r="X35" s="323">
        <v>7087.2810000000045</v>
      </c>
      <c r="Y35" s="13">
        <v>569.25951807228955</v>
      </c>
      <c r="Z35" s="323">
        <v>13202.404</v>
      </c>
      <c r="AA35" s="96">
        <v>1058.3089378757516</v>
      </c>
      <c r="AB35" s="323">
        <v>12550.563</v>
      </c>
      <c r="AC35" s="96">
        <v>995.87883356476891</v>
      </c>
      <c r="AD35" s="13">
        <v>12554.23</v>
      </c>
      <c r="AE35" s="96">
        <v>983.48844496670586</v>
      </c>
      <c r="AF35" s="13">
        <v>11434.513000000001</v>
      </c>
      <c r="AG35" s="96">
        <v>884.85300831882375</v>
      </c>
      <c r="AH35" s="325">
        <v>11993.54</v>
      </c>
      <c r="AI35" s="326">
        <v>920.5265177680559</v>
      </c>
      <c r="AJ35" s="325">
        <v>9270.6119999999992</v>
      </c>
      <c r="AK35" s="326">
        <v>709.57611940298511</v>
      </c>
      <c r="AL35" s="323">
        <v>10158.864</v>
      </c>
      <c r="AM35" s="96">
        <v>804.34394299287408</v>
      </c>
      <c r="AN35" s="13">
        <v>10407.107</v>
      </c>
      <c r="AO35" s="13">
        <v>824.16210651356164</v>
      </c>
      <c r="AP35" s="323">
        <v>10606.353999999999</v>
      </c>
      <c r="AQ35" s="13">
        <v>838.28128828294803</v>
      </c>
      <c r="AR35" s="323">
        <v>9697.9699999999993</v>
      </c>
      <c r="AS35" s="13">
        <v>764.37201970443346</v>
      </c>
      <c r="AT35" s="323">
        <v>9078.16</v>
      </c>
      <c r="AU35" s="13">
        <v>712.57142857142856</v>
      </c>
      <c r="AV35" s="323">
        <v>9423.6939999999995</v>
      </c>
      <c r="AW35" s="13">
        <v>733.64686648501367</v>
      </c>
      <c r="AX35" s="323">
        <v>9331.3410000000003</v>
      </c>
      <c r="AY35" s="13">
        <v>720.01087962962958</v>
      </c>
      <c r="AZ35" s="323">
        <v>10539.223</v>
      </c>
      <c r="BA35" s="13">
        <v>805.28924546322833</v>
      </c>
      <c r="BB35" s="323">
        <v>10890.31</v>
      </c>
      <c r="BC35" s="13">
        <v>825.17976889562419</v>
      </c>
      <c r="BD35" s="323">
        <v>10160.063</v>
      </c>
      <c r="BE35" s="13">
        <v>766.79720754716982</v>
      </c>
      <c r="BF35" s="323">
        <v>13157.647999999999</v>
      </c>
      <c r="BG35" s="13">
        <v>991.90712401055407</v>
      </c>
      <c r="BH35" s="323">
        <v>15868.304</v>
      </c>
      <c r="BI35" s="13">
        <v>1148.7117417113075</v>
      </c>
      <c r="BJ35" s="327">
        <f>'Table 2'!B34</f>
        <v>12237.826999999999</v>
      </c>
      <c r="BK35" s="366">
        <f>'Table 2'!C34</f>
        <v>878.27607739881068</v>
      </c>
      <c r="BL35" s="110">
        <f t="shared" si="0"/>
        <v>-0.23542517630194315</v>
      </c>
      <c r="BN35" s="13"/>
      <c r="BO35" s="156"/>
      <c r="BP35" s="157"/>
      <c r="BQ35" s="161"/>
      <c r="BR35" s="13"/>
      <c r="BS35" s="13"/>
      <c r="BT35" s="13"/>
      <c r="BU35" s="13"/>
      <c r="BV35" s="13"/>
      <c r="BX35" s="39"/>
    </row>
    <row r="36" spans="1:76" ht="15" customHeight="1" x14ac:dyDescent="0.25">
      <c r="A36" s="162" t="str">
        <f>'Table 4'!A36</f>
        <v>Umatilla</v>
      </c>
      <c r="B36" s="328">
        <v>6641.2</v>
      </c>
      <c r="C36" s="329">
        <f>B36*2000/(61830-5630)</f>
        <v>236.34163701067615</v>
      </c>
      <c r="D36" s="330">
        <v>7349.6</v>
      </c>
      <c r="E36" s="329">
        <f>D36*2000/(63200-5765)</f>
        <v>255.92757029685731</v>
      </c>
      <c r="F36" s="330">
        <v>8537.4</v>
      </c>
      <c r="G36" s="329">
        <f>F36*2000/(64360-5865)</f>
        <v>291.90187195486794</v>
      </c>
      <c r="H36" s="330">
        <v>11275</v>
      </c>
      <c r="I36" s="331">
        <f>H36*2000/(65510-5985)</f>
        <v>378.83242335153295</v>
      </c>
      <c r="J36" s="330">
        <v>12454.4</v>
      </c>
      <c r="K36" s="331">
        <f>J36*2000/(66190-6055)</f>
        <v>414.21468362850254</v>
      </c>
      <c r="L36" s="330">
        <v>16038.1</v>
      </c>
      <c r="M36" s="331">
        <f>L36*2000/(66690-6200)</f>
        <v>530.27277235906763</v>
      </c>
      <c r="N36" s="332">
        <v>16949</v>
      </c>
      <c r="O36" s="331">
        <f>N36*2000/(68250-(N31*2000/O31))</f>
        <v>548.9554655870445</v>
      </c>
      <c r="P36" s="330">
        <v>18947.400000000001</v>
      </c>
      <c r="Q36" s="331">
        <f>P36*2000/(69830-(P31*2000/Q31))</f>
        <v>594.69917813895916</v>
      </c>
      <c r="R36" s="330">
        <v>20115</v>
      </c>
      <c r="S36" s="333">
        <v>625</v>
      </c>
      <c r="T36" s="330">
        <v>23097</v>
      </c>
      <c r="U36" s="333">
        <v>718</v>
      </c>
      <c r="V36" s="332">
        <v>33427.5</v>
      </c>
      <c r="W36" s="332">
        <v>1035.7087529047251</v>
      </c>
      <c r="X36" s="330">
        <v>31496.11299999999</v>
      </c>
      <c r="Y36" s="332">
        <v>975.11185758513898</v>
      </c>
      <c r="Z36" s="330">
        <v>36466.587999999989</v>
      </c>
      <c r="AA36" s="333">
        <v>1109.2498250950566</v>
      </c>
      <c r="AB36" s="330">
        <v>33083.256000000001</v>
      </c>
      <c r="AC36" s="333">
        <v>1004.7302710500342</v>
      </c>
      <c r="AD36" s="332">
        <v>35495.192000000003</v>
      </c>
      <c r="AE36" s="333">
        <v>1082.088011584483</v>
      </c>
      <c r="AF36" s="332">
        <v>38401.781999999999</v>
      </c>
      <c r="AG36" s="333">
        <v>1169.0929903341198</v>
      </c>
      <c r="AH36" s="338">
        <v>40616.345999999998</v>
      </c>
      <c r="AI36" s="339">
        <v>1247.041465122807</v>
      </c>
      <c r="AJ36" s="338">
        <v>30306.190999999999</v>
      </c>
      <c r="AK36" s="339">
        <v>929.82315492352768</v>
      </c>
      <c r="AL36" s="330">
        <v>27460.827000000001</v>
      </c>
      <c r="AM36" s="333">
        <v>802.94815789473682</v>
      </c>
      <c r="AN36" s="332">
        <v>27610.116000000002</v>
      </c>
      <c r="AO36" s="332">
        <v>801.19892051884744</v>
      </c>
      <c r="AP36" s="330">
        <v>28990.165000000001</v>
      </c>
      <c r="AQ36" s="332">
        <v>835.35514638082066</v>
      </c>
      <c r="AR36" s="330">
        <v>26065.741000000002</v>
      </c>
      <c r="AS36" s="332">
        <v>743.61472352383191</v>
      </c>
      <c r="AT36" s="330">
        <v>26990.261999999999</v>
      </c>
      <c r="AU36" s="332">
        <v>765.61603267806993</v>
      </c>
      <c r="AV36" s="330">
        <v>29812.598000000002</v>
      </c>
      <c r="AW36" s="332">
        <v>836.9681988222826</v>
      </c>
      <c r="AX36" s="330">
        <v>24282.79</v>
      </c>
      <c r="AY36" s="332">
        <v>675.53524731541756</v>
      </c>
      <c r="AZ36" s="330">
        <v>28954.012999999999</v>
      </c>
      <c r="BA36" s="332">
        <v>799.28262249827469</v>
      </c>
      <c r="BB36" s="330">
        <v>33575.321000000004</v>
      </c>
      <c r="BC36" s="332">
        <v>923.8138357511848</v>
      </c>
      <c r="BD36" s="330">
        <v>43876.779000000002</v>
      </c>
      <c r="BE36" s="332">
        <v>1201.3794151470347</v>
      </c>
      <c r="BF36" s="330">
        <v>36703.923999999999</v>
      </c>
      <c r="BG36" s="332">
        <v>1000.8500589674895</v>
      </c>
      <c r="BH36" s="330">
        <v>41650.659</v>
      </c>
      <c r="BI36" s="332">
        <v>1149.4482321821095</v>
      </c>
      <c r="BJ36" s="340">
        <f>'Table 2'!B35</f>
        <v>24805.954000000002</v>
      </c>
      <c r="BK36" s="370">
        <f>'Table 2'!C35</f>
        <v>685.61761946023341</v>
      </c>
      <c r="BL36" s="122">
        <f t="shared" si="0"/>
        <v>-0.40352457791103935</v>
      </c>
      <c r="BN36" s="13"/>
      <c r="BO36" s="156"/>
      <c r="BP36" s="157"/>
      <c r="BQ36" s="161"/>
      <c r="BR36" s="13"/>
      <c r="BS36" s="13"/>
      <c r="BT36" s="13"/>
      <c r="BU36" s="13"/>
      <c r="BV36" s="13"/>
      <c r="BX36" s="39"/>
    </row>
    <row r="37" spans="1:76" ht="15" customHeight="1" x14ac:dyDescent="0.25">
      <c r="A37" s="160" t="str">
        <f>'Table 4'!A37</f>
        <v>Union</v>
      </c>
      <c r="B37" s="322">
        <v>2525.3000000000002</v>
      </c>
      <c r="C37" s="314">
        <f>B37*2000/24060</f>
        <v>209.91687448046551</v>
      </c>
      <c r="D37" s="323">
        <v>3340.8</v>
      </c>
      <c r="E37" s="314">
        <f>D37*2000/24620</f>
        <v>271.38911454102356</v>
      </c>
      <c r="F37" s="323">
        <v>4329.2</v>
      </c>
      <c r="G37" s="314">
        <f>F37*2000/24880</f>
        <v>348.00643086816723</v>
      </c>
      <c r="H37" s="323">
        <v>6248</v>
      </c>
      <c r="I37" s="324">
        <f>H37*2000/24870</f>
        <v>502.45275432247689</v>
      </c>
      <c r="J37" s="323">
        <v>5202.8</v>
      </c>
      <c r="K37" s="324">
        <f>J37*2000/24860</f>
        <v>418.56798069187448</v>
      </c>
      <c r="L37" s="13">
        <v>6006.6</v>
      </c>
      <c r="M37" s="324">
        <f>L37*2000/24850</f>
        <v>483.42857142857144</v>
      </c>
      <c r="N37" s="13">
        <v>5848</v>
      </c>
      <c r="O37" s="324">
        <f>N37*2000/24670</f>
        <v>474.09809485204704</v>
      </c>
      <c r="P37" s="13">
        <v>5357.8</v>
      </c>
      <c r="Q37" s="314">
        <f>P37*2000/24580</f>
        <v>435.94792514239219</v>
      </c>
      <c r="R37" s="334">
        <v>5062</v>
      </c>
      <c r="S37" s="335">
        <v>412</v>
      </c>
      <c r="T37" s="334">
        <v>5578</v>
      </c>
      <c r="U37" s="335">
        <v>454</v>
      </c>
      <c r="V37" s="336">
        <v>7253.2</v>
      </c>
      <c r="W37" s="336">
        <v>589.69105691056916</v>
      </c>
      <c r="X37" s="334">
        <v>6779.1160000000009</v>
      </c>
      <c r="Y37" s="336">
        <v>550.02969574036524</v>
      </c>
      <c r="Z37" s="334">
        <v>7504.1860000000006</v>
      </c>
      <c r="AA37" s="335">
        <v>603.95863179074456</v>
      </c>
      <c r="AB37" s="334">
        <v>7327.7650000000003</v>
      </c>
      <c r="AC37" s="335">
        <v>587.39599198396797</v>
      </c>
      <c r="AD37" s="336">
        <v>7517.9089999999997</v>
      </c>
      <c r="AE37" s="335">
        <v>598.79800876144964</v>
      </c>
      <c r="AF37" s="336">
        <v>9179.7610000000004</v>
      </c>
      <c r="AG37" s="335">
        <v>727.10978217821787</v>
      </c>
      <c r="AH37" s="337">
        <v>8101.5410000000002</v>
      </c>
      <c r="AI37" s="367">
        <v>638.89759867513112</v>
      </c>
      <c r="AJ37" s="337">
        <v>7119.3710000000001</v>
      </c>
      <c r="AK37" s="367">
        <v>559.03973301923827</v>
      </c>
      <c r="AL37" s="334">
        <v>7159.2939999999999</v>
      </c>
      <c r="AM37" s="335">
        <v>554.76900426191401</v>
      </c>
      <c r="AN37" s="336">
        <v>7822.5919999999996</v>
      </c>
      <c r="AO37" s="336">
        <v>602.20107775211704</v>
      </c>
      <c r="AP37" s="334">
        <v>7990.5429999999997</v>
      </c>
      <c r="AQ37" s="336">
        <v>610.54769818529132</v>
      </c>
      <c r="AR37" s="334">
        <v>8031.2939999999999</v>
      </c>
      <c r="AS37" s="336">
        <v>610.16478632478629</v>
      </c>
      <c r="AT37" s="334">
        <v>6350.0659999999998</v>
      </c>
      <c r="AU37" s="13">
        <v>479.52169152350388</v>
      </c>
      <c r="AV37" s="334">
        <v>6690.7420000000002</v>
      </c>
      <c r="AW37" s="336">
        <v>502.59094835680753</v>
      </c>
      <c r="AX37" s="334">
        <v>6915.5039999999999</v>
      </c>
      <c r="AY37" s="336">
        <v>517.14369040942233</v>
      </c>
      <c r="AZ37" s="334">
        <v>6375.1030000000001</v>
      </c>
      <c r="BA37" s="336">
        <v>473.98535315985129</v>
      </c>
      <c r="BB37" s="334">
        <v>6978.8559999999998</v>
      </c>
      <c r="BC37" s="336">
        <v>519.16354844708951</v>
      </c>
      <c r="BD37" s="334">
        <v>7077.8590000000004</v>
      </c>
      <c r="BE37" s="336">
        <v>527.41125186289116</v>
      </c>
      <c r="BF37" s="334">
        <v>7101.0479999999998</v>
      </c>
      <c r="BG37" s="336">
        <v>529.13919523099855</v>
      </c>
      <c r="BH37" s="334">
        <v>6983.4939999999997</v>
      </c>
      <c r="BI37" s="336">
        <v>531.16516447993911</v>
      </c>
      <c r="BJ37" s="368">
        <f>'Table 2'!B36</f>
        <v>7864.4430000000002</v>
      </c>
      <c r="BK37" s="369">
        <f>'Table 2'!C36</f>
        <v>589.6861036891404</v>
      </c>
      <c r="BL37" s="110">
        <f t="shared" si="0"/>
        <v>0.11017465587469166</v>
      </c>
      <c r="BN37" s="13"/>
      <c r="BO37" s="156"/>
      <c r="BP37" s="157"/>
      <c r="BQ37" s="161"/>
      <c r="BR37" s="13"/>
      <c r="BS37" s="13"/>
      <c r="BT37" s="13"/>
      <c r="BU37" s="13"/>
      <c r="BV37" s="13"/>
      <c r="BX37" s="39"/>
    </row>
    <row r="38" spans="1:76" ht="15" customHeight="1" x14ac:dyDescent="0.25">
      <c r="A38" s="160" t="str">
        <f>'Table 4'!A38</f>
        <v>Wallowa</v>
      </c>
      <c r="B38" s="322">
        <v>432.8</v>
      </c>
      <c r="C38" s="314">
        <f>B38*2000/7250</f>
        <v>119.39310344827587</v>
      </c>
      <c r="D38" s="323">
        <v>572.29999999999995</v>
      </c>
      <c r="E38" s="314">
        <f>D38*2000/7440</f>
        <v>153.84408602150538</v>
      </c>
      <c r="F38" s="323">
        <v>840.6</v>
      </c>
      <c r="G38" s="314">
        <f>F38*2000/7460</f>
        <v>225.36193029490616</v>
      </c>
      <c r="H38" s="323">
        <v>905</v>
      </c>
      <c r="I38" s="324">
        <f>H38*2000/7480</f>
        <v>241.97860962566844</v>
      </c>
      <c r="J38" s="323">
        <v>503.3</v>
      </c>
      <c r="K38" s="324">
        <f>J38*2000/7480</f>
        <v>134.57219251336898</v>
      </c>
      <c r="L38" s="13">
        <v>781.4</v>
      </c>
      <c r="M38" s="324">
        <f>L38*2000/7480</f>
        <v>208.93048128342247</v>
      </c>
      <c r="N38" s="13">
        <v>847</v>
      </c>
      <c r="O38" s="324">
        <f>N38*2000/7340</f>
        <v>230.79019073569484</v>
      </c>
      <c r="P38" s="13">
        <v>1130.7</v>
      </c>
      <c r="Q38" s="314">
        <f>P38*2000/7260</f>
        <v>311.48760330578511</v>
      </c>
      <c r="R38" s="323">
        <v>1219</v>
      </c>
      <c r="S38" s="96">
        <v>336</v>
      </c>
      <c r="T38" s="323">
        <v>1045</v>
      </c>
      <c r="U38" s="96">
        <v>294</v>
      </c>
      <c r="V38" s="13">
        <v>1324.9</v>
      </c>
      <c r="W38" s="13">
        <v>370.60139860139861</v>
      </c>
      <c r="X38" s="323">
        <v>1005.14</v>
      </c>
      <c r="Y38" s="13">
        <v>281.15804195804196</v>
      </c>
      <c r="Z38" s="323">
        <v>1159.5340000000001</v>
      </c>
      <c r="AA38" s="96">
        <v>324.34517482517481</v>
      </c>
      <c r="AB38" s="323">
        <v>1287.374</v>
      </c>
      <c r="AC38" s="96">
        <v>361.1147265077139</v>
      </c>
      <c r="AD38" s="13">
        <v>1431.23</v>
      </c>
      <c r="AE38" s="96">
        <v>400.90476190476193</v>
      </c>
      <c r="AF38" s="13">
        <v>1766.6279999999999</v>
      </c>
      <c r="AG38" s="96">
        <v>495.54782608695655</v>
      </c>
      <c r="AH38" s="325">
        <v>1338.595</v>
      </c>
      <c r="AI38" s="326">
        <v>376.38698979963959</v>
      </c>
      <c r="AJ38" s="325">
        <v>1211.2360000000001</v>
      </c>
      <c r="AK38" s="326">
        <v>341.19323943661971</v>
      </c>
      <c r="AL38" s="323">
        <v>718.80600000000004</v>
      </c>
      <c r="AM38" s="96">
        <v>205.22655246252677</v>
      </c>
      <c r="AN38" s="13">
        <v>954.22299999999996</v>
      </c>
      <c r="AO38" s="13">
        <v>272.83002144388848</v>
      </c>
      <c r="AP38" s="323">
        <v>923.26900000000001</v>
      </c>
      <c r="AQ38" s="13">
        <v>263.22708481824662</v>
      </c>
      <c r="AR38" s="323">
        <v>1058.2380000000001</v>
      </c>
      <c r="AS38" s="13">
        <v>300.42242725337121</v>
      </c>
      <c r="AT38" s="323">
        <v>904.39599999999996</v>
      </c>
      <c r="AU38" s="13">
        <v>255.84045261669024</v>
      </c>
      <c r="AV38" s="323">
        <v>1122.2619999999999</v>
      </c>
      <c r="AW38" s="13">
        <v>316.1301408450704</v>
      </c>
      <c r="AX38" s="323">
        <v>1513.4090000000001</v>
      </c>
      <c r="AY38" s="13">
        <v>423.92408963585433</v>
      </c>
      <c r="AZ38" s="323">
        <v>1424.694</v>
      </c>
      <c r="BA38" s="13">
        <v>396.0233495482974</v>
      </c>
      <c r="BB38" s="323">
        <v>1385.893</v>
      </c>
      <c r="BC38" s="13">
        <v>386.31163763066201</v>
      </c>
      <c r="BD38" s="323">
        <v>1792.962</v>
      </c>
      <c r="BE38" s="13">
        <v>501.52783216783217</v>
      </c>
      <c r="BF38" s="323">
        <v>1303.6079999999999</v>
      </c>
      <c r="BG38" s="13">
        <v>364.13631284916204</v>
      </c>
      <c r="BH38" s="323">
        <v>2123.145</v>
      </c>
      <c r="BI38" s="13">
        <v>571.27539351540429</v>
      </c>
      <c r="BJ38" s="327">
        <f>'Table 2'!B37</f>
        <v>1683.3869999999999</v>
      </c>
      <c r="BK38" s="366">
        <f>'Table 2'!C37</f>
        <v>446.43665068991459</v>
      </c>
      <c r="BL38" s="110">
        <f t="shared" si="0"/>
        <v>-0.21852637842018918</v>
      </c>
      <c r="BN38" s="13"/>
      <c r="BO38" s="156"/>
      <c r="BP38" s="157"/>
      <c r="BQ38" s="161"/>
      <c r="BR38" s="314"/>
      <c r="BS38" s="314"/>
      <c r="BT38" s="13"/>
      <c r="BU38" s="13"/>
      <c r="BV38" s="13"/>
      <c r="BX38" s="39"/>
    </row>
    <row r="39" spans="1:76" ht="15" customHeight="1" x14ac:dyDescent="0.25">
      <c r="A39" s="160" t="str">
        <f>'Table 4'!A39</f>
        <v>Wasco</v>
      </c>
      <c r="B39" s="322">
        <v>5442.5</v>
      </c>
      <c r="C39" s="314">
        <f>B39*2000/22430</f>
        <v>485.28756130182791</v>
      </c>
      <c r="D39" s="323">
        <v>5070.8</v>
      </c>
      <c r="E39" s="314">
        <f>D39*2000/22440</f>
        <v>451.94295900178253</v>
      </c>
      <c r="F39" s="323">
        <v>5751.4</v>
      </c>
      <c r="G39" s="314">
        <f>F39*2000/22820</f>
        <v>504.0666082383874</v>
      </c>
      <c r="H39" s="323">
        <v>6650</v>
      </c>
      <c r="I39" s="324">
        <f>H39*2000/23030</f>
        <v>577.50759878419456</v>
      </c>
      <c r="J39" s="323">
        <v>7519.1</v>
      </c>
      <c r="K39" s="324">
        <f>J39*2000/23190</f>
        <v>648.47779215178957</v>
      </c>
      <c r="L39" s="13">
        <v>7784.3</v>
      </c>
      <c r="M39" s="324">
        <f>L39*2000/23380</f>
        <v>665.89392643284862</v>
      </c>
      <c r="N39" s="13">
        <v>8154</v>
      </c>
      <c r="O39" s="324">
        <f>N39*2000/23410</f>
        <v>696.62537377189233</v>
      </c>
      <c r="P39" s="13">
        <v>9692</v>
      </c>
      <c r="Q39" s="314">
        <f>P39*2000/23700</f>
        <v>817.89029535864984</v>
      </c>
      <c r="R39" s="323">
        <v>9194</v>
      </c>
      <c r="S39" s="96">
        <v>771</v>
      </c>
      <c r="T39" s="323">
        <v>6240</v>
      </c>
      <c r="U39" s="96">
        <v>517</v>
      </c>
      <c r="V39" s="13">
        <v>7249.2</v>
      </c>
      <c r="W39" s="13">
        <v>610.45894736842104</v>
      </c>
      <c r="X39" s="323">
        <v>8045.9740000000038</v>
      </c>
      <c r="Y39" s="13">
        <v>683.30989384288785</v>
      </c>
      <c r="Z39" s="323">
        <v>6179.652</v>
      </c>
      <c r="AA39" s="96">
        <v>517.12569037656908</v>
      </c>
      <c r="AB39" s="323">
        <v>6784.7420000000002</v>
      </c>
      <c r="AC39" s="96">
        <v>566.93060371840397</v>
      </c>
      <c r="AD39" s="13">
        <v>5130.884</v>
      </c>
      <c r="AE39" s="96">
        <v>426.33020357291235</v>
      </c>
      <c r="AF39" s="13">
        <v>6649.5559999999996</v>
      </c>
      <c r="AG39" s="96">
        <v>551.25852849740932</v>
      </c>
      <c r="AH39" s="325">
        <v>6544.67</v>
      </c>
      <c r="AI39" s="326">
        <v>541.57439794683364</v>
      </c>
      <c r="AJ39" s="325">
        <v>9235.884</v>
      </c>
      <c r="AK39" s="326">
        <v>762.35113495666531</v>
      </c>
      <c r="AL39" s="323">
        <v>7089.1530000000002</v>
      </c>
      <c r="AM39" s="96">
        <v>561.85084208440662</v>
      </c>
      <c r="AN39" s="13">
        <v>7681.8630000000003</v>
      </c>
      <c r="AO39" s="13">
        <v>607.26189723320158</v>
      </c>
      <c r="AP39" s="323">
        <v>6688.3990000000003</v>
      </c>
      <c r="AQ39" s="13">
        <v>524.88907200313906</v>
      </c>
      <c r="AR39" s="323">
        <v>8157.7579999999998</v>
      </c>
      <c r="AS39" s="13">
        <v>632.13932584269662</v>
      </c>
      <c r="AT39" s="323">
        <v>7061.6130000000003</v>
      </c>
      <c r="AU39" s="13">
        <v>541.01612717870137</v>
      </c>
      <c r="AV39" s="323">
        <v>6862.674</v>
      </c>
      <c r="AW39" s="13">
        <v>520.49101251422076</v>
      </c>
      <c r="AX39" s="323">
        <v>7024.5259999999998</v>
      </c>
      <c r="AY39" s="13">
        <v>526.18172284644197</v>
      </c>
      <c r="AZ39" s="323">
        <v>5415.9080000000004</v>
      </c>
      <c r="BA39" s="13">
        <v>399.69800738007382</v>
      </c>
      <c r="BB39" s="323">
        <v>5437.4610000000002</v>
      </c>
      <c r="BC39" s="13">
        <v>399.81330882352944</v>
      </c>
      <c r="BD39" s="323">
        <v>4798.5739999999996</v>
      </c>
      <c r="BE39" s="13">
        <v>352.31820851688695</v>
      </c>
      <c r="BF39" s="323">
        <v>5021.8149999999996</v>
      </c>
      <c r="BG39" s="13">
        <v>367.96592782560907</v>
      </c>
      <c r="BH39" s="323">
        <v>6125.3360000000002</v>
      </c>
      <c r="BI39" s="13">
        <v>460.88077950415709</v>
      </c>
      <c r="BJ39" s="327">
        <f>'Table 2'!B38</f>
        <v>6923.8090000000002</v>
      </c>
      <c r="BK39" s="366">
        <f>'Table 2'!C38</f>
        <v>516.81095265308272</v>
      </c>
      <c r="BL39" s="110">
        <f t="shared" si="0"/>
        <v>0.12135496995361494</v>
      </c>
      <c r="BN39" s="13"/>
      <c r="BO39" s="163"/>
      <c r="BP39" s="13"/>
      <c r="BQ39" s="161"/>
      <c r="BR39" s="19"/>
      <c r="BS39" s="39"/>
      <c r="BT39" s="13"/>
      <c r="BU39" s="39"/>
      <c r="BV39" s="19"/>
      <c r="BX39" s="13"/>
    </row>
    <row r="40" spans="1:76" ht="15" customHeight="1" x14ac:dyDescent="0.25">
      <c r="A40" s="160" t="str">
        <f>'Table 4'!A40</f>
        <v>Wheeler</v>
      </c>
      <c r="B40" s="322">
        <v>58.9</v>
      </c>
      <c r="C40" s="314">
        <f>B40*2000/1440</f>
        <v>81.805555555555557</v>
      </c>
      <c r="D40" s="323">
        <v>70.099999999999994</v>
      </c>
      <c r="E40" s="314">
        <f>D40*2000/1500</f>
        <v>93.466666666666669</v>
      </c>
      <c r="F40" s="323">
        <v>97.7</v>
      </c>
      <c r="G40" s="314">
        <f>F40*2000/1570</f>
        <v>124.45859872611464</v>
      </c>
      <c r="H40" s="323">
        <v>239</v>
      </c>
      <c r="I40" s="324">
        <f>H40*2000/1570</f>
        <v>304.45859872611464</v>
      </c>
      <c r="J40" s="323">
        <v>185.2</v>
      </c>
      <c r="K40" s="324">
        <f>J40*2000/1640</f>
        <v>225.85365853658536</v>
      </c>
      <c r="L40" s="13">
        <v>149.9</v>
      </c>
      <c r="M40" s="324">
        <f>L40*2000/1610</f>
        <v>186.2111801242236</v>
      </c>
      <c r="N40" s="13">
        <v>119</v>
      </c>
      <c r="O40" s="324">
        <f>N40*2000/1570</f>
        <v>151.59235668789808</v>
      </c>
      <c r="P40" s="13">
        <v>79.900000000000006</v>
      </c>
      <c r="Q40" s="314">
        <f>P40*2000/1560</f>
        <v>102.43589743589743</v>
      </c>
      <c r="R40" s="323">
        <v>100</v>
      </c>
      <c r="S40" s="96">
        <v>129</v>
      </c>
      <c r="T40" s="323">
        <v>67</v>
      </c>
      <c r="U40" s="96">
        <v>86</v>
      </c>
      <c r="V40" s="13">
        <v>167.4</v>
      </c>
      <c r="W40" s="13">
        <v>216</v>
      </c>
      <c r="X40" s="323">
        <v>187.18100000000001</v>
      </c>
      <c r="Y40" s="13">
        <v>241.52387096774194</v>
      </c>
      <c r="Z40" s="323">
        <v>109.08499999999999</v>
      </c>
      <c r="AA40" s="96">
        <v>140.75483870967741</v>
      </c>
      <c r="AB40" s="323">
        <v>236.22</v>
      </c>
      <c r="AC40" s="96">
        <v>304.8</v>
      </c>
      <c r="AD40" s="13">
        <v>161.14400000000001</v>
      </c>
      <c r="AE40" s="96">
        <v>205.93482428115016</v>
      </c>
      <c r="AF40" s="13">
        <v>204.47900000000001</v>
      </c>
      <c r="AG40" s="96">
        <v>260.48280254777069</v>
      </c>
      <c r="AH40" s="325">
        <v>165.54499999999999</v>
      </c>
      <c r="AI40" s="326">
        <v>210.5162408463533</v>
      </c>
      <c r="AJ40" s="325">
        <v>102.113</v>
      </c>
      <c r="AK40" s="326">
        <v>128.84921135646687</v>
      </c>
      <c r="AL40" s="323">
        <v>37.561999999999998</v>
      </c>
      <c r="AM40" s="96">
        <v>52.169444444444444</v>
      </c>
      <c r="AN40" s="13">
        <v>61.624000000000002</v>
      </c>
      <c r="AO40" s="13">
        <v>85.887108013937279</v>
      </c>
      <c r="AP40" s="323">
        <v>37.100999999999999</v>
      </c>
      <c r="AQ40" s="13">
        <v>52.071578947368423</v>
      </c>
      <c r="AR40" s="323">
        <v>44.758000000000003</v>
      </c>
      <c r="AS40" s="13">
        <v>62.598601398601396</v>
      </c>
      <c r="AT40" s="323">
        <v>28.824000000000002</v>
      </c>
      <c r="AU40" s="13">
        <v>40.033333333333331</v>
      </c>
      <c r="AV40" s="323">
        <v>77.302000000000007</v>
      </c>
      <c r="AW40" s="13">
        <v>106.99238754325259</v>
      </c>
      <c r="AX40" s="323">
        <v>54.557000000000002</v>
      </c>
      <c r="AY40" s="13">
        <v>74.480546075085329</v>
      </c>
      <c r="AZ40" s="323">
        <v>80.213999999999999</v>
      </c>
      <c r="BA40" s="13">
        <v>108.3972972972973</v>
      </c>
      <c r="BB40" s="323">
        <v>132.06399999999999</v>
      </c>
      <c r="BC40" s="13">
        <v>182.15724137931034</v>
      </c>
      <c r="BD40" s="323">
        <v>69.632999999999996</v>
      </c>
      <c r="BE40" s="13">
        <v>96.712500000000006</v>
      </c>
      <c r="BF40" s="323">
        <v>76.128</v>
      </c>
      <c r="BG40" s="13">
        <v>105.73333333333333</v>
      </c>
      <c r="BH40" s="323">
        <v>74.268000000000001</v>
      </c>
      <c r="BI40" s="13">
        <v>102.01648351648352</v>
      </c>
      <c r="BJ40" s="327">
        <f>'Table 2'!B39</f>
        <v>87.668999999999997</v>
      </c>
      <c r="BK40" s="366">
        <f>'Table 2'!C39</f>
        <v>122.0773417471143</v>
      </c>
      <c r="BL40" s="110">
        <f t="shared" si="0"/>
        <v>0.19664330252462991</v>
      </c>
      <c r="BN40" s="13"/>
      <c r="BO40" s="13"/>
      <c r="BP40" s="13"/>
      <c r="BQ40" s="161"/>
      <c r="BR40" s="13"/>
      <c r="BT40" s="13"/>
      <c r="BU40" s="13"/>
    </row>
    <row r="41" spans="1:76" ht="15" customHeight="1" x14ac:dyDescent="0.25">
      <c r="A41" s="162" t="str">
        <f>'Table 4'!A41</f>
        <v>Yamhill</v>
      </c>
      <c r="B41" s="328">
        <v>11850.3</v>
      </c>
      <c r="C41" s="329">
        <f>B41*2000/(69490+554)</f>
        <v>338.36731197532981</v>
      </c>
      <c r="D41" s="330">
        <v>16112.1</v>
      </c>
      <c r="E41" s="329">
        <f>D41*2000/(71280+554)</f>
        <v>448.59258846785644</v>
      </c>
      <c r="F41" s="330">
        <v>19374.2</v>
      </c>
      <c r="G41" s="329">
        <f>F41*2000/(73370+555)</f>
        <v>524.15826851538725</v>
      </c>
      <c r="H41" s="330">
        <v>22992</v>
      </c>
      <c r="I41" s="331">
        <f>H41*2000/(75890+556)</f>
        <v>601.52264343458125</v>
      </c>
      <c r="J41" s="330">
        <v>26115.9</v>
      </c>
      <c r="K41" s="331">
        <f>J41*2000/(78270+556)</f>
        <v>662.62147007332601</v>
      </c>
      <c r="L41" s="330">
        <v>21880</v>
      </c>
      <c r="M41" s="331">
        <f>L41*2000/(80250+558)</f>
        <v>541.53054153054154</v>
      </c>
      <c r="N41" s="332">
        <v>31244</v>
      </c>
      <c r="O41" s="331">
        <f>N41*2000/(82500+560)</f>
        <v>752.32362147844935</v>
      </c>
      <c r="P41" s="330">
        <v>38842</v>
      </c>
      <c r="Q41" s="329">
        <f>P41*2000/(83970+580)</f>
        <v>918.79361324659965</v>
      </c>
      <c r="R41" s="330">
        <v>53548</v>
      </c>
      <c r="S41" s="333">
        <v>1242</v>
      </c>
      <c r="T41" s="330">
        <v>63021</v>
      </c>
      <c r="U41" s="333">
        <v>1447</v>
      </c>
      <c r="V41" s="332">
        <v>80791</v>
      </c>
      <c r="W41" s="332">
        <v>1831.7877791633603</v>
      </c>
      <c r="X41" s="330">
        <v>49149.558999999994</v>
      </c>
      <c r="Y41" s="332">
        <v>1106.2246004951608</v>
      </c>
      <c r="Z41" s="330">
        <v>71655.664999999979</v>
      </c>
      <c r="AA41" s="333">
        <v>1593.942053164275</v>
      </c>
      <c r="AB41" s="330">
        <v>62326.574000000001</v>
      </c>
      <c r="AC41" s="333">
        <v>1369.5138211382114</v>
      </c>
      <c r="AD41" s="332">
        <v>64016.927000000003</v>
      </c>
      <c r="AE41" s="333">
        <v>1385.7077579115978</v>
      </c>
      <c r="AF41" s="332">
        <v>57815.597999999998</v>
      </c>
      <c r="AG41" s="333">
        <v>1232.6762539310271</v>
      </c>
      <c r="AH41" s="338">
        <v>50199.703000000001</v>
      </c>
      <c r="AI41" s="339">
        <v>1056.3607092555928</v>
      </c>
      <c r="AJ41" s="338">
        <v>47122.023000000001</v>
      </c>
      <c r="AK41" s="339">
        <v>982.01569240387619</v>
      </c>
      <c r="AL41" s="330">
        <v>49737.186000000002</v>
      </c>
      <c r="AM41" s="333">
        <v>992.2630623441396</v>
      </c>
      <c r="AN41" s="332">
        <v>45652.714999999997</v>
      </c>
      <c r="AO41" s="332">
        <v>906.75237102140125</v>
      </c>
      <c r="AP41" s="330">
        <v>43786.974999999999</v>
      </c>
      <c r="AQ41" s="332">
        <v>863.69101040485236</v>
      </c>
      <c r="AR41" s="330">
        <v>51237.383999999998</v>
      </c>
      <c r="AS41" s="332">
        <v>1002.2276252603988</v>
      </c>
      <c r="AT41" s="330">
        <v>43276.896999999997</v>
      </c>
      <c r="AU41" s="332">
        <v>837.29594768459845</v>
      </c>
      <c r="AV41" s="330">
        <v>47807.790999999997</v>
      </c>
      <c r="AW41" s="332">
        <v>915.17431420969012</v>
      </c>
      <c r="AX41" s="330">
        <v>41123.998</v>
      </c>
      <c r="AY41" s="332">
        <v>776.95799129030127</v>
      </c>
      <c r="AZ41" s="330">
        <v>41146.463000000003</v>
      </c>
      <c r="BA41" s="332">
        <v>767.87278156200432</v>
      </c>
      <c r="BB41" s="330">
        <v>38600.428999999996</v>
      </c>
      <c r="BC41" s="332">
        <v>712.84264081255776</v>
      </c>
      <c r="BD41" s="330">
        <v>53717.614000000001</v>
      </c>
      <c r="BE41" s="332">
        <v>986.0966314823313</v>
      </c>
      <c r="BF41" s="330">
        <v>48487.741999999998</v>
      </c>
      <c r="BG41" s="332">
        <v>885.62085844748856</v>
      </c>
      <c r="BH41" s="330">
        <v>52779.55</v>
      </c>
      <c r="BI41" s="332">
        <v>966.79122590099371</v>
      </c>
      <c r="BJ41" s="340">
        <f>'Table 2'!B40</f>
        <v>47099.97</v>
      </c>
      <c r="BK41" s="370">
        <f>'Table 2'!C40</f>
        <v>857.03503177521839</v>
      </c>
      <c r="BL41" s="122">
        <f t="shared" si="0"/>
        <v>-0.11352626211878258</v>
      </c>
      <c r="BN41" s="13"/>
      <c r="BO41" s="13"/>
      <c r="BP41" s="13"/>
      <c r="BQ41" s="161"/>
      <c r="BR41" s="13"/>
      <c r="BT41" s="13"/>
      <c r="BU41" s="13"/>
    </row>
    <row r="42" spans="1:76" ht="15" thickBot="1" x14ac:dyDescent="0.3">
      <c r="A42" s="165"/>
      <c r="B42" s="322"/>
      <c r="C42" s="13"/>
      <c r="D42" s="323"/>
      <c r="E42" s="314"/>
      <c r="F42" s="323"/>
      <c r="G42" s="314"/>
      <c r="H42" s="323"/>
      <c r="I42" s="324"/>
      <c r="J42" s="323"/>
      <c r="K42" s="324"/>
      <c r="L42" s="314"/>
      <c r="M42" s="324"/>
      <c r="N42" s="314"/>
      <c r="O42" s="324"/>
      <c r="P42" s="314"/>
      <c r="Q42" s="341"/>
      <c r="R42" s="314"/>
      <c r="S42" s="341"/>
      <c r="T42" s="314"/>
      <c r="U42" s="341"/>
      <c r="V42" s="314"/>
      <c r="W42" s="314"/>
      <c r="X42" s="342"/>
      <c r="Y42" s="314"/>
      <c r="Z42" s="343"/>
      <c r="AA42" s="341"/>
      <c r="AB42" s="344"/>
      <c r="AC42" s="345"/>
      <c r="AD42" s="314"/>
      <c r="AE42" s="345"/>
      <c r="AF42" s="343"/>
      <c r="AG42" s="324"/>
      <c r="AH42" s="346"/>
      <c r="AI42" s="347"/>
      <c r="AJ42" s="348"/>
      <c r="AK42" s="347"/>
      <c r="AL42" s="343"/>
      <c r="AM42" s="341"/>
      <c r="AN42" s="349"/>
      <c r="AO42" s="349"/>
      <c r="AP42" s="343"/>
      <c r="AQ42" s="349"/>
      <c r="AR42" s="343"/>
      <c r="AS42" s="349"/>
      <c r="AT42" s="343"/>
      <c r="AU42" s="349"/>
      <c r="AV42" s="343"/>
      <c r="AW42" s="349"/>
      <c r="AX42" s="343"/>
      <c r="AY42" s="349"/>
      <c r="AZ42" s="343"/>
      <c r="BA42" s="349"/>
      <c r="BB42" s="343"/>
      <c r="BC42" s="349"/>
      <c r="BD42" s="343"/>
      <c r="BE42" s="349"/>
      <c r="BF42" s="343"/>
      <c r="BG42" s="349"/>
      <c r="BH42" s="343"/>
      <c r="BI42" s="349"/>
      <c r="BJ42" s="350"/>
      <c r="BK42" s="351"/>
      <c r="BL42" s="352"/>
      <c r="BN42" s="13"/>
      <c r="BO42" s="13"/>
      <c r="BP42" s="13"/>
      <c r="BQ42" s="161"/>
    </row>
    <row r="43" spans="1:76" ht="15.95" customHeight="1" thickBot="1" x14ac:dyDescent="0.3">
      <c r="A43" s="142" t="s">
        <v>41</v>
      </c>
      <c r="B43" s="353">
        <f>SUM(B7:B41)</f>
        <v>839678.90000000014</v>
      </c>
      <c r="C43" s="354">
        <f>B43*2000/2990610</f>
        <v>561.54356469081563</v>
      </c>
      <c r="D43" s="59">
        <f>SUM(D7:D41)</f>
        <v>974685.3</v>
      </c>
      <c r="E43" s="355">
        <f>D43*2000/3059110</f>
        <v>637.23455514839281</v>
      </c>
      <c r="F43" s="356">
        <f>SUM(F7:F41)</f>
        <v>1118912.2999999996</v>
      </c>
      <c r="G43" s="355">
        <f>F43*2000/3119940</f>
        <v>717.26526792181869</v>
      </c>
      <c r="H43" s="357">
        <f>SUM(H7:H42)</f>
        <v>1257207</v>
      </c>
      <c r="I43" s="354">
        <f>H43*2000/3182690</f>
        <v>790.027932346537</v>
      </c>
      <c r="J43" s="357">
        <f>SUM(J7:J42)</f>
        <v>1338258.5999999999</v>
      </c>
      <c r="K43" s="354">
        <f>J43*2000/3245100</f>
        <v>824.7872792826106</v>
      </c>
      <c r="L43" s="357">
        <f>SUM(L7:L42)</f>
        <v>1462113.8999999997</v>
      </c>
      <c r="M43" s="354">
        <f>L43*2000/3302140</f>
        <v>885.55536712556091</v>
      </c>
      <c r="N43" s="357">
        <f>SUM(N7:N42)</f>
        <v>1604985</v>
      </c>
      <c r="O43" s="354">
        <f>N43*2000/3350080</f>
        <v>958.17711815837231</v>
      </c>
      <c r="P43" s="357">
        <f>SUM(P7:P42)</f>
        <v>1626270.8999999997</v>
      </c>
      <c r="Q43" s="354">
        <f>P43*2000/3393410</f>
        <v>958.4877158963991</v>
      </c>
      <c r="R43" s="357">
        <f>SUM(R7:R42)</f>
        <v>1765817</v>
      </c>
      <c r="S43" s="354">
        <v>1028</v>
      </c>
      <c r="T43" s="59">
        <f>SUM(T7:T42)</f>
        <v>1999085</v>
      </c>
      <c r="U43" s="354">
        <v>1152</v>
      </c>
      <c r="V43" s="358">
        <f>SUM(V7:V41)</f>
        <v>2029261.3</v>
      </c>
      <c r="W43" s="355">
        <v>1158.0225982252405</v>
      </c>
      <c r="X43" s="358">
        <f>SUM(X7:X41)</f>
        <v>2116880.094</v>
      </c>
      <c r="Y43" s="59">
        <v>1195.4706960327544</v>
      </c>
      <c r="Z43" s="357">
        <v>2317063.8169999998</v>
      </c>
      <c r="AA43" s="354">
        <v>1293.5096393680567</v>
      </c>
      <c r="AB43" s="357">
        <v>2523366.8660000004</v>
      </c>
      <c r="AC43" s="359">
        <v>1389.7334754257267</v>
      </c>
      <c r="AD43" s="59">
        <v>2494050.2080000001</v>
      </c>
      <c r="AE43" s="359">
        <v>1351.6037550416543</v>
      </c>
      <c r="AF43" s="59">
        <v>2437568.8090000004</v>
      </c>
      <c r="AG43" s="359">
        <v>1301.6142546099209</v>
      </c>
      <c r="AH43" s="360">
        <v>2326145.8880000003</v>
      </c>
      <c r="AI43" s="361">
        <v>1227.1743211939336</v>
      </c>
      <c r="AJ43" s="360">
        <v>2082630.8980000003</v>
      </c>
      <c r="AK43" s="361">
        <v>1089.3945141383538</v>
      </c>
      <c r="AL43" s="357">
        <f>SUM(AL7:AL41)</f>
        <v>2163957.358</v>
      </c>
      <c r="AM43" s="354">
        <v>1127.8541464050243</v>
      </c>
      <c r="AN43" s="355">
        <f>SUM(AN7:AN41)</f>
        <v>2306123.6909999996</v>
      </c>
      <c r="AO43" s="354">
        <v>1195.6183874793426</v>
      </c>
      <c r="AP43" s="355">
        <f>SUM(AP7:AP41)</f>
        <v>2391490.2689999999</v>
      </c>
      <c r="AQ43" s="354">
        <v>1232</v>
      </c>
      <c r="AR43" s="355">
        <f>SUM(AR7:AR41)</f>
        <v>2390858.9190000002</v>
      </c>
      <c r="AS43" s="354">
        <v>1220</v>
      </c>
      <c r="AT43" s="357">
        <f>SUM(AT7:AT41)</f>
        <v>2307268.5589999999</v>
      </c>
      <c r="AU43" s="362">
        <v>1164</v>
      </c>
      <c r="AV43" s="357">
        <f>SUM(AV7:AV42)</f>
        <v>2369080.2920000013</v>
      </c>
      <c r="AW43" s="355">
        <v>1180.4542985591129</v>
      </c>
      <c r="AX43" s="357">
        <f>SUM(AX7:AX42)</f>
        <v>2225950.4910000004</v>
      </c>
      <c r="AY43" s="355">
        <v>1092.1292288444322</v>
      </c>
      <c r="AZ43" s="357">
        <f>SUM(AZ7:AZ41)</f>
        <v>2286969.0400000005</v>
      </c>
      <c r="BA43" s="355">
        <v>1104.5224891936928</v>
      </c>
      <c r="BB43" s="357">
        <f>SUM(BB7:BB41)</f>
        <v>2307544.7350000003</v>
      </c>
      <c r="BC43" s="355">
        <v>1100.0618477820419</v>
      </c>
      <c r="BD43" s="357">
        <f>SUM(BD7:BD41)</f>
        <v>2402756.0829999996</v>
      </c>
      <c r="BE43" s="355">
        <v>1134.3386285525444</v>
      </c>
      <c r="BF43" s="357">
        <v>2501960.2380000004</v>
      </c>
      <c r="BG43" s="355">
        <v>1172.4123695688086</v>
      </c>
      <c r="BH43" s="357">
        <v>2444380.4370000004</v>
      </c>
      <c r="BI43" s="355">
        <v>1145.8158622047431</v>
      </c>
      <c r="BJ43" s="363">
        <f>SUM(BJ7:BJ42)</f>
        <v>2400809.6730000004</v>
      </c>
      <c r="BK43" s="364">
        <f>'Table 2'!C43</f>
        <v>1121.3886977410607</v>
      </c>
      <c r="BL43" s="365">
        <f>BK43/BI43-1</f>
        <v>-2.1318577678511419E-2</v>
      </c>
      <c r="BO43" s="13" t="s">
        <v>145</v>
      </c>
      <c r="BP43" s="13"/>
      <c r="BQ43" s="161"/>
      <c r="BR43" s="13"/>
      <c r="BT43" s="13"/>
      <c r="BU43" s="13"/>
    </row>
    <row r="44" spans="1:76" x14ac:dyDescent="0.25">
      <c r="A44" s="48" t="s">
        <v>107</v>
      </c>
      <c r="D44" s="153"/>
      <c r="F44" s="153">
        <f t="shared" ref="F44:R44" si="1">(F43/D43)-1</f>
        <v>0.14797288930078212</v>
      </c>
      <c r="H44" s="153">
        <f t="shared" si="1"/>
        <v>0.12359744369598991</v>
      </c>
      <c r="J44" s="153">
        <f>(J43/H43)-1</f>
        <v>6.4469574222860482E-2</v>
      </c>
      <c r="K44" s="166"/>
      <c r="L44" s="153">
        <f t="shared" si="1"/>
        <v>9.2549601399908754E-2</v>
      </c>
      <c r="N44" s="153">
        <f t="shared" si="1"/>
        <v>9.771543790124726E-2</v>
      </c>
      <c r="P44" s="153">
        <f t="shared" si="1"/>
        <v>1.326236693800853E-2</v>
      </c>
      <c r="R44" s="153">
        <f t="shared" si="1"/>
        <v>8.5807413758679729E-2</v>
      </c>
      <c r="T44" s="153">
        <f>(T43/R43)-1</f>
        <v>0.13210202416218664</v>
      </c>
      <c r="V44" s="153">
        <f>(V43/T43)-1</f>
        <v>1.509505598811467E-2</v>
      </c>
      <c r="X44" s="153">
        <f>(X43/V43)-1</f>
        <v>4.3177679483662246E-2</v>
      </c>
      <c r="Z44" s="153">
        <f>(Z43/X43)-1</f>
        <v>9.456545203830502E-2</v>
      </c>
      <c r="AB44" s="167">
        <f>(AB43/Z43)-1</f>
        <v>8.9036412155065303E-2</v>
      </c>
      <c r="AD44" s="153">
        <f>(AD43/AB43)-1</f>
        <v>-1.1618072027105852E-2</v>
      </c>
      <c r="AF44" s="153">
        <f>(AF43/AD43)-1</f>
        <v>-2.2646456281765315E-2</v>
      </c>
      <c r="AH44" s="153">
        <f>(AH43/AF43)-1</f>
        <v>-4.5710677207799866E-2</v>
      </c>
      <c r="AJ44" s="153">
        <f>(AJ43/AH43)-1</f>
        <v>-0.10468603506608609</v>
      </c>
      <c r="AL44" s="153">
        <f>(AL43/AJ43)-1</f>
        <v>3.9049867203112987E-2</v>
      </c>
      <c r="AN44" s="153">
        <f>(AN43/AL43)-1</f>
        <v>6.5697381916709485E-2</v>
      </c>
      <c r="AP44" s="153">
        <f>(AP43/AN43)-1</f>
        <v>3.7017345744790875E-2</v>
      </c>
      <c r="AR44" s="153">
        <f>(AR43/AP43)-1</f>
        <v>-2.6399856532288712E-4</v>
      </c>
      <c r="AT44" s="153">
        <f>(AT43/AR43)-1</f>
        <v>-3.4962481196909256E-2</v>
      </c>
      <c r="AV44" s="153">
        <f>(AV43/AT43)-1</f>
        <v>2.6790003599230561E-2</v>
      </c>
      <c r="AX44" s="168">
        <f>(AX43/AV43)-1</f>
        <v>-6.0415766187126296E-2</v>
      </c>
      <c r="AZ44" s="153">
        <f>(AZ43/AX43)-1</f>
        <v>2.7412356764766832E-2</v>
      </c>
      <c r="BB44" s="153">
        <f>(BB43/AZ43)-1</f>
        <v>8.9969276540795562E-3</v>
      </c>
      <c r="BD44" s="153">
        <f>(BD43/BB43)-1</f>
        <v>4.1260889358229136E-2</v>
      </c>
      <c r="BF44" s="153">
        <f>(BF43/BD43)-1</f>
        <v>4.1287651169376272E-2</v>
      </c>
      <c r="BH44" s="169">
        <f>(BH43/BF43)-1</f>
        <v>-2.3013875330819666E-2</v>
      </c>
      <c r="BJ44" s="153">
        <f>(BJ43/BH43)-1</f>
        <v>-1.7824870196340825E-2</v>
      </c>
      <c r="BL44" s="170"/>
      <c r="BO44" s="13"/>
      <c r="BP44" s="13"/>
    </row>
    <row r="45" spans="1:76" x14ac:dyDescent="0.25">
      <c r="A45" s="48" t="s">
        <v>108</v>
      </c>
      <c r="E45" s="153"/>
      <c r="G45" s="153">
        <f>(G43/E43)-1</f>
        <v>0.12559066693234988</v>
      </c>
      <c r="I45" s="153">
        <f>(I43/G43)-1</f>
        <v>0.10144456685535386</v>
      </c>
      <c r="K45" s="153">
        <f>(K43/I43)-1</f>
        <v>4.3997617695404223E-2</v>
      </c>
      <c r="M45" s="153">
        <f>(M43/K43)-1</f>
        <v>7.3677285488454203E-2</v>
      </c>
      <c r="O45" s="153">
        <f>(O43/M43)-1</f>
        <v>8.2007013597055645E-2</v>
      </c>
      <c r="Q45" s="153">
        <f>(Q43/O43)-1</f>
        <v>3.2415482705716592E-4</v>
      </c>
      <c r="S45" s="153">
        <f>(S43/Q43)-1</f>
        <v>7.2522874264060233E-2</v>
      </c>
      <c r="U45" s="153">
        <f>(U43/S43)-1</f>
        <v>0.12062256809338523</v>
      </c>
      <c r="V45" s="153"/>
      <c r="W45" s="153">
        <f>(W43/U43)-1</f>
        <v>5.2279498482989961E-3</v>
      </c>
      <c r="X45" s="153"/>
      <c r="Y45" s="153">
        <f>(Y43/W43)-1</f>
        <v>3.2337968071526557E-2</v>
      </c>
      <c r="Z45" s="153"/>
      <c r="AA45" s="153">
        <f>(AA43/Y43)-1</f>
        <v>8.200865454975248E-2</v>
      </c>
      <c r="AB45" s="153"/>
      <c r="AC45" s="167">
        <f>(AC43/AA43)-1</f>
        <v>7.438973249915648E-2</v>
      </c>
      <c r="AD45" s="167"/>
      <c r="AE45" s="153">
        <f>(AE43/AC43)-1</f>
        <v>-2.7436714347254143E-2</v>
      </c>
      <c r="AF45" s="153"/>
      <c r="AG45" s="153">
        <f>(AG43/AE43)-1</f>
        <v>-3.698532224793416E-2</v>
      </c>
      <c r="AH45" s="153"/>
      <c r="AI45" s="153">
        <f>(AI43/AG43)-1</f>
        <v>-5.7190471871634618E-2</v>
      </c>
      <c r="AJ45" s="153"/>
      <c r="AK45" s="153">
        <f>(AK43/AI43)-1</f>
        <v>-0.11227403040957706</v>
      </c>
      <c r="AL45" s="153"/>
      <c r="AM45" s="153">
        <f>(AM43/AK43)-1</f>
        <v>3.530367719640104E-2</v>
      </c>
      <c r="AN45" s="153"/>
      <c r="AO45" s="153">
        <f>(AO43/AM43)-1</f>
        <v>6.0082450634519668E-2</v>
      </c>
      <c r="AP45" s="153"/>
      <c r="AQ45" s="153">
        <f>(AQ43/AO43)-1</f>
        <v>3.0429117602781997E-2</v>
      </c>
      <c r="AR45" s="153"/>
      <c r="AS45" s="153">
        <f>(AS43/AQ43)-1</f>
        <v>-9.7402597402597157E-3</v>
      </c>
      <c r="AT45" s="153"/>
      <c r="AU45" s="153">
        <f>(AU43/AS43)-1</f>
        <v>-4.5901639344262279E-2</v>
      </c>
      <c r="AV45" s="153"/>
      <c r="AW45" s="153">
        <f>(AW43/AU43)-1</f>
        <v>1.4135995325698314E-2</v>
      </c>
      <c r="AX45" s="153"/>
      <c r="AY45" s="153">
        <f>(AY43/AW43)-1</f>
        <v>-7.482294725216565E-2</v>
      </c>
      <c r="AZ45" s="153"/>
      <c r="BA45" s="153">
        <f>(BA43/AY43)-1</f>
        <v>1.1347796599468163E-2</v>
      </c>
      <c r="BB45" s="153"/>
      <c r="BC45" s="153">
        <f>(BC43/BA43)-1</f>
        <v>-4.0385247519107992E-3</v>
      </c>
      <c r="BD45" s="153"/>
      <c r="BE45" s="153">
        <f>(BE43/BC43)-1</f>
        <v>3.1158957870970339E-2</v>
      </c>
      <c r="BF45" s="153"/>
      <c r="BG45" s="153">
        <f>(BG43/BE43)-1</f>
        <v>3.3564704628676445E-2</v>
      </c>
      <c r="BH45" s="153"/>
      <c r="BI45" s="153">
        <f>(BI43/BG43)-1</f>
        <v>-2.2685283825389146E-2</v>
      </c>
      <c r="BJ45" s="153"/>
      <c r="BK45" s="153">
        <f>(BK43/BI43)-1</f>
        <v>-2.1318577678511419E-2</v>
      </c>
      <c r="BO45" s="171">
        <f>(BK43/C43)-1</f>
        <v>0.99697542319533894</v>
      </c>
    </row>
    <row r="46" spans="1:76" x14ac:dyDescent="0.25">
      <c r="A46" s="48" t="s">
        <v>139</v>
      </c>
      <c r="K46" s="152"/>
    </row>
    <row r="47" spans="1:76" x14ac:dyDescent="0.25">
      <c r="A47" s="48" t="s">
        <v>115</v>
      </c>
      <c r="K47" s="152"/>
      <c r="V47" s="13"/>
      <c r="W47" s="13"/>
      <c r="X47" s="13"/>
      <c r="Y47" s="13"/>
      <c r="Z47" s="13"/>
      <c r="AA47" s="13"/>
      <c r="AB47" s="13"/>
      <c r="AC47" s="13"/>
      <c r="AD47" s="13"/>
      <c r="AE47" s="13"/>
      <c r="AF47" s="13"/>
      <c r="AG47" s="13"/>
      <c r="AH47" s="13"/>
      <c r="AI47" s="13"/>
      <c r="AJ47" s="13"/>
      <c r="AK47" s="13"/>
      <c r="AL47" s="13"/>
      <c r="AM47" s="13"/>
      <c r="AN47" s="13"/>
      <c r="AO47" s="13"/>
      <c r="BO47" s="13">
        <f>SUM(BJ43-BH43)</f>
        <v>-43570.763999999966</v>
      </c>
      <c r="BP47" s="16" t="s">
        <v>156</v>
      </c>
    </row>
    <row r="48" spans="1:76" x14ac:dyDescent="0.25">
      <c r="K48" s="152"/>
      <c r="AP48" s="153"/>
      <c r="AR48" s="153"/>
      <c r="AT48" s="153"/>
      <c r="AV48" s="153"/>
      <c r="AZ48" s="153"/>
      <c r="BB48" s="153"/>
      <c r="BD48" s="153"/>
      <c r="BF48" s="153"/>
      <c r="BJ48" s="153"/>
      <c r="BO48" s="172">
        <f>(BO47/BH43)</f>
        <v>-1.7824870196340867E-2</v>
      </c>
    </row>
    <row r="49" spans="11:11" x14ac:dyDescent="0.25">
      <c r="K49" s="152"/>
    </row>
    <row r="50" spans="11:11" x14ac:dyDescent="0.25">
      <c r="K50" s="152"/>
    </row>
    <row r="51" spans="11:11" x14ac:dyDescent="0.25">
      <c r="K51" s="152"/>
    </row>
    <row r="52" spans="11:11" x14ac:dyDescent="0.25">
      <c r="K52" s="152"/>
    </row>
    <row r="53" spans="11:11" x14ac:dyDescent="0.25">
      <c r="K53" s="152"/>
    </row>
    <row r="54" spans="11:11" x14ac:dyDescent="0.25">
      <c r="K54" s="152"/>
    </row>
    <row r="55" spans="11:11" x14ac:dyDescent="0.25">
      <c r="K55" s="152"/>
    </row>
    <row r="56" spans="11:11" x14ac:dyDescent="0.25">
      <c r="K56" s="152"/>
    </row>
    <row r="57" spans="11:11" x14ac:dyDescent="0.25">
      <c r="K57" s="152"/>
    </row>
    <row r="58" spans="11:11" x14ac:dyDescent="0.25">
      <c r="K58" s="152"/>
    </row>
    <row r="59" spans="11:11" x14ac:dyDescent="0.25">
      <c r="K59" s="152"/>
    </row>
    <row r="60" spans="11:11" x14ac:dyDescent="0.25">
      <c r="K60" s="152"/>
    </row>
    <row r="61" spans="11:11" x14ac:dyDescent="0.25">
      <c r="K61" s="152"/>
    </row>
    <row r="62" spans="11:11" x14ac:dyDescent="0.25">
      <c r="K62" s="152"/>
    </row>
    <row r="63" spans="11:11" x14ac:dyDescent="0.25">
      <c r="K63" s="152"/>
    </row>
    <row r="64" spans="11:11" x14ac:dyDescent="0.25">
      <c r="K64" s="152"/>
    </row>
    <row r="65" spans="11:11" x14ac:dyDescent="0.25">
      <c r="K65" s="152"/>
    </row>
    <row r="66" spans="11:11" x14ac:dyDescent="0.25">
      <c r="K66" s="152"/>
    </row>
    <row r="67" spans="11:11" x14ac:dyDescent="0.25">
      <c r="K67" s="152"/>
    </row>
    <row r="68" spans="11:11" x14ac:dyDescent="0.25">
      <c r="K68" s="152"/>
    </row>
    <row r="69" spans="11:11" x14ac:dyDescent="0.25">
      <c r="K69" s="152"/>
    </row>
    <row r="70" spans="11:11" x14ac:dyDescent="0.25">
      <c r="K70" s="152"/>
    </row>
    <row r="71" spans="11:11" x14ac:dyDescent="0.25">
      <c r="K71" s="152"/>
    </row>
    <row r="72" spans="11:11" x14ac:dyDescent="0.25">
      <c r="K72" s="152"/>
    </row>
    <row r="73" spans="11:11" x14ac:dyDescent="0.25">
      <c r="K73" s="152"/>
    </row>
    <row r="74" spans="11:11" x14ac:dyDescent="0.25">
      <c r="K74" s="152"/>
    </row>
    <row r="75" spans="11:11" x14ac:dyDescent="0.25">
      <c r="K75" s="152"/>
    </row>
    <row r="76" spans="11:11" x14ac:dyDescent="0.25">
      <c r="K76" s="152"/>
    </row>
    <row r="77" spans="11:11" x14ac:dyDescent="0.25">
      <c r="K77" s="152"/>
    </row>
    <row r="78" spans="11:11" x14ac:dyDescent="0.25">
      <c r="K78" s="152"/>
    </row>
    <row r="79" spans="11:11" x14ac:dyDescent="0.25">
      <c r="K79" s="152"/>
    </row>
    <row r="80" spans="11:11" x14ac:dyDescent="0.25">
      <c r="K80" s="152"/>
    </row>
    <row r="81" spans="11:11" x14ac:dyDescent="0.25">
      <c r="K81" s="152"/>
    </row>
    <row r="82" spans="11:11" x14ac:dyDescent="0.25">
      <c r="K82" s="152"/>
    </row>
    <row r="83" spans="11:11" x14ac:dyDescent="0.25">
      <c r="K83" s="152"/>
    </row>
    <row r="84" spans="11:11" x14ac:dyDescent="0.25">
      <c r="K84" s="152"/>
    </row>
    <row r="85" spans="11:11" x14ac:dyDescent="0.25">
      <c r="K85" s="152"/>
    </row>
    <row r="86" spans="11:11" x14ac:dyDescent="0.25">
      <c r="K86" s="152"/>
    </row>
    <row r="87" spans="11:11" x14ac:dyDescent="0.25">
      <c r="K87" s="152"/>
    </row>
    <row r="88" spans="11:11" x14ac:dyDescent="0.25">
      <c r="K88" s="152"/>
    </row>
    <row r="89" spans="11:11" x14ac:dyDescent="0.25">
      <c r="K89" s="152"/>
    </row>
    <row r="90" spans="11:11" x14ac:dyDescent="0.25">
      <c r="K90" s="152"/>
    </row>
    <row r="91" spans="11:11" x14ac:dyDescent="0.25">
      <c r="K91" s="152"/>
    </row>
    <row r="92" spans="11:11" x14ac:dyDescent="0.25">
      <c r="K92" s="152"/>
    </row>
    <row r="93" spans="11:11" x14ac:dyDescent="0.25">
      <c r="K93" s="152"/>
    </row>
    <row r="94" spans="11:11" x14ac:dyDescent="0.25">
      <c r="K94" s="152"/>
    </row>
    <row r="95" spans="11:11" x14ac:dyDescent="0.25">
      <c r="K95" s="152"/>
    </row>
    <row r="96" spans="11:11" x14ac:dyDescent="0.25">
      <c r="K96" s="152"/>
    </row>
    <row r="97" spans="11:11" x14ac:dyDescent="0.25">
      <c r="K97" s="152"/>
    </row>
    <row r="98" spans="11:11" x14ac:dyDescent="0.25">
      <c r="K98" s="152"/>
    </row>
    <row r="99" spans="11:11" x14ac:dyDescent="0.25">
      <c r="K99" s="152"/>
    </row>
    <row r="100" spans="11:11" x14ac:dyDescent="0.25">
      <c r="K100" s="152"/>
    </row>
    <row r="101" spans="11:11" x14ac:dyDescent="0.25">
      <c r="K101" s="152"/>
    </row>
    <row r="102" spans="11:11" x14ac:dyDescent="0.25">
      <c r="K102" s="152"/>
    </row>
    <row r="103" spans="11:11" x14ac:dyDescent="0.25">
      <c r="K103" s="152"/>
    </row>
    <row r="104" spans="11:11" x14ac:dyDescent="0.25">
      <c r="K104" s="152"/>
    </row>
    <row r="105" spans="11:11" x14ac:dyDescent="0.25">
      <c r="K105" s="152"/>
    </row>
    <row r="106" spans="11:11" x14ac:dyDescent="0.25">
      <c r="K106" s="152"/>
    </row>
    <row r="107" spans="11:11" x14ac:dyDescent="0.25">
      <c r="K107" s="152"/>
    </row>
    <row r="108" spans="11:11" x14ac:dyDescent="0.25">
      <c r="K108" s="152"/>
    </row>
    <row r="109" spans="11:11" x14ac:dyDescent="0.25">
      <c r="K109" s="152"/>
    </row>
    <row r="110" spans="11:11" x14ac:dyDescent="0.25">
      <c r="K110" s="152"/>
    </row>
    <row r="111" spans="11:11" x14ac:dyDescent="0.25">
      <c r="K111" s="152"/>
    </row>
    <row r="112" spans="11:11" x14ac:dyDescent="0.25">
      <c r="K112" s="152"/>
    </row>
    <row r="113" spans="11:11" x14ac:dyDescent="0.25">
      <c r="K113" s="152"/>
    </row>
    <row r="114" spans="11:11" x14ac:dyDescent="0.25">
      <c r="K114" s="152"/>
    </row>
    <row r="115" spans="11:11" x14ac:dyDescent="0.25">
      <c r="K115" s="152"/>
    </row>
    <row r="116" spans="11:11" x14ac:dyDescent="0.25">
      <c r="K116" s="152"/>
    </row>
    <row r="117" spans="11:11" x14ac:dyDescent="0.25">
      <c r="K117" s="152"/>
    </row>
    <row r="118" spans="11:11" x14ac:dyDescent="0.25">
      <c r="K118" s="152"/>
    </row>
    <row r="119" spans="11:11" x14ac:dyDescent="0.25">
      <c r="K119" s="152"/>
    </row>
    <row r="120" spans="11:11" x14ac:dyDescent="0.25">
      <c r="K120" s="152"/>
    </row>
    <row r="121" spans="11:11" x14ac:dyDescent="0.25">
      <c r="K121" s="152"/>
    </row>
    <row r="122" spans="11:11" x14ac:dyDescent="0.25">
      <c r="K122" s="152"/>
    </row>
    <row r="123" spans="11:11" x14ac:dyDescent="0.25">
      <c r="K123" s="152"/>
    </row>
    <row r="124" spans="11:11" x14ac:dyDescent="0.25">
      <c r="K124" s="152"/>
    </row>
    <row r="125" spans="11:11" x14ac:dyDescent="0.25">
      <c r="K125" s="152"/>
    </row>
    <row r="126" spans="11:11" x14ac:dyDescent="0.25">
      <c r="K126" s="152"/>
    </row>
    <row r="127" spans="11:11" x14ac:dyDescent="0.25">
      <c r="K127" s="152"/>
    </row>
    <row r="128" spans="11:11" x14ac:dyDescent="0.25">
      <c r="K128" s="152"/>
    </row>
    <row r="129" spans="11:11" x14ac:dyDescent="0.25">
      <c r="K129" s="152"/>
    </row>
    <row r="130" spans="11:11" x14ac:dyDescent="0.25">
      <c r="K130" s="152"/>
    </row>
    <row r="131" spans="11:11" x14ac:dyDescent="0.25">
      <c r="K131" s="152"/>
    </row>
    <row r="132" spans="11:11" x14ac:dyDescent="0.25">
      <c r="K132" s="152"/>
    </row>
    <row r="133" spans="11:11" x14ac:dyDescent="0.25">
      <c r="K133" s="152"/>
    </row>
    <row r="134" spans="11:11" x14ac:dyDescent="0.25">
      <c r="K134" s="152"/>
    </row>
    <row r="135" spans="11:11" x14ac:dyDescent="0.25">
      <c r="K135" s="152"/>
    </row>
    <row r="136" spans="11:11" x14ac:dyDescent="0.25">
      <c r="K136" s="152"/>
    </row>
    <row r="137" spans="11:11" x14ac:dyDescent="0.25">
      <c r="K137" s="152"/>
    </row>
    <row r="138" spans="11:11" x14ac:dyDescent="0.25">
      <c r="K138" s="152"/>
    </row>
    <row r="139" spans="11:11" x14ac:dyDescent="0.25">
      <c r="K139" s="152"/>
    </row>
    <row r="140" spans="11:11" x14ac:dyDescent="0.25">
      <c r="K140" s="152"/>
    </row>
    <row r="141" spans="11:11" x14ac:dyDescent="0.25">
      <c r="K141" s="152"/>
    </row>
    <row r="142" spans="11:11" x14ac:dyDescent="0.25">
      <c r="K142" s="152"/>
    </row>
    <row r="143" spans="11:11" x14ac:dyDescent="0.25">
      <c r="K143" s="152"/>
    </row>
    <row r="144" spans="11:11" x14ac:dyDescent="0.25">
      <c r="K144" s="152"/>
    </row>
    <row r="145" spans="11:11" x14ac:dyDescent="0.25">
      <c r="K145" s="152"/>
    </row>
    <row r="146" spans="11:11" x14ac:dyDescent="0.25">
      <c r="K146" s="152"/>
    </row>
    <row r="147" spans="11:11" x14ac:dyDescent="0.25">
      <c r="K147" s="152"/>
    </row>
    <row r="148" spans="11:11" x14ac:dyDescent="0.25">
      <c r="K148" s="152"/>
    </row>
    <row r="149" spans="11:11" x14ac:dyDescent="0.25">
      <c r="K149" s="152"/>
    </row>
    <row r="150" spans="11:11" x14ac:dyDescent="0.25">
      <c r="K150" s="152"/>
    </row>
    <row r="151" spans="11:11" x14ac:dyDescent="0.25">
      <c r="K151" s="152"/>
    </row>
    <row r="152" spans="11:11" x14ac:dyDescent="0.25">
      <c r="K152" s="152"/>
    </row>
    <row r="153" spans="11:11" x14ac:dyDescent="0.25">
      <c r="K153" s="152"/>
    </row>
    <row r="154" spans="11:11" x14ac:dyDescent="0.25">
      <c r="K154" s="152"/>
    </row>
    <row r="155" spans="11:11" x14ac:dyDescent="0.25">
      <c r="K155" s="152"/>
    </row>
    <row r="156" spans="11:11" x14ac:dyDescent="0.25">
      <c r="K156" s="152"/>
    </row>
    <row r="157" spans="11:11" x14ac:dyDescent="0.25">
      <c r="K157" s="152"/>
    </row>
    <row r="158" spans="11:11" x14ac:dyDescent="0.25">
      <c r="K158" s="152"/>
    </row>
    <row r="159" spans="11:11" x14ac:dyDescent="0.25">
      <c r="K159" s="152"/>
    </row>
    <row r="160" spans="11:11" x14ac:dyDescent="0.25">
      <c r="K160" s="152"/>
    </row>
    <row r="161" spans="11:11" x14ac:dyDescent="0.25">
      <c r="K161" s="152"/>
    </row>
    <row r="162" spans="11:11" x14ac:dyDescent="0.25">
      <c r="K162" s="152"/>
    </row>
    <row r="163" spans="11:11" x14ac:dyDescent="0.25">
      <c r="K163" s="152"/>
    </row>
    <row r="164" spans="11:11" x14ac:dyDescent="0.25">
      <c r="K164" s="152"/>
    </row>
    <row r="165" spans="11:11" x14ac:dyDescent="0.25">
      <c r="K165" s="152"/>
    </row>
    <row r="166" spans="11:11" x14ac:dyDescent="0.25">
      <c r="K166" s="152"/>
    </row>
    <row r="167" spans="11:11" x14ac:dyDescent="0.25">
      <c r="K167" s="152"/>
    </row>
    <row r="168" spans="11:11" x14ac:dyDescent="0.25">
      <c r="K168" s="152"/>
    </row>
    <row r="169" spans="11:11" x14ac:dyDescent="0.25">
      <c r="K169" s="152"/>
    </row>
    <row r="170" spans="11:11" x14ac:dyDescent="0.25">
      <c r="K170" s="152"/>
    </row>
    <row r="171" spans="11:11" x14ac:dyDescent="0.25">
      <c r="K171" s="152"/>
    </row>
    <row r="172" spans="11:11" x14ac:dyDescent="0.25">
      <c r="K172" s="152"/>
    </row>
    <row r="173" spans="11:11" x14ac:dyDescent="0.25">
      <c r="K173" s="152"/>
    </row>
    <row r="174" spans="11:11" x14ac:dyDescent="0.25">
      <c r="K174" s="152"/>
    </row>
    <row r="175" spans="11:11" x14ac:dyDescent="0.25">
      <c r="K175" s="152"/>
    </row>
    <row r="176" spans="11:11" x14ac:dyDescent="0.25">
      <c r="K176" s="152"/>
    </row>
    <row r="177" spans="11:11" x14ac:dyDescent="0.25">
      <c r="K177" s="152"/>
    </row>
    <row r="178" spans="11:11" x14ac:dyDescent="0.25">
      <c r="K178" s="152"/>
    </row>
    <row r="179" spans="11:11" x14ac:dyDescent="0.25">
      <c r="K179" s="152"/>
    </row>
    <row r="180" spans="11:11" x14ac:dyDescent="0.25">
      <c r="K180" s="152"/>
    </row>
    <row r="181" spans="11:11" x14ac:dyDescent="0.25">
      <c r="K181" s="152"/>
    </row>
    <row r="182" spans="11:11" x14ac:dyDescent="0.25">
      <c r="K182" s="152"/>
    </row>
    <row r="183" spans="11:11" x14ac:dyDescent="0.25">
      <c r="K183" s="152"/>
    </row>
    <row r="184" spans="11:11" x14ac:dyDescent="0.25">
      <c r="K184" s="152"/>
    </row>
    <row r="185" spans="11:11" x14ac:dyDescent="0.25">
      <c r="K185" s="152"/>
    </row>
    <row r="186" spans="11:11" x14ac:dyDescent="0.25">
      <c r="K186" s="152"/>
    </row>
    <row r="187" spans="11:11" x14ac:dyDescent="0.25">
      <c r="K187" s="152"/>
    </row>
    <row r="188" spans="11:11" x14ac:dyDescent="0.25">
      <c r="K188" s="152"/>
    </row>
    <row r="189" spans="11:11" x14ac:dyDescent="0.25">
      <c r="K189" s="152"/>
    </row>
    <row r="190" spans="11:11" x14ac:dyDescent="0.25">
      <c r="K190" s="152"/>
    </row>
    <row r="191" spans="11:11" x14ac:dyDescent="0.25">
      <c r="K191" s="152"/>
    </row>
    <row r="192" spans="11:11" x14ac:dyDescent="0.25">
      <c r="K192" s="152"/>
    </row>
    <row r="193" spans="11:11" x14ac:dyDescent="0.25">
      <c r="K193" s="152"/>
    </row>
    <row r="194" spans="11:11" x14ac:dyDescent="0.25">
      <c r="K194" s="152"/>
    </row>
    <row r="195" spans="11:11" x14ac:dyDescent="0.25">
      <c r="K195" s="152"/>
    </row>
    <row r="196" spans="11:11" x14ac:dyDescent="0.25">
      <c r="K196" s="152"/>
    </row>
    <row r="197" spans="11:11" x14ac:dyDescent="0.25">
      <c r="K197" s="152"/>
    </row>
    <row r="198" spans="11:11" x14ac:dyDescent="0.25">
      <c r="K198" s="152"/>
    </row>
    <row r="199" spans="11:11" x14ac:dyDescent="0.25">
      <c r="K199" s="152"/>
    </row>
    <row r="200" spans="11:11" x14ac:dyDescent="0.25">
      <c r="K200" s="152"/>
    </row>
    <row r="201" spans="11:11" x14ac:dyDescent="0.25">
      <c r="K201" s="152"/>
    </row>
    <row r="202" spans="11:11" x14ac:dyDescent="0.25">
      <c r="K202" s="152"/>
    </row>
    <row r="203" spans="11:11" x14ac:dyDescent="0.25">
      <c r="K203" s="152"/>
    </row>
    <row r="204" spans="11:11" x14ac:dyDescent="0.25">
      <c r="K204" s="152"/>
    </row>
    <row r="205" spans="11:11" x14ac:dyDescent="0.25">
      <c r="K205" s="152"/>
    </row>
    <row r="206" spans="11:11" x14ac:dyDescent="0.25">
      <c r="K206" s="152"/>
    </row>
    <row r="207" spans="11:11" x14ac:dyDescent="0.25">
      <c r="K207" s="152"/>
    </row>
    <row r="208" spans="11:11" x14ac:dyDescent="0.25">
      <c r="K208" s="152"/>
    </row>
    <row r="209" spans="11:11" x14ac:dyDescent="0.25">
      <c r="K209" s="152"/>
    </row>
    <row r="210" spans="11:11" x14ac:dyDescent="0.25">
      <c r="K210" s="152"/>
    </row>
    <row r="211" spans="11:11" x14ac:dyDescent="0.25">
      <c r="K211" s="152"/>
    </row>
    <row r="212" spans="11:11" x14ac:dyDescent="0.25">
      <c r="K212" s="152"/>
    </row>
    <row r="213" spans="11:11" x14ac:dyDescent="0.25">
      <c r="K213" s="152"/>
    </row>
    <row r="214" spans="11:11" x14ac:dyDescent="0.25">
      <c r="K214" s="152"/>
    </row>
    <row r="215" spans="11:11" x14ac:dyDescent="0.25">
      <c r="K215" s="152"/>
    </row>
    <row r="216" spans="11:11" x14ac:dyDescent="0.25">
      <c r="K216" s="152"/>
    </row>
    <row r="217" spans="11:11" x14ac:dyDescent="0.25">
      <c r="K217" s="152"/>
    </row>
    <row r="218" spans="11:11" x14ac:dyDescent="0.25">
      <c r="K218" s="152"/>
    </row>
    <row r="219" spans="11:11" x14ac:dyDescent="0.25">
      <c r="K219" s="152"/>
    </row>
    <row r="220" spans="11:11" x14ac:dyDescent="0.25">
      <c r="K220" s="152"/>
    </row>
    <row r="221" spans="11:11" x14ac:dyDescent="0.25">
      <c r="K221" s="152"/>
    </row>
    <row r="222" spans="11:11" x14ac:dyDescent="0.25">
      <c r="K222" s="152"/>
    </row>
    <row r="223" spans="11:11" x14ac:dyDescent="0.25">
      <c r="K223" s="152"/>
    </row>
    <row r="224" spans="11:11" x14ac:dyDescent="0.25">
      <c r="K224" s="152"/>
    </row>
    <row r="225" spans="11:11" x14ac:dyDescent="0.25">
      <c r="K225" s="152"/>
    </row>
    <row r="226" spans="11:11" x14ac:dyDescent="0.25">
      <c r="K226" s="152"/>
    </row>
    <row r="227" spans="11:11" x14ac:dyDescent="0.25">
      <c r="K227" s="152"/>
    </row>
    <row r="228" spans="11:11" x14ac:dyDescent="0.25">
      <c r="K228" s="152"/>
    </row>
    <row r="229" spans="11:11" x14ac:dyDescent="0.25">
      <c r="K229" s="152"/>
    </row>
    <row r="230" spans="11:11" x14ac:dyDescent="0.25">
      <c r="K230" s="152"/>
    </row>
    <row r="231" spans="11:11" x14ac:dyDescent="0.25">
      <c r="K231" s="152"/>
    </row>
    <row r="232" spans="11:11" x14ac:dyDescent="0.25">
      <c r="K232" s="152"/>
    </row>
    <row r="233" spans="11:11" x14ac:dyDescent="0.25">
      <c r="K233" s="152"/>
    </row>
    <row r="234" spans="11:11" x14ac:dyDescent="0.25">
      <c r="K234" s="152"/>
    </row>
    <row r="235" spans="11:11" x14ac:dyDescent="0.25">
      <c r="K235" s="152"/>
    </row>
    <row r="236" spans="11:11" x14ac:dyDescent="0.25">
      <c r="K236" s="152"/>
    </row>
    <row r="237" spans="11:11" x14ac:dyDescent="0.25">
      <c r="K237" s="152"/>
    </row>
    <row r="238" spans="11:11" x14ac:dyDescent="0.25">
      <c r="K238" s="152"/>
    </row>
    <row r="239" spans="11:11" x14ac:dyDescent="0.25">
      <c r="K239" s="152"/>
    </row>
    <row r="240" spans="11:11" x14ac:dyDescent="0.25">
      <c r="K240" s="152"/>
    </row>
    <row r="241" spans="11:11" x14ac:dyDescent="0.25">
      <c r="K241" s="152"/>
    </row>
    <row r="242" spans="11:11" x14ac:dyDescent="0.25">
      <c r="K242" s="152"/>
    </row>
    <row r="243" spans="11:11" x14ac:dyDescent="0.25">
      <c r="K243" s="152"/>
    </row>
    <row r="244" spans="11:11" x14ac:dyDescent="0.25">
      <c r="K244" s="152"/>
    </row>
    <row r="245" spans="11:11" x14ac:dyDescent="0.25">
      <c r="K245" s="152"/>
    </row>
    <row r="246" spans="11:11" x14ac:dyDescent="0.25">
      <c r="K246" s="152"/>
    </row>
    <row r="247" spans="11:11" x14ac:dyDescent="0.25">
      <c r="K247" s="152"/>
    </row>
    <row r="248" spans="11:11" x14ac:dyDescent="0.25">
      <c r="K248" s="152"/>
    </row>
    <row r="249" spans="11:11" x14ac:dyDescent="0.25">
      <c r="K249" s="152"/>
    </row>
    <row r="250" spans="11:11" x14ac:dyDescent="0.25">
      <c r="K250" s="152"/>
    </row>
    <row r="251" spans="11:11" x14ac:dyDescent="0.25">
      <c r="K251" s="152"/>
    </row>
    <row r="252" spans="11:11" x14ac:dyDescent="0.25">
      <c r="K252" s="152"/>
    </row>
    <row r="253" spans="11:11" x14ac:dyDescent="0.25">
      <c r="K253" s="152"/>
    </row>
    <row r="254" spans="11:11" x14ac:dyDescent="0.25">
      <c r="K254" s="152"/>
    </row>
    <row r="255" spans="11:11" x14ac:dyDescent="0.25">
      <c r="K255" s="152"/>
    </row>
    <row r="256" spans="11:11" x14ac:dyDescent="0.25">
      <c r="K256" s="152"/>
    </row>
    <row r="257" spans="11:11" x14ac:dyDescent="0.25">
      <c r="K257" s="152"/>
    </row>
    <row r="258" spans="11:11" x14ac:dyDescent="0.25">
      <c r="K258" s="152"/>
    </row>
    <row r="259" spans="11:11" x14ac:dyDescent="0.25">
      <c r="K259" s="152"/>
    </row>
    <row r="260" spans="11:11" x14ac:dyDescent="0.25">
      <c r="K260" s="152"/>
    </row>
    <row r="261" spans="11:11" x14ac:dyDescent="0.25">
      <c r="K261" s="152"/>
    </row>
    <row r="262" spans="11:11" x14ac:dyDescent="0.25">
      <c r="K262" s="152"/>
    </row>
    <row r="263" spans="11:11" x14ac:dyDescent="0.25">
      <c r="K263" s="152"/>
    </row>
    <row r="264" spans="11:11" x14ac:dyDescent="0.25">
      <c r="K264" s="152"/>
    </row>
    <row r="265" spans="11:11" x14ac:dyDescent="0.25">
      <c r="K265" s="152"/>
    </row>
    <row r="266" spans="11:11" x14ac:dyDescent="0.25">
      <c r="K266" s="152"/>
    </row>
    <row r="267" spans="11:11" x14ac:dyDescent="0.25">
      <c r="K267" s="152"/>
    </row>
    <row r="268" spans="11:11" x14ac:dyDescent="0.25">
      <c r="K268" s="152"/>
    </row>
    <row r="269" spans="11:11" x14ac:dyDescent="0.25">
      <c r="K269" s="152"/>
    </row>
    <row r="270" spans="11:11" x14ac:dyDescent="0.25">
      <c r="K270" s="152"/>
    </row>
    <row r="271" spans="11:11" x14ac:dyDescent="0.25">
      <c r="K271" s="152"/>
    </row>
    <row r="272" spans="11:11" x14ac:dyDescent="0.25">
      <c r="K272" s="152"/>
    </row>
    <row r="273" spans="11:11" x14ac:dyDescent="0.25">
      <c r="K273" s="152"/>
    </row>
    <row r="274" spans="11:11" x14ac:dyDescent="0.25">
      <c r="K274" s="152"/>
    </row>
    <row r="275" spans="11:11" x14ac:dyDescent="0.25">
      <c r="K275" s="152"/>
    </row>
    <row r="276" spans="11:11" x14ac:dyDescent="0.25">
      <c r="K276" s="152"/>
    </row>
    <row r="277" spans="11:11" x14ac:dyDescent="0.25">
      <c r="K277" s="152"/>
    </row>
    <row r="278" spans="11:11" x14ac:dyDescent="0.25">
      <c r="K278" s="152"/>
    </row>
    <row r="279" spans="11:11" x14ac:dyDescent="0.25">
      <c r="K279" s="152"/>
    </row>
    <row r="280" spans="11:11" x14ac:dyDescent="0.25">
      <c r="K280" s="152"/>
    </row>
    <row r="281" spans="11:11" x14ac:dyDescent="0.25">
      <c r="K281" s="152"/>
    </row>
    <row r="282" spans="11:11" x14ac:dyDescent="0.25">
      <c r="K282" s="152"/>
    </row>
    <row r="283" spans="11:11" x14ac:dyDescent="0.25">
      <c r="K283" s="152"/>
    </row>
    <row r="284" spans="11:11" x14ac:dyDescent="0.25">
      <c r="K284" s="152"/>
    </row>
    <row r="285" spans="11:11" x14ac:dyDescent="0.25">
      <c r="K285" s="152"/>
    </row>
    <row r="286" spans="11:11" x14ac:dyDescent="0.25">
      <c r="K286" s="152"/>
    </row>
    <row r="287" spans="11:11" x14ac:dyDescent="0.25">
      <c r="K287" s="152"/>
    </row>
    <row r="288" spans="11:11" x14ac:dyDescent="0.25">
      <c r="K288" s="152"/>
    </row>
    <row r="289" spans="11:11" x14ac:dyDescent="0.25">
      <c r="K289" s="152"/>
    </row>
    <row r="290" spans="11:11" x14ac:dyDescent="0.25">
      <c r="K290" s="152"/>
    </row>
    <row r="291" spans="11:11" x14ac:dyDescent="0.25">
      <c r="K291" s="152"/>
    </row>
    <row r="292" spans="11:11" x14ac:dyDescent="0.25">
      <c r="K292" s="152"/>
    </row>
    <row r="293" spans="11:11" x14ac:dyDescent="0.25">
      <c r="K293" s="152"/>
    </row>
    <row r="294" spans="11:11" x14ac:dyDescent="0.25">
      <c r="K294" s="152"/>
    </row>
    <row r="295" spans="11:11" x14ac:dyDescent="0.25">
      <c r="K295" s="152"/>
    </row>
    <row r="296" spans="11:11" x14ac:dyDescent="0.25">
      <c r="K296" s="152"/>
    </row>
    <row r="297" spans="11:11" x14ac:dyDescent="0.25">
      <c r="K297" s="152"/>
    </row>
    <row r="298" spans="11:11" x14ac:dyDescent="0.25">
      <c r="K298" s="152"/>
    </row>
    <row r="299" spans="11:11" x14ac:dyDescent="0.25">
      <c r="K299" s="152"/>
    </row>
    <row r="300" spans="11:11" x14ac:dyDescent="0.25">
      <c r="K300" s="152"/>
    </row>
    <row r="301" spans="11:11" x14ac:dyDescent="0.25">
      <c r="K301" s="152"/>
    </row>
    <row r="302" spans="11:11" x14ac:dyDescent="0.25">
      <c r="K302" s="152"/>
    </row>
    <row r="303" spans="11:11" x14ac:dyDescent="0.25">
      <c r="K303" s="152"/>
    </row>
    <row r="304" spans="11:11" x14ac:dyDescent="0.25">
      <c r="K304" s="152"/>
    </row>
    <row r="305" spans="11:11" x14ac:dyDescent="0.25">
      <c r="K305" s="152"/>
    </row>
    <row r="306" spans="11:11" x14ac:dyDescent="0.25">
      <c r="K306" s="152"/>
    </row>
    <row r="307" spans="11:11" x14ac:dyDescent="0.25">
      <c r="K307" s="152"/>
    </row>
    <row r="308" spans="11:11" x14ac:dyDescent="0.25">
      <c r="K308" s="152"/>
    </row>
    <row r="309" spans="11:11" x14ac:dyDescent="0.25">
      <c r="K309" s="152"/>
    </row>
    <row r="310" spans="11:11" x14ac:dyDescent="0.25">
      <c r="K310" s="152"/>
    </row>
    <row r="311" spans="11:11" x14ac:dyDescent="0.25">
      <c r="K311" s="152"/>
    </row>
    <row r="312" spans="11:11" x14ac:dyDescent="0.25">
      <c r="K312" s="152"/>
    </row>
    <row r="313" spans="11:11" x14ac:dyDescent="0.25">
      <c r="K313" s="152"/>
    </row>
    <row r="314" spans="11:11" x14ac:dyDescent="0.25">
      <c r="K314" s="152"/>
    </row>
    <row r="315" spans="11:11" x14ac:dyDescent="0.25">
      <c r="K315" s="152"/>
    </row>
    <row r="316" spans="11:11" x14ac:dyDescent="0.25">
      <c r="K316" s="152"/>
    </row>
    <row r="317" spans="11:11" x14ac:dyDescent="0.25">
      <c r="K317" s="152"/>
    </row>
    <row r="318" spans="11:11" x14ac:dyDescent="0.25">
      <c r="K318" s="152"/>
    </row>
    <row r="319" spans="11:11" x14ac:dyDescent="0.25">
      <c r="K319" s="152"/>
    </row>
    <row r="320" spans="11:11" x14ac:dyDescent="0.25">
      <c r="K320" s="152"/>
    </row>
    <row r="321" spans="11:11" x14ac:dyDescent="0.25">
      <c r="K321" s="152"/>
    </row>
    <row r="322" spans="11:11" x14ac:dyDescent="0.25">
      <c r="K322" s="152"/>
    </row>
    <row r="323" spans="11:11" x14ac:dyDescent="0.25">
      <c r="K323" s="152"/>
    </row>
    <row r="324" spans="11:11" x14ac:dyDescent="0.25">
      <c r="K324" s="152"/>
    </row>
    <row r="325" spans="11:11" x14ac:dyDescent="0.25">
      <c r="K325" s="152"/>
    </row>
    <row r="326" spans="11:11" x14ac:dyDescent="0.25">
      <c r="K326" s="152"/>
    </row>
    <row r="327" spans="11:11" x14ac:dyDescent="0.25">
      <c r="K327" s="152"/>
    </row>
    <row r="328" spans="11:11" x14ac:dyDescent="0.25">
      <c r="K328" s="152"/>
    </row>
    <row r="329" spans="11:11" x14ac:dyDescent="0.25">
      <c r="K329" s="152"/>
    </row>
    <row r="330" spans="11:11" x14ac:dyDescent="0.25">
      <c r="K330" s="152"/>
    </row>
    <row r="331" spans="11:11" x14ac:dyDescent="0.25">
      <c r="K331" s="152"/>
    </row>
    <row r="332" spans="11:11" x14ac:dyDescent="0.25">
      <c r="K332" s="152"/>
    </row>
    <row r="333" spans="11:11" x14ac:dyDescent="0.25">
      <c r="K333" s="152"/>
    </row>
    <row r="334" spans="11:11" x14ac:dyDescent="0.25">
      <c r="K334" s="152"/>
    </row>
    <row r="335" spans="11:11" x14ac:dyDescent="0.25">
      <c r="K335" s="152"/>
    </row>
    <row r="336" spans="11:11" x14ac:dyDescent="0.25">
      <c r="K336" s="152"/>
    </row>
    <row r="337" spans="11:11" x14ac:dyDescent="0.25">
      <c r="K337" s="152"/>
    </row>
    <row r="338" spans="11:11" x14ac:dyDescent="0.25">
      <c r="K338" s="152"/>
    </row>
    <row r="339" spans="11:11" x14ac:dyDescent="0.25">
      <c r="K339" s="152"/>
    </row>
    <row r="340" spans="11:11" x14ac:dyDescent="0.25">
      <c r="K340" s="152"/>
    </row>
    <row r="341" spans="11:11" x14ac:dyDescent="0.25">
      <c r="K341" s="152"/>
    </row>
    <row r="342" spans="11:11" x14ac:dyDescent="0.25">
      <c r="K342" s="152"/>
    </row>
    <row r="343" spans="11:11" x14ac:dyDescent="0.25">
      <c r="K343" s="152"/>
    </row>
    <row r="344" spans="11:11" x14ac:dyDescent="0.25">
      <c r="K344" s="152"/>
    </row>
    <row r="345" spans="11:11" x14ac:dyDescent="0.25">
      <c r="K345" s="152"/>
    </row>
    <row r="346" spans="11:11" x14ac:dyDescent="0.25">
      <c r="K346" s="152"/>
    </row>
    <row r="347" spans="11:11" x14ac:dyDescent="0.25">
      <c r="K347" s="152"/>
    </row>
    <row r="348" spans="11:11" x14ac:dyDescent="0.25">
      <c r="K348" s="152"/>
    </row>
    <row r="349" spans="11:11" x14ac:dyDescent="0.25">
      <c r="K349" s="152"/>
    </row>
    <row r="350" spans="11:11" x14ac:dyDescent="0.25">
      <c r="K350" s="152"/>
    </row>
    <row r="351" spans="11:11" x14ac:dyDescent="0.25">
      <c r="K351" s="152"/>
    </row>
    <row r="352" spans="11:11" x14ac:dyDescent="0.25">
      <c r="K352" s="152"/>
    </row>
    <row r="353" spans="11:11" x14ac:dyDescent="0.25">
      <c r="K353" s="152"/>
    </row>
    <row r="354" spans="11:11" x14ac:dyDescent="0.25">
      <c r="K354" s="152"/>
    </row>
    <row r="355" spans="11:11" x14ac:dyDescent="0.25">
      <c r="K355" s="152"/>
    </row>
    <row r="356" spans="11:11" x14ac:dyDescent="0.25">
      <c r="K356" s="152"/>
    </row>
    <row r="357" spans="11:11" x14ac:dyDescent="0.25">
      <c r="K357" s="152"/>
    </row>
    <row r="358" spans="11:11" x14ac:dyDescent="0.25">
      <c r="K358" s="152"/>
    </row>
    <row r="359" spans="11:11" x14ac:dyDescent="0.25">
      <c r="K359" s="152"/>
    </row>
    <row r="360" spans="11:11" x14ac:dyDescent="0.25">
      <c r="K360" s="152"/>
    </row>
    <row r="361" spans="11:11" x14ac:dyDescent="0.25">
      <c r="K361" s="152"/>
    </row>
    <row r="362" spans="11:11" x14ac:dyDescent="0.25">
      <c r="K362" s="152"/>
    </row>
    <row r="363" spans="11:11" x14ac:dyDescent="0.25">
      <c r="K363" s="152"/>
    </row>
    <row r="364" spans="11:11" x14ac:dyDescent="0.25">
      <c r="K364" s="152"/>
    </row>
    <row r="365" spans="11:11" x14ac:dyDescent="0.25">
      <c r="K365" s="152"/>
    </row>
    <row r="366" spans="11:11" x14ac:dyDescent="0.25">
      <c r="K366" s="152"/>
    </row>
    <row r="367" spans="11:11" x14ac:dyDescent="0.25">
      <c r="K367" s="152"/>
    </row>
    <row r="368" spans="11:11" x14ac:dyDescent="0.25">
      <c r="K368" s="152"/>
    </row>
    <row r="369" spans="11:11" x14ac:dyDescent="0.25">
      <c r="K369" s="152"/>
    </row>
    <row r="370" spans="11:11" x14ac:dyDescent="0.25">
      <c r="K370" s="152"/>
    </row>
    <row r="371" spans="11:11" x14ac:dyDescent="0.25">
      <c r="K371" s="152"/>
    </row>
    <row r="372" spans="11:11" x14ac:dyDescent="0.25">
      <c r="K372" s="152"/>
    </row>
    <row r="373" spans="11:11" x14ac:dyDescent="0.25">
      <c r="K373" s="152"/>
    </row>
    <row r="374" spans="11:11" x14ac:dyDescent="0.25">
      <c r="K374" s="152"/>
    </row>
    <row r="375" spans="11:11" x14ac:dyDescent="0.25">
      <c r="K375" s="152"/>
    </row>
    <row r="376" spans="11:11" x14ac:dyDescent="0.25">
      <c r="K376" s="152"/>
    </row>
    <row r="377" spans="11:11" x14ac:dyDescent="0.25">
      <c r="K377" s="152"/>
    </row>
    <row r="378" spans="11:11" x14ac:dyDescent="0.25">
      <c r="K378" s="152"/>
    </row>
    <row r="379" spans="11:11" x14ac:dyDescent="0.25">
      <c r="K379" s="152"/>
    </row>
    <row r="380" spans="11:11" x14ac:dyDescent="0.25">
      <c r="K380" s="152"/>
    </row>
    <row r="381" spans="11:11" x14ac:dyDescent="0.25">
      <c r="K381" s="152"/>
    </row>
    <row r="382" spans="11:11" x14ac:dyDescent="0.25">
      <c r="K382" s="152"/>
    </row>
    <row r="383" spans="11:11" x14ac:dyDescent="0.25">
      <c r="K383" s="152"/>
    </row>
    <row r="384" spans="11:11" x14ac:dyDescent="0.25">
      <c r="K384" s="152"/>
    </row>
    <row r="385" spans="11:11" x14ac:dyDescent="0.25">
      <c r="K385" s="152"/>
    </row>
    <row r="386" spans="11:11" x14ac:dyDescent="0.25">
      <c r="K386" s="152"/>
    </row>
    <row r="387" spans="11:11" x14ac:dyDescent="0.25">
      <c r="K387" s="152"/>
    </row>
    <row r="388" spans="11:11" x14ac:dyDescent="0.25">
      <c r="K388" s="152"/>
    </row>
    <row r="389" spans="11:11" x14ac:dyDescent="0.25">
      <c r="K389" s="152"/>
    </row>
    <row r="390" spans="11:11" x14ac:dyDescent="0.25">
      <c r="K390" s="152"/>
    </row>
    <row r="391" spans="11:11" x14ac:dyDescent="0.25">
      <c r="K391" s="152"/>
    </row>
    <row r="392" spans="11:11" x14ac:dyDescent="0.25">
      <c r="K392" s="152"/>
    </row>
    <row r="393" spans="11:11" x14ac:dyDescent="0.25">
      <c r="K393" s="152"/>
    </row>
    <row r="394" spans="11:11" x14ac:dyDescent="0.25">
      <c r="K394" s="152"/>
    </row>
    <row r="395" spans="11:11" x14ac:dyDescent="0.25">
      <c r="K395" s="152"/>
    </row>
    <row r="396" spans="11:11" x14ac:dyDescent="0.25">
      <c r="K396" s="152"/>
    </row>
    <row r="397" spans="11:11" x14ac:dyDescent="0.25">
      <c r="K397" s="152"/>
    </row>
    <row r="398" spans="11:11" x14ac:dyDescent="0.25">
      <c r="K398" s="152"/>
    </row>
    <row r="399" spans="11:11" x14ac:dyDescent="0.25">
      <c r="K399" s="152"/>
    </row>
    <row r="400" spans="11:11" x14ac:dyDescent="0.25">
      <c r="K400" s="152"/>
    </row>
    <row r="401" spans="11:11" x14ac:dyDescent="0.25">
      <c r="K401" s="152"/>
    </row>
    <row r="402" spans="11:11" x14ac:dyDescent="0.25">
      <c r="K402" s="152"/>
    </row>
    <row r="403" spans="11:11" x14ac:dyDescent="0.25">
      <c r="K403" s="152"/>
    </row>
    <row r="404" spans="11:11" x14ac:dyDescent="0.25">
      <c r="K404" s="152"/>
    </row>
    <row r="405" spans="11:11" x14ac:dyDescent="0.25">
      <c r="K405" s="152"/>
    </row>
    <row r="406" spans="11:11" x14ac:dyDescent="0.25">
      <c r="K406" s="152"/>
    </row>
    <row r="407" spans="11:11" x14ac:dyDescent="0.25">
      <c r="K407" s="152"/>
    </row>
    <row r="408" spans="11:11" x14ac:dyDescent="0.25">
      <c r="K408" s="152"/>
    </row>
    <row r="409" spans="11:11" x14ac:dyDescent="0.25">
      <c r="K409" s="152"/>
    </row>
    <row r="410" spans="11:11" x14ac:dyDescent="0.25">
      <c r="K410" s="152"/>
    </row>
    <row r="411" spans="11:11" x14ac:dyDescent="0.25">
      <c r="K411" s="152"/>
    </row>
    <row r="412" spans="11:11" x14ac:dyDescent="0.25">
      <c r="K412" s="152"/>
    </row>
    <row r="413" spans="11:11" x14ac:dyDescent="0.25">
      <c r="K413" s="152"/>
    </row>
    <row r="414" spans="11:11" x14ac:dyDescent="0.25">
      <c r="K414" s="152"/>
    </row>
    <row r="415" spans="11:11" x14ac:dyDescent="0.25">
      <c r="K415" s="152"/>
    </row>
    <row r="416" spans="11:11" x14ac:dyDescent="0.25">
      <c r="K416" s="152"/>
    </row>
    <row r="417" spans="11:11" x14ac:dyDescent="0.25">
      <c r="K417" s="152"/>
    </row>
    <row r="418" spans="11:11" x14ac:dyDescent="0.25">
      <c r="K418" s="152"/>
    </row>
    <row r="419" spans="11:11" x14ac:dyDescent="0.25">
      <c r="K419" s="152"/>
    </row>
    <row r="420" spans="11:11" x14ac:dyDescent="0.25">
      <c r="K420" s="152"/>
    </row>
    <row r="421" spans="11:11" x14ac:dyDescent="0.25">
      <c r="K421" s="152"/>
    </row>
    <row r="422" spans="11:11" x14ac:dyDescent="0.25">
      <c r="K422" s="152"/>
    </row>
    <row r="423" spans="11:11" x14ac:dyDescent="0.25">
      <c r="K423" s="152"/>
    </row>
    <row r="424" spans="11:11" x14ac:dyDescent="0.25">
      <c r="K424" s="152"/>
    </row>
    <row r="425" spans="11:11" x14ac:dyDescent="0.25">
      <c r="K425" s="152"/>
    </row>
    <row r="426" spans="11:11" x14ac:dyDescent="0.25">
      <c r="K426" s="152"/>
    </row>
    <row r="427" spans="11:11" x14ac:dyDescent="0.25">
      <c r="K427" s="152"/>
    </row>
    <row r="428" spans="11:11" x14ac:dyDescent="0.25">
      <c r="K428" s="152"/>
    </row>
    <row r="429" spans="11:11" x14ac:dyDescent="0.25">
      <c r="K429" s="152"/>
    </row>
    <row r="430" spans="11:11" x14ac:dyDescent="0.25">
      <c r="K430" s="152"/>
    </row>
    <row r="431" spans="11:11" x14ac:dyDescent="0.25">
      <c r="K431" s="152"/>
    </row>
    <row r="432" spans="11:11" x14ac:dyDescent="0.25">
      <c r="K432" s="152"/>
    </row>
    <row r="433" spans="11:11" x14ac:dyDescent="0.25">
      <c r="K433" s="152"/>
    </row>
    <row r="434" spans="11:11" x14ac:dyDescent="0.25">
      <c r="K434" s="152"/>
    </row>
    <row r="435" spans="11:11" x14ac:dyDescent="0.25">
      <c r="K435" s="152"/>
    </row>
    <row r="436" spans="11:11" x14ac:dyDescent="0.25">
      <c r="K436" s="152"/>
    </row>
    <row r="437" spans="11:11" x14ac:dyDescent="0.25">
      <c r="K437" s="152"/>
    </row>
    <row r="438" spans="11:11" x14ac:dyDescent="0.25">
      <c r="K438" s="152"/>
    </row>
    <row r="439" spans="11:11" x14ac:dyDescent="0.25">
      <c r="K439" s="152"/>
    </row>
    <row r="440" spans="11:11" x14ac:dyDescent="0.25">
      <c r="K440" s="152"/>
    </row>
    <row r="441" spans="11:11" x14ac:dyDescent="0.25">
      <c r="K441" s="152"/>
    </row>
    <row r="442" spans="11:11" x14ac:dyDescent="0.25">
      <c r="K442" s="152"/>
    </row>
    <row r="443" spans="11:11" x14ac:dyDescent="0.25">
      <c r="K443" s="152"/>
    </row>
    <row r="444" spans="11:11" x14ac:dyDescent="0.25">
      <c r="K444" s="152"/>
    </row>
    <row r="445" spans="11:11" x14ac:dyDescent="0.25">
      <c r="K445" s="152"/>
    </row>
    <row r="446" spans="11:11" x14ac:dyDescent="0.25">
      <c r="K446" s="152"/>
    </row>
    <row r="447" spans="11:11" x14ac:dyDescent="0.25">
      <c r="K447" s="152"/>
    </row>
    <row r="448" spans="11:11" x14ac:dyDescent="0.25">
      <c r="K448" s="152"/>
    </row>
    <row r="449" spans="11:11" x14ac:dyDescent="0.25">
      <c r="K449" s="152"/>
    </row>
    <row r="450" spans="11:11" x14ac:dyDescent="0.25">
      <c r="K450" s="152"/>
    </row>
    <row r="451" spans="11:11" x14ac:dyDescent="0.25">
      <c r="K451" s="152"/>
    </row>
    <row r="452" spans="11:11" x14ac:dyDescent="0.25">
      <c r="K452" s="152"/>
    </row>
    <row r="453" spans="11:11" x14ac:dyDescent="0.25">
      <c r="K453" s="152"/>
    </row>
    <row r="454" spans="11:11" x14ac:dyDescent="0.25">
      <c r="K454" s="152"/>
    </row>
    <row r="455" spans="11:11" x14ac:dyDescent="0.25">
      <c r="K455" s="152"/>
    </row>
    <row r="456" spans="11:11" x14ac:dyDescent="0.25">
      <c r="K456" s="152"/>
    </row>
    <row r="457" spans="11:11" x14ac:dyDescent="0.25">
      <c r="K457" s="152"/>
    </row>
    <row r="458" spans="11:11" x14ac:dyDescent="0.25">
      <c r="K458" s="152"/>
    </row>
    <row r="459" spans="11:11" x14ac:dyDescent="0.25">
      <c r="K459" s="152"/>
    </row>
    <row r="460" spans="11:11" x14ac:dyDescent="0.25">
      <c r="K460" s="152"/>
    </row>
    <row r="461" spans="11:11" x14ac:dyDescent="0.25">
      <c r="K461" s="152"/>
    </row>
    <row r="462" spans="11:11" x14ac:dyDescent="0.25">
      <c r="K462" s="152"/>
    </row>
    <row r="463" spans="11:11" x14ac:dyDescent="0.25">
      <c r="K463" s="152"/>
    </row>
    <row r="464" spans="11:11" x14ac:dyDescent="0.25">
      <c r="K464" s="152"/>
    </row>
    <row r="465" spans="11:11" x14ac:dyDescent="0.25">
      <c r="K465" s="152"/>
    </row>
    <row r="466" spans="11:11" x14ac:dyDescent="0.25">
      <c r="K466" s="152"/>
    </row>
    <row r="467" spans="11:11" x14ac:dyDescent="0.25">
      <c r="K467" s="152"/>
    </row>
    <row r="468" spans="11:11" x14ac:dyDescent="0.25">
      <c r="K468" s="152"/>
    </row>
    <row r="469" spans="11:11" x14ac:dyDescent="0.25">
      <c r="K469" s="152"/>
    </row>
    <row r="470" spans="11:11" x14ac:dyDescent="0.25">
      <c r="K470" s="152"/>
    </row>
    <row r="471" spans="11:11" x14ac:dyDescent="0.25">
      <c r="K471" s="152"/>
    </row>
    <row r="472" spans="11:11" x14ac:dyDescent="0.25">
      <c r="K472" s="152"/>
    </row>
    <row r="473" spans="11:11" x14ac:dyDescent="0.25">
      <c r="K473" s="152"/>
    </row>
    <row r="474" spans="11:11" x14ac:dyDescent="0.25">
      <c r="K474" s="152"/>
    </row>
    <row r="475" spans="11:11" x14ac:dyDescent="0.25">
      <c r="K475" s="152"/>
    </row>
    <row r="476" spans="11:11" x14ac:dyDescent="0.25">
      <c r="K476" s="152"/>
    </row>
    <row r="477" spans="11:11" x14ac:dyDescent="0.25">
      <c r="K477" s="152"/>
    </row>
    <row r="478" spans="11:11" x14ac:dyDescent="0.25">
      <c r="K478" s="152"/>
    </row>
    <row r="479" spans="11:11" x14ac:dyDescent="0.25">
      <c r="K479" s="152"/>
    </row>
    <row r="480" spans="11:11" x14ac:dyDescent="0.25">
      <c r="K480" s="152"/>
    </row>
    <row r="481" spans="11:11" x14ac:dyDescent="0.25">
      <c r="K481" s="152"/>
    </row>
    <row r="482" spans="11:11" x14ac:dyDescent="0.25">
      <c r="K482" s="152"/>
    </row>
    <row r="483" spans="11:11" x14ac:dyDescent="0.25">
      <c r="K483" s="152"/>
    </row>
    <row r="484" spans="11:11" x14ac:dyDescent="0.25">
      <c r="K484" s="152"/>
    </row>
    <row r="485" spans="11:11" x14ac:dyDescent="0.25">
      <c r="K485" s="152"/>
    </row>
    <row r="486" spans="11:11" x14ac:dyDescent="0.25">
      <c r="K486" s="152"/>
    </row>
    <row r="487" spans="11:11" x14ac:dyDescent="0.25">
      <c r="K487" s="152"/>
    </row>
    <row r="488" spans="11:11" x14ac:dyDescent="0.25">
      <c r="K488" s="152"/>
    </row>
    <row r="489" spans="11:11" x14ac:dyDescent="0.25">
      <c r="K489" s="152"/>
    </row>
    <row r="490" spans="11:11" x14ac:dyDescent="0.25">
      <c r="K490" s="152"/>
    </row>
    <row r="491" spans="11:11" x14ac:dyDescent="0.25">
      <c r="K491" s="152"/>
    </row>
    <row r="492" spans="11:11" x14ac:dyDescent="0.25">
      <c r="K492" s="152"/>
    </row>
    <row r="493" spans="11:11" x14ac:dyDescent="0.25">
      <c r="K493" s="152"/>
    </row>
    <row r="494" spans="11:11" x14ac:dyDescent="0.25">
      <c r="K494" s="152"/>
    </row>
    <row r="495" spans="11:11" x14ac:dyDescent="0.25">
      <c r="K495" s="152"/>
    </row>
    <row r="496" spans="11:11" x14ac:dyDescent="0.25">
      <c r="K496" s="152"/>
    </row>
    <row r="497" spans="11:11" x14ac:dyDescent="0.25">
      <c r="K497" s="152"/>
    </row>
    <row r="498" spans="11:11" x14ac:dyDescent="0.25">
      <c r="K498" s="152"/>
    </row>
    <row r="499" spans="11:11" x14ac:dyDescent="0.25">
      <c r="K499" s="152"/>
    </row>
    <row r="500" spans="11:11" x14ac:dyDescent="0.25">
      <c r="K500" s="152"/>
    </row>
    <row r="501" spans="11:11" x14ac:dyDescent="0.25">
      <c r="K501" s="152"/>
    </row>
    <row r="502" spans="11:11" x14ac:dyDescent="0.25">
      <c r="K502" s="152"/>
    </row>
    <row r="503" spans="11:11" x14ac:dyDescent="0.25">
      <c r="K503" s="152"/>
    </row>
    <row r="504" spans="11:11" x14ac:dyDescent="0.25">
      <c r="K504" s="152"/>
    </row>
    <row r="505" spans="11:11" x14ac:dyDescent="0.25">
      <c r="K505" s="152"/>
    </row>
    <row r="506" spans="11:11" x14ac:dyDescent="0.25">
      <c r="K506" s="152"/>
    </row>
    <row r="507" spans="11:11" x14ac:dyDescent="0.25">
      <c r="K507" s="152"/>
    </row>
    <row r="508" spans="11:11" x14ac:dyDescent="0.25">
      <c r="K508" s="152"/>
    </row>
    <row r="509" spans="11:11" x14ac:dyDescent="0.25">
      <c r="K509" s="152"/>
    </row>
    <row r="510" spans="11:11" x14ac:dyDescent="0.25">
      <c r="K510" s="152"/>
    </row>
    <row r="511" spans="11:11" x14ac:dyDescent="0.25">
      <c r="K511" s="152"/>
    </row>
    <row r="512" spans="11:11" x14ac:dyDescent="0.25">
      <c r="K512" s="152"/>
    </row>
    <row r="513" spans="11:11" x14ac:dyDescent="0.25">
      <c r="K513" s="152"/>
    </row>
    <row r="514" spans="11:11" x14ac:dyDescent="0.25">
      <c r="K514" s="152"/>
    </row>
    <row r="515" spans="11:11" x14ac:dyDescent="0.25">
      <c r="K515" s="152"/>
    </row>
    <row r="516" spans="11:11" x14ac:dyDescent="0.25">
      <c r="K516" s="152"/>
    </row>
    <row r="517" spans="11:11" x14ac:dyDescent="0.25">
      <c r="K517" s="152"/>
    </row>
    <row r="518" spans="11:11" x14ac:dyDescent="0.25">
      <c r="K518" s="152"/>
    </row>
    <row r="519" spans="11:11" x14ac:dyDescent="0.25">
      <c r="K519" s="152"/>
    </row>
    <row r="520" spans="11:11" x14ac:dyDescent="0.25">
      <c r="K520" s="152"/>
    </row>
    <row r="521" spans="11:11" x14ac:dyDescent="0.25">
      <c r="K521" s="152"/>
    </row>
    <row r="522" spans="11:11" x14ac:dyDescent="0.25">
      <c r="K522" s="152"/>
    </row>
    <row r="523" spans="11:11" x14ac:dyDescent="0.25">
      <c r="K523" s="152"/>
    </row>
    <row r="524" spans="11:11" x14ac:dyDescent="0.25">
      <c r="K524" s="152"/>
    </row>
    <row r="525" spans="11:11" x14ac:dyDescent="0.25">
      <c r="K525" s="152"/>
    </row>
    <row r="526" spans="11:11" x14ac:dyDescent="0.25">
      <c r="K526" s="152"/>
    </row>
    <row r="527" spans="11:11" x14ac:dyDescent="0.25">
      <c r="K527" s="152"/>
    </row>
    <row r="528" spans="11:11" x14ac:dyDescent="0.25">
      <c r="K528" s="152"/>
    </row>
    <row r="529" spans="11:11" x14ac:dyDescent="0.25">
      <c r="K529" s="152"/>
    </row>
    <row r="530" spans="11:11" x14ac:dyDescent="0.25">
      <c r="K530" s="152"/>
    </row>
    <row r="531" spans="11:11" x14ac:dyDescent="0.25">
      <c r="K531" s="152"/>
    </row>
    <row r="532" spans="11:11" x14ac:dyDescent="0.25">
      <c r="K532" s="152"/>
    </row>
    <row r="533" spans="11:11" x14ac:dyDescent="0.25">
      <c r="K533" s="152"/>
    </row>
    <row r="534" spans="11:11" x14ac:dyDescent="0.25">
      <c r="K534" s="152"/>
    </row>
    <row r="535" spans="11:11" x14ac:dyDescent="0.25">
      <c r="K535" s="152"/>
    </row>
    <row r="536" spans="11:11" x14ac:dyDescent="0.25">
      <c r="K536" s="152"/>
    </row>
    <row r="537" spans="11:11" x14ac:dyDescent="0.25">
      <c r="K537" s="152"/>
    </row>
    <row r="538" spans="11:11" x14ac:dyDescent="0.25">
      <c r="K538" s="152"/>
    </row>
    <row r="539" spans="11:11" x14ac:dyDescent="0.25">
      <c r="K539" s="152"/>
    </row>
    <row r="540" spans="11:11" x14ac:dyDescent="0.25">
      <c r="K540" s="152"/>
    </row>
    <row r="541" spans="11:11" x14ac:dyDescent="0.25">
      <c r="K541" s="152"/>
    </row>
    <row r="542" spans="11:11" x14ac:dyDescent="0.25">
      <c r="K542" s="152"/>
    </row>
    <row r="543" spans="11:11" x14ac:dyDescent="0.25">
      <c r="K543" s="152"/>
    </row>
    <row r="544" spans="11:11" x14ac:dyDescent="0.25">
      <c r="K544" s="152"/>
    </row>
    <row r="545" spans="11:11" x14ac:dyDescent="0.25">
      <c r="K545" s="152"/>
    </row>
    <row r="546" spans="11:11" x14ac:dyDescent="0.25">
      <c r="K546" s="152"/>
    </row>
    <row r="547" spans="11:11" x14ac:dyDescent="0.25">
      <c r="K547" s="152"/>
    </row>
    <row r="548" spans="11:11" x14ac:dyDescent="0.25">
      <c r="K548" s="152"/>
    </row>
    <row r="549" spans="11:11" x14ac:dyDescent="0.25">
      <c r="K549" s="152"/>
    </row>
    <row r="550" spans="11:11" x14ac:dyDescent="0.25">
      <c r="K550" s="152"/>
    </row>
    <row r="551" spans="11:11" x14ac:dyDescent="0.25">
      <c r="K551" s="152"/>
    </row>
    <row r="552" spans="11:11" x14ac:dyDescent="0.25">
      <c r="K552" s="152"/>
    </row>
    <row r="553" spans="11:11" x14ac:dyDescent="0.25">
      <c r="K553" s="152"/>
    </row>
    <row r="554" spans="11:11" x14ac:dyDescent="0.25">
      <c r="K554" s="152"/>
    </row>
    <row r="555" spans="11:11" x14ac:dyDescent="0.25">
      <c r="K555" s="152"/>
    </row>
    <row r="556" spans="11:11" x14ac:dyDescent="0.25">
      <c r="K556" s="152"/>
    </row>
    <row r="557" spans="11:11" x14ac:dyDescent="0.25">
      <c r="K557" s="152"/>
    </row>
    <row r="558" spans="11:11" x14ac:dyDescent="0.25">
      <c r="K558" s="152"/>
    </row>
    <row r="559" spans="11:11" x14ac:dyDescent="0.25">
      <c r="K559" s="152"/>
    </row>
    <row r="560" spans="11:11" x14ac:dyDescent="0.25">
      <c r="K560" s="152"/>
    </row>
    <row r="561" spans="11:11" x14ac:dyDescent="0.25">
      <c r="K561" s="152"/>
    </row>
    <row r="562" spans="11:11" x14ac:dyDescent="0.25">
      <c r="K562" s="152"/>
    </row>
    <row r="563" spans="11:11" x14ac:dyDescent="0.25">
      <c r="K563" s="152"/>
    </row>
    <row r="564" spans="11:11" x14ac:dyDescent="0.25">
      <c r="K564" s="152"/>
    </row>
    <row r="565" spans="11:11" x14ac:dyDescent="0.25">
      <c r="K565" s="152"/>
    </row>
    <row r="566" spans="11:11" x14ac:dyDescent="0.25">
      <c r="K566" s="152"/>
    </row>
    <row r="567" spans="11:11" x14ac:dyDescent="0.25">
      <c r="K567" s="152"/>
    </row>
    <row r="568" spans="11:11" x14ac:dyDescent="0.25">
      <c r="K568" s="152"/>
    </row>
    <row r="569" spans="11:11" x14ac:dyDescent="0.25">
      <c r="K569" s="152"/>
    </row>
    <row r="570" spans="11:11" x14ac:dyDescent="0.25">
      <c r="K570" s="152"/>
    </row>
    <row r="571" spans="11:11" x14ac:dyDescent="0.25">
      <c r="K571" s="152"/>
    </row>
    <row r="572" spans="11:11" x14ac:dyDescent="0.25">
      <c r="K572" s="152"/>
    </row>
    <row r="573" spans="11:11" x14ac:dyDescent="0.25">
      <c r="K573" s="152"/>
    </row>
    <row r="574" spans="11:11" x14ac:dyDescent="0.25">
      <c r="K574" s="152"/>
    </row>
    <row r="575" spans="11:11" x14ac:dyDescent="0.25">
      <c r="K575" s="152"/>
    </row>
    <row r="576" spans="11:11" x14ac:dyDescent="0.25">
      <c r="K576" s="152"/>
    </row>
    <row r="577" spans="11:11" x14ac:dyDescent="0.25">
      <c r="K577" s="152"/>
    </row>
    <row r="578" spans="11:11" x14ac:dyDescent="0.25">
      <c r="K578" s="152"/>
    </row>
    <row r="579" spans="11:11" x14ac:dyDescent="0.25">
      <c r="K579" s="152"/>
    </row>
    <row r="580" spans="11:11" x14ac:dyDescent="0.25">
      <c r="K580" s="152"/>
    </row>
    <row r="581" spans="11:11" x14ac:dyDescent="0.25">
      <c r="K581" s="152"/>
    </row>
    <row r="582" spans="11:11" x14ac:dyDescent="0.25">
      <c r="K582" s="152"/>
    </row>
    <row r="583" spans="11:11" x14ac:dyDescent="0.25">
      <c r="K583" s="152"/>
    </row>
    <row r="584" spans="11:11" x14ac:dyDescent="0.25">
      <c r="K584" s="152"/>
    </row>
    <row r="585" spans="11:11" x14ac:dyDescent="0.25">
      <c r="K585" s="152"/>
    </row>
    <row r="586" spans="11:11" x14ac:dyDescent="0.25">
      <c r="K586" s="152"/>
    </row>
    <row r="587" spans="11:11" x14ac:dyDescent="0.25">
      <c r="K587" s="152"/>
    </row>
    <row r="588" spans="11:11" x14ac:dyDescent="0.25">
      <c r="K588" s="152"/>
    </row>
    <row r="589" spans="11:11" x14ac:dyDescent="0.25">
      <c r="K589" s="152"/>
    </row>
    <row r="590" spans="11:11" x14ac:dyDescent="0.25">
      <c r="K590" s="152"/>
    </row>
    <row r="591" spans="11:11" x14ac:dyDescent="0.25">
      <c r="K591" s="152"/>
    </row>
    <row r="592" spans="11:11" x14ac:dyDescent="0.25">
      <c r="K592" s="152"/>
    </row>
    <row r="593" spans="11:11" x14ac:dyDescent="0.25">
      <c r="K593" s="152"/>
    </row>
    <row r="594" spans="11:11" x14ac:dyDescent="0.25">
      <c r="K594" s="152"/>
    </row>
    <row r="595" spans="11:11" x14ac:dyDescent="0.25">
      <c r="K595" s="152"/>
    </row>
    <row r="596" spans="11:11" x14ac:dyDescent="0.25">
      <c r="K596" s="152"/>
    </row>
    <row r="597" spans="11:11" x14ac:dyDescent="0.25">
      <c r="K597" s="152"/>
    </row>
    <row r="598" spans="11:11" x14ac:dyDescent="0.25">
      <c r="K598" s="152"/>
    </row>
    <row r="599" spans="11:11" x14ac:dyDescent="0.25">
      <c r="K599" s="152"/>
    </row>
    <row r="600" spans="11:11" x14ac:dyDescent="0.25">
      <c r="K600" s="152"/>
    </row>
    <row r="601" spans="11:11" x14ac:dyDescent="0.25">
      <c r="K601" s="152"/>
    </row>
    <row r="602" spans="11:11" x14ac:dyDescent="0.25">
      <c r="K602" s="152"/>
    </row>
    <row r="603" spans="11:11" x14ac:dyDescent="0.25">
      <c r="K603" s="152"/>
    </row>
    <row r="604" spans="11:11" x14ac:dyDescent="0.25">
      <c r="K604" s="152"/>
    </row>
    <row r="605" spans="11:11" x14ac:dyDescent="0.25">
      <c r="K605" s="152"/>
    </row>
    <row r="606" spans="11:11" x14ac:dyDescent="0.25">
      <c r="K606" s="152"/>
    </row>
    <row r="607" spans="11:11" x14ac:dyDescent="0.25">
      <c r="K607" s="152"/>
    </row>
    <row r="608" spans="11:11" x14ac:dyDescent="0.25">
      <c r="K608" s="152"/>
    </row>
    <row r="609" spans="11:11" x14ac:dyDescent="0.25">
      <c r="K609" s="152"/>
    </row>
    <row r="610" spans="11:11" x14ac:dyDescent="0.25">
      <c r="K610" s="152"/>
    </row>
    <row r="611" spans="11:11" x14ac:dyDescent="0.25">
      <c r="K611" s="152"/>
    </row>
    <row r="612" spans="11:11" x14ac:dyDescent="0.25">
      <c r="K612" s="152"/>
    </row>
    <row r="613" spans="11:11" x14ac:dyDescent="0.25">
      <c r="K613" s="152"/>
    </row>
    <row r="614" spans="11:11" x14ac:dyDescent="0.25">
      <c r="K614" s="152"/>
    </row>
    <row r="615" spans="11:11" x14ac:dyDescent="0.25">
      <c r="K615" s="152"/>
    </row>
    <row r="616" spans="11:11" x14ac:dyDescent="0.25">
      <c r="K616" s="152"/>
    </row>
    <row r="617" spans="11:11" x14ac:dyDescent="0.25">
      <c r="K617" s="152"/>
    </row>
    <row r="618" spans="11:11" x14ac:dyDescent="0.25">
      <c r="K618" s="152"/>
    </row>
    <row r="619" spans="11:11" x14ac:dyDescent="0.25">
      <c r="K619" s="152"/>
    </row>
    <row r="620" spans="11:11" x14ac:dyDescent="0.25">
      <c r="K620" s="152"/>
    </row>
    <row r="621" spans="11:11" x14ac:dyDescent="0.25">
      <c r="K621" s="152"/>
    </row>
    <row r="622" spans="11:11" x14ac:dyDescent="0.25">
      <c r="K622" s="152"/>
    </row>
    <row r="623" spans="11:11" x14ac:dyDescent="0.25">
      <c r="K623" s="152"/>
    </row>
    <row r="624" spans="11:11" x14ac:dyDescent="0.25">
      <c r="K624" s="152"/>
    </row>
    <row r="625" spans="11:11" x14ac:dyDescent="0.25">
      <c r="K625" s="152"/>
    </row>
    <row r="626" spans="11:11" x14ac:dyDescent="0.25">
      <c r="K626" s="152"/>
    </row>
    <row r="627" spans="11:11" x14ac:dyDescent="0.25">
      <c r="K627" s="152"/>
    </row>
    <row r="628" spans="11:11" x14ac:dyDescent="0.25">
      <c r="K628" s="152"/>
    </row>
    <row r="629" spans="11:11" x14ac:dyDescent="0.25">
      <c r="K629" s="152"/>
    </row>
    <row r="630" spans="11:11" x14ac:dyDescent="0.25">
      <c r="K630" s="152"/>
    </row>
    <row r="631" spans="11:11" x14ac:dyDescent="0.25">
      <c r="K631" s="152"/>
    </row>
    <row r="632" spans="11:11" x14ac:dyDescent="0.25">
      <c r="K632" s="152"/>
    </row>
    <row r="633" spans="11:11" x14ac:dyDescent="0.25">
      <c r="K633" s="152"/>
    </row>
    <row r="634" spans="11:11" x14ac:dyDescent="0.25">
      <c r="K634" s="152"/>
    </row>
    <row r="635" spans="11:11" x14ac:dyDescent="0.25">
      <c r="K635" s="152"/>
    </row>
    <row r="636" spans="11:11" x14ac:dyDescent="0.25">
      <c r="K636" s="152"/>
    </row>
    <row r="637" spans="11:11" x14ac:dyDescent="0.25">
      <c r="K637" s="152"/>
    </row>
    <row r="638" spans="11:11" x14ac:dyDescent="0.25">
      <c r="K638" s="152"/>
    </row>
    <row r="639" spans="11:11" x14ac:dyDescent="0.25">
      <c r="K639" s="152"/>
    </row>
    <row r="640" spans="11:11" x14ac:dyDescent="0.25">
      <c r="K640" s="152"/>
    </row>
    <row r="641" spans="11:11" x14ac:dyDescent="0.25">
      <c r="K641" s="152"/>
    </row>
    <row r="642" spans="11:11" x14ac:dyDescent="0.25">
      <c r="K642" s="152"/>
    </row>
    <row r="643" spans="11:11" x14ac:dyDescent="0.25">
      <c r="K643" s="152"/>
    </row>
    <row r="644" spans="11:11" x14ac:dyDescent="0.25">
      <c r="K644" s="152"/>
    </row>
    <row r="645" spans="11:11" x14ac:dyDescent="0.25">
      <c r="K645" s="152"/>
    </row>
    <row r="646" spans="11:11" x14ac:dyDescent="0.25">
      <c r="K646" s="152"/>
    </row>
    <row r="647" spans="11:11" x14ac:dyDescent="0.25">
      <c r="K647" s="152"/>
    </row>
    <row r="648" spans="11:11" x14ac:dyDescent="0.25">
      <c r="K648" s="152"/>
    </row>
    <row r="649" spans="11:11" x14ac:dyDescent="0.25">
      <c r="K649" s="152"/>
    </row>
    <row r="650" spans="11:11" x14ac:dyDescent="0.25">
      <c r="K650" s="152"/>
    </row>
    <row r="651" spans="11:11" x14ac:dyDescent="0.25">
      <c r="K651" s="152"/>
    </row>
    <row r="652" spans="11:11" x14ac:dyDescent="0.25">
      <c r="K652" s="152"/>
    </row>
    <row r="653" spans="11:11" x14ac:dyDescent="0.25">
      <c r="K653" s="152"/>
    </row>
    <row r="654" spans="11:11" x14ac:dyDescent="0.25">
      <c r="K654" s="152"/>
    </row>
    <row r="655" spans="11:11" x14ac:dyDescent="0.25">
      <c r="K655" s="152"/>
    </row>
    <row r="656" spans="11:11" x14ac:dyDescent="0.25">
      <c r="K656" s="152"/>
    </row>
    <row r="657" spans="11:11" x14ac:dyDescent="0.25">
      <c r="K657" s="152"/>
    </row>
    <row r="658" spans="11:11" x14ac:dyDescent="0.25">
      <c r="K658" s="152"/>
    </row>
    <row r="659" spans="11:11" x14ac:dyDescent="0.25">
      <c r="K659" s="152"/>
    </row>
    <row r="660" spans="11:11" x14ac:dyDescent="0.25">
      <c r="K660" s="152"/>
    </row>
    <row r="661" spans="11:11" x14ac:dyDescent="0.25">
      <c r="K661" s="152"/>
    </row>
    <row r="662" spans="11:11" x14ac:dyDescent="0.25">
      <c r="K662" s="152"/>
    </row>
    <row r="663" spans="11:11" x14ac:dyDescent="0.25">
      <c r="K663" s="152"/>
    </row>
    <row r="664" spans="11:11" x14ac:dyDescent="0.25">
      <c r="K664" s="152"/>
    </row>
    <row r="665" spans="11:11" x14ac:dyDescent="0.25">
      <c r="K665" s="152"/>
    </row>
    <row r="666" spans="11:11" x14ac:dyDescent="0.25">
      <c r="K666" s="152"/>
    </row>
    <row r="667" spans="11:11" x14ac:dyDescent="0.25">
      <c r="K667" s="152"/>
    </row>
    <row r="668" spans="11:11" x14ac:dyDescent="0.25">
      <c r="K668" s="152"/>
    </row>
    <row r="669" spans="11:11" x14ac:dyDescent="0.25">
      <c r="K669" s="152"/>
    </row>
    <row r="670" spans="11:11" x14ac:dyDescent="0.25">
      <c r="K670" s="152"/>
    </row>
    <row r="671" spans="11:11" x14ac:dyDescent="0.25">
      <c r="K671" s="152"/>
    </row>
    <row r="672" spans="11:11" x14ac:dyDescent="0.25">
      <c r="K672" s="152"/>
    </row>
    <row r="673" spans="11:11" x14ac:dyDescent="0.25">
      <c r="K673" s="152"/>
    </row>
    <row r="674" spans="11:11" x14ac:dyDescent="0.25">
      <c r="K674" s="152"/>
    </row>
    <row r="675" spans="11:11" x14ac:dyDescent="0.25">
      <c r="K675" s="152"/>
    </row>
    <row r="676" spans="11:11" x14ac:dyDescent="0.25">
      <c r="K676" s="152"/>
    </row>
    <row r="677" spans="11:11" x14ac:dyDescent="0.25">
      <c r="K677" s="152"/>
    </row>
    <row r="678" spans="11:11" x14ac:dyDescent="0.25">
      <c r="K678" s="152"/>
    </row>
    <row r="679" spans="11:11" x14ac:dyDescent="0.25">
      <c r="K679" s="152"/>
    </row>
    <row r="680" spans="11:11" x14ac:dyDescent="0.25">
      <c r="K680" s="152"/>
    </row>
    <row r="681" spans="11:11" x14ac:dyDescent="0.25">
      <c r="K681" s="152"/>
    </row>
    <row r="682" spans="11:11" x14ac:dyDescent="0.25">
      <c r="K682" s="152"/>
    </row>
    <row r="683" spans="11:11" x14ac:dyDescent="0.25">
      <c r="K683" s="152"/>
    </row>
    <row r="684" spans="11:11" x14ac:dyDescent="0.25">
      <c r="K684" s="152"/>
    </row>
    <row r="685" spans="11:11" x14ac:dyDescent="0.25">
      <c r="K685" s="152"/>
    </row>
    <row r="686" spans="11:11" x14ac:dyDescent="0.25">
      <c r="K686" s="152"/>
    </row>
    <row r="687" spans="11:11" x14ac:dyDescent="0.25">
      <c r="K687" s="152"/>
    </row>
    <row r="688" spans="11:11" x14ac:dyDescent="0.25">
      <c r="K688" s="152"/>
    </row>
    <row r="689" spans="11:11" x14ac:dyDescent="0.25">
      <c r="K689" s="152"/>
    </row>
    <row r="690" spans="11:11" x14ac:dyDescent="0.25">
      <c r="K690" s="152"/>
    </row>
    <row r="691" spans="11:11" x14ac:dyDescent="0.25">
      <c r="K691" s="152"/>
    </row>
    <row r="692" spans="11:11" x14ac:dyDescent="0.25">
      <c r="K692" s="152"/>
    </row>
    <row r="693" spans="11:11" x14ac:dyDescent="0.25">
      <c r="K693" s="152"/>
    </row>
    <row r="694" spans="11:11" x14ac:dyDescent="0.25">
      <c r="K694" s="152"/>
    </row>
    <row r="695" spans="11:11" x14ac:dyDescent="0.25">
      <c r="K695" s="152"/>
    </row>
    <row r="696" spans="11:11" x14ac:dyDescent="0.25">
      <c r="K696" s="152"/>
    </row>
    <row r="697" spans="11:11" x14ac:dyDescent="0.25">
      <c r="K697" s="152"/>
    </row>
    <row r="698" spans="11:11" x14ac:dyDescent="0.25">
      <c r="K698" s="152"/>
    </row>
    <row r="699" spans="11:11" x14ac:dyDescent="0.25">
      <c r="K699" s="152"/>
    </row>
    <row r="700" spans="11:11" x14ac:dyDescent="0.25">
      <c r="K700" s="152"/>
    </row>
    <row r="701" spans="11:11" x14ac:dyDescent="0.25">
      <c r="K701" s="152"/>
    </row>
    <row r="702" spans="11:11" x14ac:dyDescent="0.25">
      <c r="K702" s="152"/>
    </row>
    <row r="703" spans="11:11" x14ac:dyDescent="0.25">
      <c r="K703" s="152"/>
    </row>
    <row r="704" spans="11:11" x14ac:dyDescent="0.25">
      <c r="K704" s="152"/>
    </row>
    <row r="705" spans="11:11" x14ac:dyDescent="0.25">
      <c r="K705" s="152"/>
    </row>
    <row r="706" spans="11:11" x14ac:dyDescent="0.25">
      <c r="K706" s="152"/>
    </row>
    <row r="707" spans="11:11" x14ac:dyDescent="0.25">
      <c r="K707" s="152"/>
    </row>
    <row r="708" spans="11:11" x14ac:dyDescent="0.25">
      <c r="K708" s="152"/>
    </row>
    <row r="709" spans="11:11" x14ac:dyDescent="0.25">
      <c r="K709" s="152"/>
    </row>
    <row r="710" spans="11:11" x14ac:dyDescent="0.25">
      <c r="K710" s="152"/>
    </row>
    <row r="711" spans="11:11" x14ac:dyDescent="0.25">
      <c r="K711" s="152"/>
    </row>
    <row r="712" spans="11:11" x14ac:dyDescent="0.25">
      <c r="K712" s="152"/>
    </row>
    <row r="713" spans="11:11" x14ac:dyDescent="0.25">
      <c r="K713" s="152"/>
    </row>
    <row r="714" spans="11:11" x14ac:dyDescent="0.25">
      <c r="K714" s="152"/>
    </row>
    <row r="715" spans="11:11" x14ac:dyDescent="0.25">
      <c r="K715" s="152"/>
    </row>
    <row r="716" spans="11:11" x14ac:dyDescent="0.25">
      <c r="K716" s="152"/>
    </row>
    <row r="717" spans="11:11" x14ac:dyDescent="0.25">
      <c r="K717" s="152"/>
    </row>
    <row r="718" spans="11:11" x14ac:dyDescent="0.25">
      <c r="K718" s="152"/>
    </row>
    <row r="719" spans="11:11" x14ac:dyDescent="0.25">
      <c r="K719" s="152"/>
    </row>
    <row r="720" spans="11:11" x14ac:dyDescent="0.25">
      <c r="K720" s="152"/>
    </row>
    <row r="721" spans="11:11" x14ac:dyDescent="0.25">
      <c r="K721" s="152"/>
    </row>
    <row r="722" spans="11:11" x14ac:dyDescent="0.25">
      <c r="K722" s="152"/>
    </row>
    <row r="723" spans="11:11" x14ac:dyDescent="0.25">
      <c r="K723" s="152"/>
    </row>
    <row r="724" spans="11:11" x14ac:dyDescent="0.25">
      <c r="K724" s="152"/>
    </row>
    <row r="725" spans="11:11" x14ac:dyDescent="0.25">
      <c r="K725" s="152"/>
    </row>
    <row r="726" spans="11:11" x14ac:dyDescent="0.25">
      <c r="K726" s="152"/>
    </row>
    <row r="727" spans="11:11" x14ac:dyDescent="0.25">
      <c r="K727" s="152"/>
    </row>
    <row r="728" spans="11:11" x14ac:dyDescent="0.25">
      <c r="K728" s="152"/>
    </row>
    <row r="729" spans="11:11" x14ac:dyDescent="0.25">
      <c r="K729" s="152"/>
    </row>
    <row r="730" spans="11:11" x14ac:dyDescent="0.25">
      <c r="K730" s="152"/>
    </row>
    <row r="731" spans="11:11" x14ac:dyDescent="0.25">
      <c r="K731" s="152"/>
    </row>
    <row r="732" spans="11:11" x14ac:dyDescent="0.25">
      <c r="K732" s="152"/>
    </row>
    <row r="733" spans="11:11" x14ac:dyDescent="0.25">
      <c r="K733" s="152"/>
    </row>
    <row r="734" spans="11:11" x14ac:dyDescent="0.25">
      <c r="K734" s="152"/>
    </row>
    <row r="735" spans="11:11" x14ac:dyDescent="0.25">
      <c r="K735" s="152"/>
    </row>
    <row r="736" spans="11:11" x14ac:dyDescent="0.25">
      <c r="K736" s="152"/>
    </row>
    <row r="737" spans="11:11" x14ac:dyDescent="0.25">
      <c r="K737" s="152"/>
    </row>
    <row r="738" spans="11:11" x14ac:dyDescent="0.25">
      <c r="K738" s="152"/>
    </row>
    <row r="739" spans="11:11" x14ac:dyDescent="0.25">
      <c r="K739" s="152"/>
    </row>
    <row r="740" spans="11:11" x14ac:dyDescent="0.25">
      <c r="K740" s="152"/>
    </row>
    <row r="741" spans="11:11" x14ac:dyDescent="0.25">
      <c r="K741" s="152"/>
    </row>
    <row r="742" spans="11:11" x14ac:dyDescent="0.25">
      <c r="K742" s="152"/>
    </row>
    <row r="743" spans="11:11" x14ac:dyDescent="0.25">
      <c r="K743" s="152"/>
    </row>
    <row r="744" spans="11:11" x14ac:dyDescent="0.25">
      <c r="K744" s="152"/>
    </row>
    <row r="745" spans="11:11" x14ac:dyDescent="0.25">
      <c r="K745" s="152"/>
    </row>
    <row r="746" spans="11:11" x14ac:dyDescent="0.25">
      <c r="K746" s="152"/>
    </row>
    <row r="747" spans="11:11" x14ac:dyDescent="0.25">
      <c r="K747" s="152"/>
    </row>
    <row r="748" spans="11:11" x14ac:dyDescent="0.25">
      <c r="K748" s="152"/>
    </row>
    <row r="749" spans="11:11" x14ac:dyDescent="0.25">
      <c r="K749" s="152"/>
    </row>
    <row r="750" spans="11:11" x14ac:dyDescent="0.25">
      <c r="K750" s="152"/>
    </row>
    <row r="751" spans="11:11" x14ac:dyDescent="0.25">
      <c r="K751" s="152"/>
    </row>
    <row r="752" spans="11:11" x14ac:dyDescent="0.25">
      <c r="K752" s="152"/>
    </row>
    <row r="753" spans="11:11" x14ac:dyDescent="0.25">
      <c r="K753" s="152"/>
    </row>
    <row r="754" spans="11:11" x14ac:dyDescent="0.25">
      <c r="K754" s="152"/>
    </row>
    <row r="755" spans="11:11" x14ac:dyDescent="0.25">
      <c r="K755" s="152"/>
    </row>
    <row r="756" spans="11:11" x14ac:dyDescent="0.25">
      <c r="K756" s="152"/>
    </row>
    <row r="757" spans="11:11" x14ac:dyDescent="0.25">
      <c r="K757" s="152"/>
    </row>
    <row r="758" spans="11:11" x14ac:dyDescent="0.25">
      <c r="K758" s="152"/>
    </row>
    <row r="759" spans="11:11" x14ac:dyDescent="0.25">
      <c r="K759" s="152"/>
    </row>
    <row r="760" spans="11:11" x14ac:dyDescent="0.25">
      <c r="K760" s="152"/>
    </row>
    <row r="761" spans="11:11" x14ac:dyDescent="0.25">
      <c r="K761" s="152"/>
    </row>
    <row r="762" spans="11:11" x14ac:dyDescent="0.25">
      <c r="K762" s="152"/>
    </row>
    <row r="763" spans="11:11" x14ac:dyDescent="0.25">
      <c r="K763" s="152"/>
    </row>
    <row r="764" spans="11:11" x14ac:dyDescent="0.25">
      <c r="K764" s="152"/>
    </row>
    <row r="765" spans="11:11" x14ac:dyDescent="0.25">
      <c r="K765" s="152"/>
    </row>
    <row r="766" spans="11:11" x14ac:dyDescent="0.25">
      <c r="K766" s="152"/>
    </row>
    <row r="767" spans="11:11" x14ac:dyDescent="0.25">
      <c r="K767" s="152"/>
    </row>
    <row r="768" spans="11:11" x14ac:dyDescent="0.25">
      <c r="K768" s="152"/>
    </row>
    <row r="769" spans="11:11" x14ac:dyDescent="0.25">
      <c r="K769" s="152"/>
    </row>
    <row r="770" spans="11:11" x14ac:dyDescent="0.25">
      <c r="K770" s="152"/>
    </row>
    <row r="771" spans="11:11" x14ac:dyDescent="0.25">
      <c r="K771" s="152"/>
    </row>
    <row r="772" spans="11:11" x14ac:dyDescent="0.25">
      <c r="K772" s="152"/>
    </row>
    <row r="773" spans="11:11" x14ac:dyDescent="0.25">
      <c r="K773" s="152"/>
    </row>
    <row r="774" spans="11:11" x14ac:dyDescent="0.25">
      <c r="K774" s="152"/>
    </row>
    <row r="775" spans="11:11" x14ac:dyDescent="0.25">
      <c r="K775" s="152"/>
    </row>
    <row r="776" spans="11:11" x14ac:dyDescent="0.25">
      <c r="K776" s="152"/>
    </row>
    <row r="777" spans="11:11" x14ac:dyDescent="0.25">
      <c r="K777" s="152"/>
    </row>
    <row r="778" spans="11:11" x14ac:dyDescent="0.25">
      <c r="K778" s="152"/>
    </row>
    <row r="779" spans="11:11" x14ac:dyDescent="0.25">
      <c r="K779" s="152"/>
    </row>
    <row r="780" spans="11:11" x14ac:dyDescent="0.25">
      <c r="K780" s="152"/>
    </row>
    <row r="781" spans="11:11" x14ac:dyDescent="0.25">
      <c r="K781" s="152"/>
    </row>
    <row r="782" spans="11:11" x14ac:dyDescent="0.25">
      <c r="K782" s="152"/>
    </row>
    <row r="783" spans="11:11" x14ac:dyDescent="0.25">
      <c r="K783" s="152"/>
    </row>
    <row r="784" spans="11:11" x14ac:dyDescent="0.25">
      <c r="K784" s="152"/>
    </row>
    <row r="785" spans="11:11" x14ac:dyDescent="0.25">
      <c r="K785" s="152"/>
    </row>
    <row r="786" spans="11:11" x14ac:dyDescent="0.25">
      <c r="K786" s="152"/>
    </row>
    <row r="787" spans="11:11" x14ac:dyDescent="0.25">
      <c r="K787" s="152"/>
    </row>
    <row r="788" spans="11:11" x14ac:dyDescent="0.25">
      <c r="K788" s="152"/>
    </row>
    <row r="789" spans="11:11" x14ac:dyDescent="0.25">
      <c r="K789" s="152"/>
    </row>
    <row r="790" spans="11:11" x14ac:dyDescent="0.25">
      <c r="K790" s="152"/>
    </row>
    <row r="791" spans="11:11" x14ac:dyDescent="0.25">
      <c r="K791" s="152"/>
    </row>
    <row r="792" spans="11:11" x14ac:dyDescent="0.25">
      <c r="K792" s="152"/>
    </row>
    <row r="793" spans="11:11" x14ac:dyDescent="0.25">
      <c r="K793" s="152"/>
    </row>
    <row r="794" spans="11:11" x14ac:dyDescent="0.25">
      <c r="K794" s="152"/>
    </row>
    <row r="795" spans="11:11" x14ac:dyDescent="0.25">
      <c r="K795" s="152"/>
    </row>
    <row r="796" spans="11:11" x14ac:dyDescent="0.25">
      <c r="K796" s="152"/>
    </row>
    <row r="797" spans="11:11" x14ac:dyDescent="0.25">
      <c r="K797" s="152"/>
    </row>
    <row r="798" spans="11:11" x14ac:dyDescent="0.25">
      <c r="K798" s="152"/>
    </row>
    <row r="799" spans="11:11" x14ac:dyDescent="0.25">
      <c r="K799" s="152"/>
    </row>
    <row r="800" spans="11:11" x14ac:dyDescent="0.25">
      <c r="K800" s="152"/>
    </row>
    <row r="801" spans="11:11" x14ac:dyDescent="0.25">
      <c r="K801" s="152"/>
    </row>
    <row r="802" spans="11:11" x14ac:dyDescent="0.25">
      <c r="K802" s="152"/>
    </row>
    <row r="803" spans="11:11" x14ac:dyDescent="0.25">
      <c r="K803" s="152"/>
    </row>
    <row r="804" spans="11:11" x14ac:dyDescent="0.25">
      <c r="K804" s="152"/>
    </row>
    <row r="805" spans="11:11" x14ac:dyDescent="0.25">
      <c r="K805" s="152"/>
    </row>
    <row r="806" spans="11:11" x14ac:dyDescent="0.25">
      <c r="K806" s="152"/>
    </row>
    <row r="807" spans="11:11" x14ac:dyDescent="0.25">
      <c r="K807" s="152"/>
    </row>
    <row r="808" spans="11:11" x14ac:dyDescent="0.25">
      <c r="K808" s="152"/>
    </row>
    <row r="809" spans="11:11" x14ac:dyDescent="0.25">
      <c r="K809" s="152"/>
    </row>
    <row r="810" spans="11:11" x14ac:dyDescent="0.25">
      <c r="K810" s="152"/>
    </row>
    <row r="811" spans="11:11" x14ac:dyDescent="0.25">
      <c r="K811" s="152"/>
    </row>
    <row r="812" spans="11:11" x14ac:dyDescent="0.25">
      <c r="K812" s="152"/>
    </row>
    <row r="813" spans="11:11" x14ac:dyDescent="0.25">
      <c r="K813" s="152"/>
    </row>
    <row r="814" spans="11:11" x14ac:dyDescent="0.25">
      <c r="K814" s="152"/>
    </row>
    <row r="815" spans="11:11" x14ac:dyDescent="0.25">
      <c r="K815" s="152"/>
    </row>
    <row r="816" spans="11:11" x14ac:dyDescent="0.25">
      <c r="K816" s="152"/>
    </row>
    <row r="817" spans="11:11" x14ac:dyDescent="0.25">
      <c r="K817" s="152"/>
    </row>
    <row r="818" spans="11:11" x14ac:dyDescent="0.25">
      <c r="K818" s="152"/>
    </row>
    <row r="819" spans="11:11" x14ac:dyDescent="0.25">
      <c r="K819" s="152"/>
    </row>
    <row r="820" spans="11:11" x14ac:dyDescent="0.25">
      <c r="K820" s="152"/>
    </row>
    <row r="821" spans="11:11" x14ac:dyDescent="0.25">
      <c r="K821" s="152"/>
    </row>
    <row r="822" spans="11:11" x14ac:dyDescent="0.25">
      <c r="K822" s="152"/>
    </row>
    <row r="823" spans="11:11" x14ac:dyDescent="0.25">
      <c r="K823" s="152"/>
    </row>
    <row r="824" spans="11:11" x14ac:dyDescent="0.25">
      <c r="K824" s="152"/>
    </row>
    <row r="825" spans="11:11" x14ac:dyDescent="0.25">
      <c r="K825" s="152"/>
    </row>
    <row r="826" spans="11:11" x14ac:dyDescent="0.25">
      <c r="K826" s="152"/>
    </row>
    <row r="827" spans="11:11" x14ac:dyDescent="0.25">
      <c r="K827" s="152"/>
    </row>
    <row r="828" spans="11:11" x14ac:dyDescent="0.25">
      <c r="K828" s="152"/>
    </row>
    <row r="829" spans="11:11" x14ac:dyDescent="0.25">
      <c r="K829" s="152"/>
    </row>
    <row r="830" spans="11:11" x14ac:dyDescent="0.25">
      <c r="K830" s="152"/>
    </row>
    <row r="831" spans="11:11" x14ac:dyDescent="0.25">
      <c r="K831" s="152"/>
    </row>
    <row r="832" spans="11:11" x14ac:dyDescent="0.25">
      <c r="K832" s="152"/>
    </row>
    <row r="833" spans="11:11" x14ac:dyDescent="0.25">
      <c r="K833" s="152"/>
    </row>
    <row r="834" spans="11:11" x14ac:dyDescent="0.25">
      <c r="K834" s="152"/>
    </row>
    <row r="835" spans="11:11" x14ac:dyDescent="0.25">
      <c r="K835" s="152"/>
    </row>
    <row r="836" spans="11:11" x14ac:dyDescent="0.25">
      <c r="K836" s="152"/>
    </row>
    <row r="837" spans="11:11" x14ac:dyDescent="0.25">
      <c r="K837" s="152"/>
    </row>
    <row r="838" spans="11:11" x14ac:dyDescent="0.25">
      <c r="K838" s="152"/>
    </row>
    <row r="839" spans="11:11" x14ac:dyDescent="0.25">
      <c r="K839" s="152"/>
    </row>
    <row r="840" spans="11:11" x14ac:dyDescent="0.25">
      <c r="K840" s="152"/>
    </row>
    <row r="841" spans="11:11" x14ac:dyDescent="0.25">
      <c r="K841" s="152"/>
    </row>
    <row r="842" spans="11:11" x14ac:dyDescent="0.25">
      <c r="K842" s="152"/>
    </row>
    <row r="843" spans="11:11" x14ac:dyDescent="0.25">
      <c r="K843" s="152"/>
    </row>
    <row r="844" spans="11:11" x14ac:dyDescent="0.25">
      <c r="K844" s="152"/>
    </row>
    <row r="845" spans="11:11" x14ac:dyDescent="0.25">
      <c r="K845" s="152"/>
    </row>
    <row r="846" spans="11:11" x14ac:dyDescent="0.25">
      <c r="K846" s="152"/>
    </row>
    <row r="847" spans="11:11" x14ac:dyDescent="0.25">
      <c r="K847" s="152"/>
    </row>
    <row r="848" spans="11:11" x14ac:dyDescent="0.25">
      <c r="K848" s="152"/>
    </row>
    <row r="849" spans="11:11" x14ac:dyDescent="0.25">
      <c r="K849" s="152"/>
    </row>
    <row r="850" spans="11:11" x14ac:dyDescent="0.25">
      <c r="K850" s="152"/>
    </row>
    <row r="851" spans="11:11" x14ac:dyDescent="0.25">
      <c r="K851" s="152"/>
    </row>
    <row r="852" spans="11:11" x14ac:dyDescent="0.25">
      <c r="K852" s="152"/>
    </row>
    <row r="853" spans="11:11" x14ac:dyDescent="0.25">
      <c r="K853" s="152"/>
    </row>
    <row r="854" spans="11:11" x14ac:dyDescent="0.25">
      <c r="K854" s="152"/>
    </row>
    <row r="855" spans="11:11" x14ac:dyDescent="0.25">
      <c r="K855" s="152"/>
    </row>
    <row r="856" spans="11:11" x14ac:dyDescent="0.25">
      <c r="K856" s="152"/>
    </row>
    <row r="857" spans="11:11" x14ac:dyDescent="0.25">
      <c r="K857" s="152"/>
    </row>
    <row r="858" spans="11:11" x14ac:dyDescent="0.25">
      <c r="K858" s="152"/>
    </row>
    <row r="859" spans="11:11" x14ac:dyDescent="0.25">
      <c r="K859" s="152"/>
    </row>
    <row r="860" spans="11:11" x14ac:dyDescent="0.25">
      <c r="K860" s="152"/>
    </row>
    <row r="861" spans="11:11" x14ac:dyDescent="0.25">
      <c r="K861" s="152"/>
    </row>
    <row r="862" spans="11:11" x14ac:dyDescent="0.25">
      <c r="K862" s="152"/>
    </row>
    <row r="863" spans="11:11" x14ac:dyDescent="0.25">
      <c r="K863" s="152"/>
    </row>
    <row r="864" spans="11:11" x14ac:dyDescent="0.25">
      <c r="K864" s="152"/>
    </row>
    <row r="865" spans="11:11" x14ac:dyDescent="0.25">
      <c r="K865" s="152"/>
    </row>
    <row r="866" spans="11:11" x14ac:dyDescent="0.25">
      <c r="K866" s="152"/>
    </row>
    <row r="867" spans="11:11" x14ac:dyDescent="0.25">
      <c r="K867" s="152"/>
    </row>
    <row r="868" spans="11:11" x14ac:dyDescent="0.25">
      <c r="K868" s="152"/>
    </row>
    <row r="869" spans="11:11" x14ac:dyDescent="0.25">
      <c r="K869" s="152"/>
    </row>
    <row r="870" spans="11:11" x14ac:dyDescent="0.25">
      <c r="K870" s="152"/>
    </row>
    <row r="871" spans="11:11" x14ac:dyDescent="0.25">
      <c r="K871" s="152"/>
    </row>
    <row r="872" spans="11:11" x14ac:dyDescent="0.25">
      <c r="K872" s="152"/>
    </row>
    <row r="873" spans="11:11" x14ac:dyDescent="0.25">
      <c r="K873" s="152"/>
    </row>
    <row r="874" spans="11:11" x14ac:dyDescent="0.25">
      <c r="K874" s="152"/>
    </row>
    <row r="875" spans="11:11" x14ac:dyDescent="0.25">
      <c r="K875" s="152"/>
    </row>
    <row r="876" spans="11:11" x14ac:dyDescent="0.25">
      <c r="K876" s="152"/>
    </row>
    <row r="877" spans="11:11" x14ac:dyDescent="0.25">
      <c r="K877" s="152"/>
    </row>
    <row r="878" spans="11:11" x14ac:dyDescent="0.25">
      <c r="K878" s="152"/>
    </row>
    <row r="879" spans="11:11" x14ac:dyDescent="0.25">
      <c r="K879" s="152"/>
    </row>
    <row r="880" spans="11:11" x14ac:dyDescent="0.25">
      <c r="K880" s="152"/>
    </row>
    <row r="881" spans="11:11" x14ac:dyDescent="0.25">
      <c r="K881" s="152"/>
    </row>
    <row r="882" spans="11:11" x14ac:dyDescent="0.25">
      <c r="K882" s="152"/>
    </row>
    <row r="883" spans="11:11" x14ac:dyDescent="0.25">
      <c r="K883" s="152"/>
    </row>
    <row r="884" spans="11:11" x14ac:dyDescent="0.25">
      <c r="K884" s="152"/>
    </row>
    <row r="885" spans="11:11" x14ac:dyDescent="0.25">
      <c r="K885" s="152"/>
    </row>
    <row r="886" spans="11:11" x14ac:dyDescent="0.25">
      <c r="K886" s="152"/>
    </row>
    <row r="887" spans="11:11" x14ac:dyDescent="0.25">
      <c r="K887" s="152"/>
    </row>
    <row r="888" spans="11:11" x14ac:dyDescent="0.25">
      <c r="K888" s="152"/>
    </row>
    <row r="889" spans="11:11" x14ac:dyDescent="0.25">
      <c r="K889" s="152"/>
    </row>
    <row r="890" spans="11:11" x14ac:dyDescent="0.25">
      <c r="K890" s="152"/>
    </row>
    <row r="891" spans="11:11" x14ac:dyDescent="0.25">
      <c r="K891" s="152"/>
    </row>
    <row r="892" spans="11:11" x14ac:dyDescent="0.25">
      <c r="K892" s="152"/>
    </row>
    <row r="893" spans="11:11" x14ac:dyDescent="0.25">
      <c r="K893" s="152"/>
    </row>
    <row r="894" spans="11:11" x14ac:dyDescent="0.25">
      <c r="K894" s="152"/>
    </row>
    <row r="895" spans="11:11" x14ac:dyDescent="0.25">
      <c r="K895" s="152"/>
    </row>
    <row r="896" spans="11:11" x14ac:dyDescent="0.25">
      <c r="K896" s="152"/>
    </row>
    <row r="897" spans="11:11" x14ac:dyDescent="0.25">
      <c r="K897" s="152"/>
    </row>
    <row r="898" spans="11:11" x14ac:dyDescent="0.25">
      <c r="K898" s="152"/>
    </row>
    <row r="899" spans="11:11" x14ac:dyDescent="0.25">
      <c r="K899" s="152"/>
    </row>
    <row r="900" spans="11:11" x14ac:dyDescent="0.25">
      <c r="K900" s="152"/>
    </row>
    <row r="901" spans="11:11" x14ac:dyDescent="0.25">
      <c r="K901" s="152"/>
    </row>
    <row r="902" spans="11:11" x14ac:dyDescent="0.25">
      <c r="K902" s="152"/>
    </row>
    <row r="903" spans="11:11" x14ac:dyDescent="0.25">
      <c r="K903" s="152"/>
    </row>
    <row r="904" spans="11:11" x14ac:dyDescent="0.25">
      <c r="K904" s="152"/>
    </row>
    <row r="905" spans="11:11" x14ac:dyDescent="0.25">
      <c r="K905" s="152"/>
    </row>
    <row r="906" spans="11:11" x14ac:dyDescent="0.25">
      <c r="K906" s="152"/>
    </row>
    <row r="907" spans="11:11" x14ac:dyDescent="0.25">
      <c r="K907" s="152"/>
    </row>
    <row r="908" spans="11:11" x14ac:dyDescent="0.25">
      <c r="K908" s="152"/>
    </row>
    <row r="909" spans="11:11" x14ac:dyDescent="0.25">
      <c r="K909" s="152"/>
    </row>
    <row r="910" spans="11:11" x14ac:dyDescent="0.25">
      <c r="K910" s="152"/>
    </row>
    <row r="911" spans="11:11" x14ac:dyDescent="0.25">
      <c r="K911" s="152"/>
    </row>
    <row r="912" spans="11:11" x14ac:dyDescent="0.25">
      <c r="K912" s="152"/>
    </row>
    <row r="913" spans="11:11" x14ac:dyDescent="0.25">
      <c r="K913" s="152"/>
    </row>
    <row r="914" spans="11:11" x14ac:dyDescent="0.25">
      <c r="K914" s="152"/>
    </row>
    <row r="915" spans="11:11" x14ac:dyDescent="0.25">
      <c r="K915" s="152"/>
    </row>
    <row r="916" spans="11:11" x14ac:dyDescent="0.25">
      <c r="K916" s="152"/>
    </row>
    <row r="917" spans="11:11" x14ac:dyDescent="0.25">
      <c r="K917" s="152"/>
    </row>
    <row r="918" spans="11:11" x14ac:dyDescent="0.25">
      <c r="K918" s="152"/>
    </row>
    <row r="919" spans="11:11" x14ac:dyDescent="0.25">
      <c r="K919" s="152"/>
    </row>
    <row r="920" spans="11:11" x14ac:dyDescent="0.25">
      <c r="K920" s="152"/>
    </row>
    <row r="921" spans="11:11" x14ac:dyDescent="0.25">
      <c r="K921" s="152"/>
    </row>
    <row r="922" spans="11:11" x14ac:dyDescent="0.25">
      <c r="K922" s="152"/>
    </row>
    <row r="923" spans="11:11" x14ac:dyDescent="0.25">
      <c r="K923" s="152"/>
    </row>
    <row r="924" spans="11:11" x14ac:dyDescent="0.25">
      <c r="K924" s="152"/>
    </row>
    <row r="925" spans="11:11" x14ac:dyDescent="0.25">
      <c r="K925" s="152"/>
    </row>
    <row r="926" spans="11:11" x14ac:dyDescent="0.25">
      <c r="K926" s="152"/>
    </row>
    <row r="927" spans="11:11" x14ac:dyDescent="0.25">
      <c r="K927" s="152"/>
    </row>
    <row r="928" spans="11:11" x14ac:dyDescent="0.25">
      <c r="K928" s="152"/>
    </row>
    <row r="929" spans="11:11" x14ac:dyDescent="0.25">
      <c r="K929" s="152"/>
    </row>
    <row r="930" spans="11:11" x14ac:dyDescent="0.25">
      <c r="K930" s="152"/>
    </row>
    <row r="931" spans="11:11" x14ac:dyDescent="0.25">
      <c r="K931" s="152"/>
    </row>
    <row r="932" spans="11:11" x14ac:dyDescent="0.25">
      <c r="K932" s="152"/>
    </row>
    <row r="933" spans="11:11" x14ac:dyDescent="0.25">
      <c r="K933" s="152"/>
    </row>
    <row r="934" spans="11:11" x14ac:dyDescent="0.25">
      <c r="K934" s="152"/>
    </row>
    <row r="935" spans="11:11" x14ac:dyDescent="0.25">
      <c r="K935" s="152"/>
    </row>
    <row r="936" spans="11:11" x14ac:dyDescent="0.25">
      <c r="K936" s="152"/>
    </row>
    <row r="937" spans="11:11" x14ac:dyDescent="0.25">
      <c r="K937" s="152"/>
    </row>
    <row r="938" spans="11:11" x14ac:dyDescent="0.25">
      <c r="K938" s="152"/>
    </row>
    <row r="939" spans="11:11" x14ac:dyDescent="0.25">
      <c r="K939" s="152"/>
    </row>
    <row r="940" spans="11:11" x14ac:dyDescent="0.25">
      <c r="K940" s="152"/>
    </row>
    <row r="941" spans="11:11" x14ac:dyDescent="0.25">
      <c r="K941" s="152"/>
    </row>
    <row r="942" spans="11:11" x14ac:dyDescent="0.25">
      <c r="K942" s="152"/>
    </row>
    <row r="943" spans="11:11" x14ac:dyDescent="0.25">
      <c r="K943" s="152"/>
    </row>
    <row r="944" spans="11:11" x14ac:dyDescent="0.25">
      <c r="K944" s="152"/>
    </row>
    <row r="945" spans="11:11" x14ac:dyDescent="0.25">
      <c r="K945" s="152"/>
    </row>
    <row r="946" spans="11:11" x14ac:dyDescent="0.25">
      <c r="K946" s="152"/>
    </row>
    <row r="947" spans="11:11" x14ac:dyDescent="0.25">
      <c r="K947" s="152"/>
    </row>
    <row r="948" spans="11:11" x14ac:dyDescent="0.25">
      <c r="K948" s="152"/>
    </row>
    <row r="949" spans="11:11" x14ac:dyDescent="0.25">
      <c r="K949" s="152"/>
    </row>
    <row r="950" spans="11:11" x14ac:dyDescent="0.25">
      <c r="K950" s="152"/>
    </row>
    <row r="951" spans="11:11" x14ac:dyDescent="0.25">
      <c r="K951" s="152"/>
    </row>
    <row r="952" spans="11:11" x14ac:dyDescent="0.25">
      <c r="K952" s="152"/>
    </row>
    <row r="953" spans="11:11" x14ac:dyDescent="0.25">
      <c r="K953" s="152"/>
    </row>
    <row r="954" spans="11:11" x14ac:dyDescent="0.25">
      <c r="K954" s="152"/>
    </row>
    <row r="955" spans="11:11" x14ac:dyDescent="0.25">
      <c r="K955" s="152"/>
    </row>
    <row r="956" spans="11:11" x14ac:dyDescent="0.25">
      <c r="K956" s="152"/>
    </row>
    <row r="957" spans="11:11" x14ac:dyDescent="0.25">
      <c r="K957" s="152"/>
    </row>
    <row r="958" spans="11:11" x14ac:dyDescent="0.25">
      <c r="K958" s="152"/>
    </row>
    <row r="959" spans="11:11" x14ac:dyDescent="0.25">
      <c r="K959" s="152"/>
    </row>
    <row r="960" spans="11:11" x14ac:dyDescent="0.25">
      <c r="K960" s="152"/>
    </row>
    <row r="961" spans="11:11" x14ac:dyDescent="0.25">
      <c r="K961" s="152"/>
    </row>
    <row r="962" spans="11:11" x14ac:dyDescent="0.25">
      <c r="K962" s="152"/>
    </row>
    <row r="963" spans="11:11" x14ac:dyDescent="0.25">
      <c r="K963" s="152"/>
    </row>
    <row r="964" spans="11:11" x14ac:dyDescent="0.25">
      <c r="K964" s="152"/>
    </row>
    <row r="965" spans="11:11" x14ac:dyDescent="0.25">
      <c r="K965" s="152"/>
    </row>
    <row r="966" spans="11:11" x14ac:dyDescent="0.25">
      <c r="K966" s="152"/>
    </row>
    <row r="967" spans="11:11" x14ac:dyDescent="0.25">
      <c r="K967" s="152"/>
    </row>
    <row r="968" spans="11:11" x14ac:dyDescent="0.25">
      <c r="K968" s="152"/>
    </row>
    <row r="969" spans="11:11" x14ac:dyDescent="0.25">
      <c r="K969" s="152"/>
    </row>
    <row r="970" spans="11:11" x14ac:dyDescent="0.25">
      <c r="K970" s="152"/>
    </row>
    <row r="971" spans="11:11" x14ac:dyDescent="0.25">
      <c r="K971" s="152"/>
    </row>
    <row r="972" spans="11:11" x14ac:dyDescent="0.25">
      <c r="K972" s="152"/>
    </row>
    <row r="973" spans="11:11" x14ac:dyDescent="0.25">
      <c r="K973" s="152"/>
    </row>
    <row r="974" spans="11:11" x14ac:dyDescent="0.25">
      <c r="K974" s="152"/>
    </row>
    <row r="975" spans="11:11" x14ac:dyDescent="0.25">
      <c r="K975" s="152"/>
    </row>
    <row r="976" spans="11:11" x14ac:dyDescent="0.25">
      <c r="K976" s="152"/>
    </row>
    <row r="977" spans="11:11" x14ac:dyDescent="0.25">
      <c r="K977" s="152"/>
    </row>
    <row r="978" spans="11:11" x14ac:dyDescent="0.25">
      <c r="K978" s="152"/>
    </row>
    <row r="979" spans="11:11" x14ac:dyDescent="0.25">
      <c r="K979" s="152"/>
    </row>
    <row r="980" spans="11:11" x14ac:dyDescent="0.25">
      <c r="K980" s="152"/>
    </row>
    <row r="981" spans="11:11" x14ac:dyDescent="0.25">
      <c r="K981" s="152"/>
    </row>
    <row r="982" spans="11:11" x14ac:dyDescent="0.25">
      <c r="K982" s="152"/>
    </row>
    <row r="983" spans="11:11" x14ac:dyDescent="0.25">
      <c r="K983" s="152"/>
    </row>
    <row r="984" spans="11:11" x14ac:dyDescent="0.25">
      <c r="K984" s="152"/>
    </row>
    <row r="985" spans="11:11" x14ac:dyDescent="0.25">
      <c r="K985" s="152"/>
    </row>
    <row r="986" spans="11:11" x14ac:dyDescent="0.25">
      <c r="K986" s="152"/>
    </row>
    <row r="987" spans="11:11" x14ac:dyDescent="0.25">
      <c r="K987" s="152"/>
    </row>
    <row r="988" spans="11:11" x14ac:dyDescent="0.25">
      <c r="K988" s="152"/>
    </row>
    <row r="989" spans="11:11" x14ac:dyDescent="0.25">
      <c r="K989" s="152"/>
    </row>
    <row r="990" spans="11:11" x14ac:dyDescent="0.25">
      <c r="K990" s="152"/>
    </row>
    <row r="991" spans="11:11" x14ac:dyDescent="0.25">
      <c r="K991" s="152"/>
    </row>
    <row r="992" spans="11:11" x14ac:dyDescent="0.25">
      <c r="K992" s="152"/>
    </row>
    <row r="993" spans="11:11" x14ac:dyDescent="0.25">
      <c r="K993" s="152"/>
    </row>
    <row r="994" spans="11:11" x14ac:dyDescent="0.25">
      <c r="K994" s="152"/>
    </row>
    <row r="995" spans="11:11" x14ac:dyDescent="0.25">
      <c r="K995" s="152"/>
    </row>
    <row r="996" spans="11:11" x14ac:dyDescent="0.25">
      <c r="K996" s="152"/>
    </row>
    <row r="997" spans="11:11" x14ac:dyDescent="0.25">
      <c r="K997" s="152"/>
    </row>
    <row r="998" spans="11:11" x14ac:dyDescent="0.25">
      <c r="K998" s="152"/>
    </row>
    <row r="999" spans="11:11" x14ac:dyDescent="0.25">
      <c r="K999" s="152"/>
    </row>
    <row r="1000" spans="11:11" x14ac:dyDescent="0.25">
      <c r="K1000" s="152"/>
    </row>
    <row r="1001" spans="11:11" x14ac:dyDescent="0.25">
      <c r="K1001" s="152"/>
    </row>
    <row r="1002" spans="11:11" x14ac:dyDescent="0.25">
      <c r="K1002" s="152"/>
    </row>
    <row r="1003" spans="11:11" x14ac:dyDescent="0.25">
      <c r="K1003" s="152"/>
    </row>
    <row r="1004" spans="11:11" x14ac:dyDescent="0.25">
      <c r="K1004" s="152"/>
    </row>
    <row r="1005" spans="11:11" x14ac:dyDescent="0.25">
      <c r="K1005" s="152"/>
    </row>
    <row r="1006" spans="11:11" x14ac:dyDescent="0.25">
      <c r="K1006" s="152"/>
    </row>
    <row r="1007" spans="11:11" x14ac:dyDescent="0.25">
      <c r="K1007" s="152"/>
    </row>
    <row r="1008" spans="11:11" x14ac:dyDescent="0.25">
      <c r="K1008" s="152"/>
    </row>
    <row r="1009" spans="11:11" x14ac:dyDescent="0.25">
      <c r="K1009" s="152"/>
    </row>
    <row r="1010" spans="11:11" x14ac:dyDescent="0.25">
      <c r="K1010" s="152"/>
    </row>
    <row r="1011" spans="11:11" x14ac:dyDescent="0.25">
      <c r="K1011" s="152"/>
    </row>
    <row r="1012" spans="11:11" x14ac:dyDescent="0.25">
      <c r="K1012" s="152"/>
    </row>
    <row r="1013" spans="11:11" x14ac:dyDescent="0.25">
      <c r="K1013" s="152"/>
    </row>
    <row r="1014" spans="11:11" x14ac:dyDescent="0.25">
      <c r="K1014" s="152"/>
    </row>
    <row r="1015" spans="11:11" x14ac:dyDescent="0.25">
      <c r="K1015" s="152"/>
    </row>
    <row r="1016" spans="11:11" x14ac:dyDescent="0.25">
      <c r="K1016" s="152"/>
    </row>
    <row r="1017" spans="11:11" x14ac:dyDescent="0.25">
      <c r="K1017" s="152"/>
    </row>
    <row r="1018" spans="11:11" x14ac:dyDescent="0.25">
      <c r="K1018" s="152"/>
    </row>
    <row r="1019" spans="11:11" x14ac:dyDescent="0.25">
      <c r="K1019" s="152"/>
    </row>
    <row r="1020" spans="11:11" x14ac:dyDescent="0.25">
      <c r="K1020" s="152"/>
    </row>
    <row r="1021" spans="11:11" x14ac:dyDescent="0.25">
      <c r="K1021" s="152"/>
    </row>
    <row r="1022" spans="11:11" x14ac:dyDescent="0.25">
      <c r="K1022" s="152"/>
    </row>
    <row r="1023" spans="11:11" x14ac:dyDescent="0.25">
      <c r="K1023" s="152"/>
    </row>
    <row r="1024" spans="11:11" x14ac:dyDescent="0.25">
      <c r="K1024" s="152"/>
    </row>
    <row r="1025" spans="11:11" x14ac:dyDescent="0.25">
      <c r="K1025" s="152"/>
    </row>
    <row r="1026" spans="11:11" x14ac:dyDescent="0.25">
      <c r="K1026" s="152"/>
    </row>
    <row r="1027" spans="11:11" x14ac:dyDescent="0.25">
      <c r="K1027" s="152"/>
    </row>
    <row r="1028" spans="11:11" x14ac:dyDescent="0.25">
      <c r="K1028" s="152"/>
    </row>
    <row r="1029" spans="11:11" x14ac:dyDescent="0.25">
      <c r="K1029" s="152"/>
    </row>
    <row r="1030" spans="11:11" x14ac:dyDescent="0.25">
      <c r="K1030" s="152"/>
    </row>
    <row r="1031" spans="11:11" x14ac:dyDescent="0.25">
      <c r="K1031" s="152"/>
    </row>
    <row r="1032" spans="11:11" x14ac:dyDescent="0.25">
      <c r="K1032" s="152"/>
    </row>
    <row r="1033" spans="11:11" x14ac:dyDescent="0.25">
      <c r="K1033" s="152"/>
    </row>
    <row r="1034" spans="11:11" x14ac:dyDescent="0.25">
      <c r="K1034" s="152"/>
    </row>
    <row r="1035" spans="11:11" x14ac:dyDescent="0.25">
      <c r="K1035" s="152"/>
    </row>
    <row r="1036" spans="11:11" x14ac:dyDescent="0.25">
      <c r="K1036" s="152"/>
    </row>
    <row r="1037" spans="11:11" x14ac:dyDescent="0.25">
      <c r="K1037" s="152"/>
    </row>
    <row r="1038" spans="11:11" x14ac:dyDescent="0.25">
      <c r="K1038" s="152"/>
    </row>
    <row r="1039" spans="11:11" x14ac:dyDescent="0.25">
      <c r="K1039" s="152"/>
    </row>
    <row r="1040" spans="11:11" x14ac:dyDescent="0.25">
      <c r="K1040" s="152"/>
    </row>
    <row r="1041" spans="11:11" x14ac:dyDescent="0.25">
      <c r="K1041" s="152"/>
    </row>
    <row r="1042" spans="11:11" x14ac:dyDescent="0.25">
      <c r="K1042" s="152"/>
    </row>
    <row r="1043" spans="11:11" x14ac:dyDescent="0.25">
      <c r="K1043" s="152"/>
    </row>
    <row r="1044" spans="11:11" x14ac:dyDescent="0.25">
      <c r="K1044" s="152"/>
    </row>
    <row r="1045" spans="11:11" x14ac:dyDescent="0.25">
      <c r="K1045" s="152"/>
    </row>
    <row r="1046" spans="11:11" x14ac:dyDescent="0.25">
      <c r="K1046" s="152"/>
    </row>
    <row r="1047" spans="11:11" x14ac:dyDescent="0.25">
      <c r="K1047" s="152"/>
    </row>
    <row r="1048" spans="11:11" x14ac:dyDescent="0.25">
      <c r="K1048" s="152"/>
    </row>
    <row r="1049" spans="11:11" x14ac:dyDescent="0.25">
      <c r="K1049" s="152"/>
    </row>
    <row r="1050" spans="11:11" x14ac:dyDescent="0.25">
      <c r="K1050" s="152"/>
    </row>
    <row r="1051" spans="11:11" x14ac:dyDescent="0.25">
      <c r="K1051" s="152"/>
    </row>
    <row r="1052" spans="11:11" x14ac:dyDescent="0.25">
      <c r="K1052" s="152"/>
    </row>
    <row r="1053" spans="11:11" x14ac:dyDescent="0.25">
      <c r="K1053" s="152"/>
    </row>
    <row r="1054" spans="11:11" x14ac:dyDescent="0.25">
      <c r="K1054" s="152"/>
    </row>
    <row r="1055" spans="11:11" x14ac:dyDescent="0.25">
      <c r="K1055" s="152"/>
    </row>
    <row r="1056" spans="11:11" x14ac:dyDescent="0.25">
      <c r="K1056" s="152"/>
    </row>
    <row r="1057" spans="11:11" x14ac:dyDescent="0.25">
      <c r="K1057" s="152"/>
    </row>
    <row r="1058" spans="11:11" x14ac:dyDescent="0.25">
      <c r="K1058" s="152"/>
    </row>
    <row r="1059" spans="11:11" x14ac:dyDescent="0.25">
      <c r="K1059" s="152"/>
    </row>
    <row r="1060" spans="11:11" x14ac:dyDescent="0.25">
      <c r="K1060" s="152"/>
    </row>
    <row r="1061" spans="11:11" x14ac:dyDescent="0.25">
      <c r="K1061" s="152"/>
    </row>
    <row r="1062" spans="11:11" x14ac:dyDescent="0.25">
      <c r="K1062" s="152"/>
    </row>
    <row r="1063" spans="11:11" x14ac:dyDescent="0.25">
      <c r="K1063" s="152"/>
    </row>
    <row r="1064" spans="11:11" x14ac:dyDescent="0.25">
      <c r="K1064" s="152"/>
    </row>
    <row r="1065" spans="11:11" x14ac:dyDescent="0.25">
      <c r="K1065" s="152"/>
    </row>
    <row r="1066" spans="11:11" x14ac:dyDescent="0.25">
      <c r="K1066" s="152"/>
    </row>
    <row r="1067" spans="11:11" x14ac:dyDescent="0.25">
      <c r="K1067" s="152"/>
    </row>
    <row r="1068" spans="11:11" x14ac:dyDescent="0.25">
      <c r="K1068" s="152"/>
    </row>
    <row r="1069" spans="11:11" x14ac:dyDescent="0.25">
      <c r="K1069" s="152"/>
    </row>
    <row r="1070" spans="11:11" x14ac:dyDescent="0.25">
      <c r="K1070" s="152"/>
    </row>
    <row r="1071" spans="11:11" x14ac:dyDescent="0.25">
      <c r="K1071" s="152"/>
    </row>
    <row r="1072" spans="11:11" x14ac:dyDescent="0.25">
      <c r="K1072" s="152"/>
    </row>
    <row r="1073" spans="11:11" x14ac:dyDescent="0.25">
      <c r="K1073" s="152"/>
    </row>
    <row r="1074" spans="11:11" x14ac:dyDescent="0.25">
      <c r="K1074" s="152"/>
    </row>
    <row r="1075" spans="11:11" x14ac:dyDescent="0.25">
      <c r="K1075" s="152"/>
    </row>
    <row r="1076" spans="11:11" x14ac:dyDescent="0.25">
      <c r="K1076" s="152"/>
    </row>
    <row r="1077" spans="11:11" x14ac:dyDescent="0.25">
      <c r="K1077" s="152"/>
    </row>
    <row r="1078" spans="11:11" x14ac:dyDescent="0.25">
      <c r="K1078" s="152"/>
    </row>
    <row r="1079" spans="11:11" x14ac:dyDescent="0.25">
      <c r="K1079" s="152"/>
    </row>
    <row r="1080" spans="11:11" x14ac:dyDescent="0.25">
      <c r="K1080" s="152"/>
    </row>
    <row r="1081" spans="11:11" x14ac:dyDescent="0.25">
      <c r="K1081" s="152"/>
    </row>
    <row r="1082" spans="11:11" x14ac:dyDescent="0.25">
      <c r="K1082" s="152"/>
    </row>
    <row r="1083" spans="11:11" x14ac:dyDescent="0.25">
      <c r="K1083" s="152"/>
    </row>
    <row r="1084" spans="11:11" x14ac:dyDescent="0.25">
      <c r="K1084" s="152"/>
    </row>
    <row r="1085" spans="11:11" x14ac:dyDescent="0.25">
      <c r="K1085" s="152"/>
    </row>
    <row r="1086" spans="11:11" x14ac:dyDescent="0.25">
      <c r="K1086" s="152"/>
    </row>
    <row r="1087" spans="11:11" x14ac:dyDescent="0.25">
      <c r="K1087" s="152"/>
    </row>
    <row r="1088" spans="11:11" x14ac:dyDescent="0.25">
      <c r="K1088" s="152"/>
    </row>
    <row r="1089" spans="11:11" x14ac:dyDescent="0.25">
      <c r="K1089" s="152"/>
    </row>
    <row r="1090" spans="11:11" x14ac:dyDescent="0.25">
      <c r="K1090" s="152"/>
    </row>
    <row r="1091" spans="11:11" x14ac:dyDescent="0.25">
      <c r="K1091" s="152"/>
    </row>
    <row r="1092" spans="11:11" x14ac:dyDescent="0.25">
      <c r="K1092" s="152"/>
    </row>
    <row r="1093" spans="11:11" x14ac:dyDescent="0.25">
      <c r="K1093" s="152"/>
    </row>
    <row r="1094" spans="11:11" x14ac:dyDescent="0.25">
      <c r="K1094" s="152"/>
    </row>
    <row r="1095" spans="11:11" x14ac:dyDescent="0.25">
      <c r="K1095" s="152"/>
    </row>
    <row r="1096" spans="11:11" x14ac:dyDescent="0.25">
      <c r="K1096" s="152"/>
    </row>
    <row r="1097" spans="11:11" x14ac:dyDescent="0.25">
      <c r="K1097" s="152"/>
    </row>
    <row r="1098" spans="11:11" x14ac:dyDescent="0.25">
      <c r="K1098" s="152"/>
    </row>
    <row r="1099" spans="11:11" x14ac:dyDescent="0.25">
      <c r="K1099" s="152"/>
    </row>
    <row r="1100" spans="11:11" x14ac:dyDescent="0.25">
      <c r="K1100" s="152"/>
    </row>
    <row r="1101" spans="11:11" x14ac:dyDescent="0.25">
      <c r="K1101" s="152"/>
    </row>
    <row r="1102" spans="11:11" x14ac:dyDescent="0.25">
      <c r="K1102" s="152"/>
    </row>
    <row r="1103" spans="11:11" x14ac:dyDescent="0.25">
      <c r="K1103" s="152"/>
    </row>
    <row r="1104" spans="11:11" x14ac:dyDescent="0.25">
      <c r="K1104" s="152"/>
    </row>
    <row r="1105" spans="11:11" x14ac:dyDescent="0.25">
      <c r="K1105" s="152"/>
    </row>
    <row r="1106" spans="11:11" x14ac:dyDescent="0.25">
      <c r="K1106" s="152"/>
    </row>
    <row r="1107" spans="11:11" x14ac:dyDescent="0.25">
      <c r="K1107" s="152"/>
    </row>
    <row r="1108" spans="11:11" x14ac:dyDescent="0.25">
      <c r="K1108" s="152"/>
    </row>
    <row r="1109" spans="11:11" x14ac:dyDescent="0.25">
      <c r="K1109" s="152"/>
    </row>
    <row r="1110" spans="11:11" x14ac:dyDescent="0.25">
      <c r="K1110" s="152"/>
    </row>
    <row r="1111" spans="11:11" x14ac:dyDescent="0.25">
      <c r="K1111" s="152"/>
    </row>
    <row r="1112" spans="11:11" x14ac:dyDescent="0.25">
      <c r="K1112" s="152"/>
    </row>
    <row r="1113" spans="11:11" x14ac:dyDescent="0.25">
      <c r="K1113" s="152"/>
    </row>
    <row r="1114" spans="11:11" x14ac:dyDescent="0.25">
      <c r="K1114" s="152"/>
    </row>
    <row r="1115" spans="11:11" x14ac:dyDescent="0.25">
      <c r="K1115" s="152"/>
    </row>
    <row r="1116" spans="11:11" x14ac:dyDescent="0.25">
      <c r="K1116" s="152"/>
    </row>
    <row r="1117" spans="11:11" x14ac:dyDescent="0.25">
      <c r="K1117" s="152"/>
    </row>
    <row r="1118" spans="11:11" x14ac:dyDescent="0.25">
      <c r="K1118" s="152"/>
    </row>
    <row r="1119" spans="11:11" x14ac:dyDescent="0.25">
      <c r="K1119" s="152"/>
    </row>
    <row r="1120" spans="11:11" x14ac:dyDescent="0.25">
      <c r="K1120" s="152"/>
    </row>
    <row r="1121" spans="11:11" x14ac:dyDescent="0.25">
      <c r="K1121" s="152"/>
    </row>
    <row r="1122" spans="11:11" x14ac:dyDescent="0.25">
      <c r="K1122" s="152"/>
    </row>
    <row r="1123" spans="11:11" x14ac:dyDescent="0.25">
      <c r="K1123" s="152"/>
    </row>
    <row r="1124" spans="11:11" x14ac:dyDescent="0.25">
      <c r="K1124" s="152"/>
    </row>
    <row r="1125" spans="11:11" x14ac:dyDescent="0.25">
      <c r="K1125" s="152"/>
    </row>
    <row r="1126" spans="11:11" x14ac:dyDescent="0.25">
      <c r="K1126" s="152"/>
    </row>
    <row r="1127" spans="11:11" x14ac:dyDescent="0.25">
      <c r="K1127" s="152"/>
    </row>
    <row r="1128" spans="11:11" x14ac:dyDescent="0.25">
      <c r="K1128" s="152"/>
    </row>
    <row r="1129" spans="11:11" x14ac:dyDescent="0.25">
      <c r="K1129" s="152"/>
    </row>
    <row r="1130" spans="11:11" x14ac:dyDescent="0.25">
      <c r="K1130" s="152"/>
    </row>
    <row r="1131" spans="11:11" x14ac:dyDescent="0.25">
      <c r="K1131" s="152"/>
    </row>
    <row r="1132" spans="11:11" x14ac:dyDescent="0.25">
      <c r="K1132" s="152"/>
    </row>
    <row r="1133" spans="11:11" x14ac:dyDescent="0.25">
      <c r="K1133" s="152"/>
    </row>
    <row r="1134" spans="11:11" x14ac:dyDescent="0.25">
      <c r="K1134" s="152"/>
    </row>
    <row r="1135" spans="11:11" x14ac:dyDescent="0.25">
      <c r="K1135" s="152"/>
    </row>
    <row r="1136" spans="11:11" x14ac:dyDescent="0.25">
      <c r="K1136" s="152"/>
    </row>
    <row r="1137" spans="11:11" x14ac:dyDescent="0.25">
      <c r="K1137" s="152"/>
    </row>
    <row r="1138" spans="11:11" x14ac:dyDescent="0.25">
      <c r="K1138" s="152"/>
    </row>
    <row r="1139" spans="11:11" x14ac:dyDescent="0.25">
      <c r="K1139" s="152"/>
    </row>
    <row r="1140" spans="11:11" x14ac:dyDescent="0.25">
      <c r="K1140" s="152"/>
    </row>
    <row r="1141" spans="11:11" x14ac:dyDescent="0.25">
      <c r="K1141" s="152"/>
    </row>
    <row r="1142" spans="11:11" x14ac:dyDescent="0.25">
      <c r="K1142" s="152"/>
    </row>
    <row r="1143" spans="11:11" x14ac:dyDescent="0.25">
      <c r="K1143" s="152"/>
    </row>
    <row r="1144" spans="11:11" x14ac:dyDescent="0.25">
      <c r="K1144" s="152"/>
    </row>
    <row r="1145" spans="11:11" x14ac:dyDescent="0.25">
      <c r="K1145" s="152"/>
    </row>
    <row r="1146" spans="11:11" x14ac:dyDescent="0.25">
      <c r="K1146" s="152"/>
    </row>
    <row r="1147" spans="11:11" x14ac:dyDescent="0.25">
      <c r="K1147" s="152"/>
    </row>
    <row r="1148" spans="11:11" x14ac:dyDescent="0.25">
      <c r="K1148" s="152"/>
    </row>
    <row r="1149" spans="11:11" x14ac:dyDescent="0.25">
      <c r="K1149" s="152"/>
    </row>
    <row r="1150" spans="11:11" x14ac:dyDescent="0.25">
      <c r="K1150" s="152"/>
    </row>
    <row r="1151" spans="11:11" x14ac:dyDescent="0.25">
      <c r="K1151" s="152"/>
    </row>
    <row r="1152" spans="11:11" x14ac:dyDescent="0.25">
      <c r="K1152" s="152"/>
    </row>
    <row r="1153" spans="11:11" x14ac:dyDescent="0.25">
      <c r="K1153" s="152"/>
    </row>
    <row r="1154" spans="11:11" x14ac:dyDescent="0.25">
      <c r="K1154" s="152"/>
    </row>
    <row r="1155" spans="11:11" x14ac:dyDescent="0.25">
      <c r="K1155" s="152"/>
    </row>
    <row r="1156" spans="11:11" x14ac:dyDescent="0.25">
      <c r="K1156" s="152"/>
    </row>
    <row r="1157" spans="11:11" x14ac:dyDescent="0.25">
      <c r="K1157" s="152"/>
    </row>
    <row r="1158" spans="11:11" x14ac:dyDescent="0.25">
      <c r="K1158" s="152"/>
    </row>
    <row r="1159" spans="11:11" x14ac:dyDescent="0.25">
      <c r="K1159" s="152"/>
    </row>
    <row r="1160" spans="11:11" x14ac:dyDescent="0.25">
      <c r="K1160" s="152"/>
    </row>
    <row r="1161" spans="11:11" x14ac:dyDescent="0.25">
      <c r="K1161" s="152"/>
    </row>
    <row r="1162" spans="11:11" x14ac:dyDescent="0.25">
      <c r="K1162" s="152"/>
    </row>
    <row r="1163" spans="11:11" x14ac:dyDescent="0.25">
      <c r="K1163" s="152"/>
    </row>
    <row r="1164" spans="11:11" x14ac:dyDescent="0.25">
      <c r="K1164" s="152"/>
    </row>
    <row r="1165" spans="11:11" x14ac:dyDescent="0.25">
      <c r="K1165" s="152"/>
    </row>
    <row r="1166" spans="11:11" x14ac:dyDescent="0.25">
      <c r="K1166" s="152"/>
    </row>
    <row r="1167" spans="11:11" x14ac:dyDescent="0.25">
      <c r="K1167" s="152"/>
    </row>
    <row r="1168" spans="11:11" x14ac:dyDescent="0.25">
      <c r="K1168" s="152"/>
    </row>
    <row r="1169" spans="11:11" x14ac:dyDescent="0.25">
      <c r="K1169" s="152"/>
    </row>
    <row r="1170" spans="11:11" x14ac:dyDescent="0.25">
      <c r="K1170" s="152"/>
    </row>
    <row r="1171" spans="11:11" x14ac:dyDescent="0.25">
      <c r="K1171" s="152"/>
    </row>
    <row r="1172" spans="11:11" x14ac:dyDescent="0.25">
      <c r="K1172" s="152"/>
    </row>
    <row r="1173" spans="11:11" x14ac:dyDescent="0.25">
      <c r="K1173" s="152"/>
    </row>
    <row r="1174" spans="11:11" x14ac:dyDescent="0.25">
      <c r="K1174" s="152"/>
    </row>
    <row r="1175" spans="11:11" x14ac:dyDescent="0.25">
      <c r="K1175" s="152"/>
    </row>
    <row r="1176" spans="11:11" x14ac:dyDescent="0.25">
      <c r="K1176" s="152"/>
    </row>
    <row r="1177" spans="11:11" x14ac:dyDescent="0.25">
      <c r="K1177" s="152"/>
    </row>
    <row r="1178" spans="11:11" x14ac:dyDescent="0.25">
      <c r="K1178" s="152"/>
    </row>
    <row r="1179" spans="11:11" x14ac:dyDescent="0.25">
      <c r="K1179" s="152"/>
    </row>
    <row r="1180" spans="11:11" x14ac:dyDescent="0.25">
      <c r="K1180" s="152"/>
    </row>
    <row r="1181" spans="11:11" x14ac:dyDescent="0.25">
      <c r="K1181" s="152"/>
    </row>
    <row r="1182" spans="11:11" x14ac:dyDescent="0.25">
      <c r="K1182" s="152"/>
    </row>
    <row r="1183" spans="11:11" x14ac:dyDescent="0.25">
      <c r="K1183" s="152"/>
    </row>
    <row r="1184" spans="11:11" x14ac:dyDescent="0.25">
      <c r="K1184" s="152"/>
    </row>
    <row r="1185" spans="11:11" x14ac:dyDescent="0.25">
      <c r="K1185" s="152"/>
    </row>
    <row r="1186" spans="11:11" x14ac:dyDescent="0.25">
      <c r="K1186" s="152"/>
    </row>
    <row r="1187" spans="11:11" x14ac:dyDescent="0.25">
      <c r="K1187" s="152"/>
    </row>
    <row r="1188" spans="11:11" x14ac:dyDescent="0.25">
      <c r="K1188" s="152"/>
    </row>
    <row r="1189" spans="11:11" x14ac:dyDescent="0.25">
      <c r="K1189" s="152"/>
    </row>
    <row r="1190" spans="11:11" x14ac:dyDescent="0.25">
      <c r="K1190" s="152"/>
    </row>
    <row r="1191" spans="11:11" x14ac:dyDescent="0.25">
      <c r="K1191" s="152"/>
    </row>
    <row r="1192" spans="11:11" x14ac:dyDescent="0.25">
      <c r="K1192" s="152"/>
    </row>
    <row r="1193" spans="11:11" x14ac:dyDescent="0.25">
      <c r="K1193" s="152"/>
    </row>
    <row r="1194" spans="11:11" x14ac:dyDescent="0.25">
      <c r="K1194" s="152"/>
    </row>
    <row r="1195" spans="11:11" x14ac:dyDescent="0.25">
      <c r="K1195" s="152"/>
    </row>
    <row r="1196" spans="11:11" x14ac:dyDescent="0.25">
      <c r="K1196" s="152"/>
    </row>
    <row r="1197" spans="11:11" x14ac:dyDescent="0.25">
      <c r="K1197" s="152"/>
    </row>
    <row r="1198" spans="11:11" x14ac:dyDescent="0.25">
      <c r="K1198" s="152"/>
    </row>
    <row r="1199" spans="11:11" x14ac:dyDescent="0.25">
      <c r="K1199" s="152"/>
    </row>
    <row r="1200" spans="11:11" x14ac:dyDescent="0.25">
      <c r="K1200" s="152"/>
    </row>
    <row r="1201" spans="11:11" x14ac:dyDescent="0.25">
      <c r="K1201" s="152"/>
    </row>
    <row r="1202" spans="11:11" x14ac:dyDescent="0.25">
      <c r="K1202" s="152"/>
    </row>
    <row r="1203" spans="11:11" x14ac:dyDescent="0.25">
      <c r="K1203" s="152"/>
    </row>
    <row r="1204" spans="11:11" x14ac:dyDescent="0.25">
      <c r="K1204" s="152"/>
    </row>
    <row r="1205" spans="11:11" x14ac:dyDescent="0.25">
      <c r="K1205" s="152"/>
    </row>
    <row r="1206" spans="11:11" x14ac:dyDescent="0.25">
      <c r="K1206" s="152"/>
    </row>
    <row r="1207" spans="11:11" x14ac:dyDescent="0.25">
      <c r="K1207" s="152"/>
    </row>
    <row r="1208" spans="11:11" x14ac:dyDescent="0.25">
      <c r="K1208" s="152"/>
    </row>
    <row r="1209" spans="11:11" x14ac:dyDescent="0.25">
      <c r="K1209" s="152"/>
    </row>
    <row r="1210" spans="11:11" x14ac:dyDescent="0.25">
      <c r="K1210" s="152"/>
    </row>
    <row r="1211" spans="11:11" x14ac:dyDescent="0.25">
      <c r="K1211" s="152"/>
    </row>
    <row r="1212" spans="11:11" x14ac:dyDescent="0.25">
      <c r="K1212" s="152"/>
    </row>
    <row r="1213" spans="11:11" x14ac:dyDescent="0.25">
      <c r="K1213" s="152"/>
    </row>
    <row r="1214" spans="11:11" x14ac:dyDescent="0.25">
      <c r="K1214" s="152"/>
    </row>
    <row r="1215" spans="11:11" x14ac:dyDescent="0.25">
      <c r="K1215" s="152"/>
    </row>
    <row r="1216" spans="11:11" x14ac:dyDescent="0.25">
      <c r="K1216" s="152"/>
    </row>
    <row r="1217" spans="11:11" x14ac:dyDescent="0.25">
      <c r="K1217" s="152"/>
    </row>
    <row r="1218" spans="11:11" x14ac:dyDescent="0.25">
      <c r="K1218" s="152"/>
    </row>
    <row r="1219" spans="11:11" x14ac:dyDescent="0.25">
      <c r="K1219" s="152"/>
    </row>
    <row r="1220" spans="11:11" x14ac:dyDescent="0.25">
      <c r="K1220" s="152"/>
    </row>
    <row r="1221" spans="11:11" x14ac:dyDescent="0.25">
      <c r="K1221" s="152"/>
    </row>
    <row r="1222" spans="11:11" x14ac:dyDescent="0.25">
      <c r="K1222" s="152"/>
    </row>
    <row r="1223" spans="11:11" x14ac:dyDescent="0.25">
      <c r="K1223" s="152"/>
    </row>
    <row r="1224" spans="11:11" x14ac:dyDescent="0.25">
      <c r="K1224" s="152"/>
    </row>
    <row r="1225" spans="11:11" x14ac:dyDescent="0.25">
      <c r="K1225" s="152"/>
    </row>
    <row r="1226" spans="11:11" x14ac:dyDescent="0.25">
      <c r="K1226" s="152"/>
    </row>
    <row r="1227" spans="11:11" x14ac:dyDescent="0.25">
      <c r="K1227" s="152"/>
    </row>
    <row r="1228" spans="11:11" x14ac:dyDescent="0.25">
      <c r="K1228" s="152"/>
    </row>
    <row r="1229" spans="11:11" x14ac:dyDescent="0.25">
      <c r="K1229" s="152"/>
    </row>
    <row r="1230" spans="11:11" x14ac:dyDescent="0.25">
      <c r="K1230" s="152"/>
    </row>
    <row r="1231" spans="11:11" x14ac:dyDescent="0.25">
      <c r="K1231" s="152"/>
    </row>
    <row r="1232" spans="11:11" x14ac:dyDescent="0.25">
      <c r="K1232" s="152"/>
    </row>
    <row r="1233" spans="11:11" x14ac:dyDescent="0.25">
      <c r="K1233" s="152"/>
    </row>
    <row r="1234" spans="11:11" x14ac:dyDescent="0.25">
      <c r="K1234" s="152"/>
    </row>
    <row r="1235" spans="11:11" x14ac:dyDescent="0.25">
      <c r="K1235" s="152"/>
    </row>
    <row r="1236" spans="11:11" x14ac:dyDescent="0.25">
      <c r="K1236" s="152"/>
    </row>
    <row r="1237" spans="11:11" x14ac:dyDescent="0.25">
      <c r="K1237" s="152"/>
    </row>
    <row r="1238" spans="11:11" x14ac:dyDescent="0.25">
      <c r="K1238" s="152"/>
    </row>
    <row r="1239" spans="11:11" x14ac:dyDescent="0.25">
      <c r="K1239" s="152"/>
    </row>
    <row r="1240" spans="11:11" x14ac:dyDescent="0.25">
      <c r="K1240" s="152"/>
    </row>
    <row r="1241" spans="11:11" x14ac:dyDescent="0.25">
      <c r="K1241" s="152"/>
    </row>
    <row r="1242" spans="11:11" x14ac:dyDescent="0.25">
      <c r="K1242" s="152"/>
    </row>
    <row r="1243" spans="11:11" x14ac:dyDescent="0.25">
      <c r="K1243" s="152"/>
    </row>
    <row r="1244" spans="11:11" x14ac:dyDescent="0.25">
      <c r="K1244" s="152"/>
    </row>
    <row r="1245" spans="11:11" x14ac:dyDescent="0.25">
      <c r="K1245" s="152"/>
    </row>
    <row r="1246" spans="11:11" x14ac:dyDescent="0.25">
      <c r="K1246" s="152"/>
    </row>
    <row r="1247" spans="11:11" x14ac:dyDescent="0.25">
      <c r="K1247" s="152"/>
    </row>
    <row r="1248" spans="11:11" x14ac:dyDescent="0.25">
      <c r="K1248" s="152"/>
    </row>
    <row r="1249" spans="11:11" x14ac:dyDescent="0.25">
      <c r="K1249" s="152"/>
    </row>
    <row r="1250" spans="11:11" x14ac:dyDescent="0.25">
      <c r="K1250" s="152"/>
    </row>
    <row r="1251" spans="11:11" x14ac:dyDescent="0.25">
      <c r="K1251" s="152"/>
    </row>
    <row r="1252" spans="11:11" x14ac:dyDescent="0.25">
      <c r="K1252" s="152"/>
    </row>
    <row r="1253" spans="11:11" x14ac:dyDescent="0.25">
      <c r="K1253" s="152"/>
    </row>
    <row r="1254" spans="11:11" x14ac:dyDescent="0.25">
      <c r="K1254" s="152"/>
    </row>
    <row r="1255" spans="11:11" x14ac:dyDescent="0.25">
      <c r="K1255" s="152"/>
    </row>
    <row r="1256" spans="11:11" x14ac:dyDescent="0.25">
      <c r="K1256" s="152"/>
    </row>
    <row r="1257" spans="11:11" x14ac:dyDescent="0.25">
      <c r="K1257" s="152"/>
    </row>
    <row r="1258" spans="11:11" x14ac:dyDescent="0.25">
      <c r="K1258" s="152"/>
    </row>
    <row r="1259" spans="11:11" x14ac:dyDescent="0.25">
      <c r="K1259" s="152"/>
    </row>
    <row r="1260" spans="11:11" x14ac:dyDescent="0.25">
      <c r="K1260" s="152"/>
    </row>
    <row r="1261" spans="11:11" x14ac:dyDescent="0.25">
      <c r="K1261" s="152"/>
    </row>
    <row r="1262" spans="11:11" x14ac:dyDescent="0.25">
      <c r="K1262" s="152"/>
    </row>
    <row r="1263" spans="11:11" x14ac:dyDescent="0.25">
      <c r="K1263" s="152"/>
    </row>
    <row r="1264" spans="11:11" x14ac:dyDescent="0.25">
      <c r="K1264" s="152"/>
    </row>
    <row r="1265" spans="11:11" x14ac:dyDescent="0.25">
      <c r="K1265" s="152"/>
    </row>
    <row r="1266" spans="11:11" x14ac:dyDescent="0.25">
      <c r="K1266" s="152"/>
    </row>
    <row r="1267" spans="11:11" x14ac:dyDescent="0.25">
      <c r="K1267" s="152"/>
    </row>
    <row r="1268" spans="11:11" x14ac:dyDescent="0.25">
      <c r="K1268" s="152"/>
    </row>
    <row r="1269" spans="11:11" x14ac:dyDescent="0.25">
      <c r="K1269" s="152"/>
    </row>
    <row r="1270" spans="11:11" x14ac:dyDescent="0.25">
      <c r="K1270" s="152"/>
    </row>
    <row r="1271" spans="11:11" x14ac:dyDescent="0.25">
      <c r="K1271" s="152"/>
    </row>
    <row r="1272" spans="11:11" x14ac:dyDescent="0.25">
      <c r="K1272" s="152"/>
    </row>
    <row r="1273" spans="11:11" x14ac:dyDescent="0.25">
      <c r="K1273" s="152"/>
    </row>
    <row r="1274" spans="11:11" x14ac:dyDescent="0.25">
      <c r="K1274" s="152"/>
    </row>
    <row r="1275" spans="11:11" x14ac:dyDescent="0.25">
      <c r="K1275" s="152"/>
    </row>
    <row r="1276" spans="11:11" x14ac:dyDescent="0.25">
      <c r="K1276" s="152"/>
    </row>
    <row r="1277" spans="11:11" x14ac:dyDescent="0.25">
      <c r="K1277" s="152"/>
    </row>
    <row r="1278" spans="11:11" x14ac:dyDescent="0.25">
      <c r="K1278" s="152"/>
    </row>
    <row r="1279" spans="11:11" x14ac:dyDescent="0.25">
      <c r="K1279" s="152"/>
    </row>
    <row r="1280" spans="11:11" x14ac:dyDescent="0.25">
      <c r="K1280" s="152"/>
    </row>
    <row r="1281" spans="11:11" x14ac:dyDescent="0.25">
      <c r="K1281" s="152"/>
    </row>
    <row r="1282" spans="11:11" x14ac:dyDescent="0.25">
      <c r="K1282" s="152"/>
    </row>
    <row r="1283" spans="11:11" x14ac:dyDescent="0.25">
      <c r="K1283" s="152"/>
    </row>
    <row r="1284" spans="11:11" x14ac:dyDescent="0.25">
      <c r="K1284" s="152"/>
    </row>
    <row r="1285" spans="11:11" x14ac:dyDescent="0.25">
      <c r="K1285" s="152"/>
    </row>
    <row r="1286" spans="11:11" x14ac:dyDescent="0.25">
      <c r="K1286" s="152"/>
    </row>
    <row r="1287" spans="11:11" x14ac:dyDescent="0.25">
      <c r="K1287" s="152"/>
    </row>
    <row r="1288" spans="11:11" x14ac:dyDescent="0.25">
      <c r="K1288" s="152"/>
    </row>
    <row r="1289" spans="11:11" x14ac:dyDescent="0.25">
      <c r="K1289" s="152"/>
    </row>
    <row r="1290" spans="11:11" x14ac:dyDescent="0.25">
      <c r="K1290" s="152"/>
    </row>
    <row r="1291" spans="11:11" x14ac:dyDescent="0.25">
      <c r="K1291" s="152"/>
    </row>
    <row r="1292" spans="11:11" x14ac:dyDescent="0.25">
      <c r="K1292" s="152"/>
    </row>
    <row r="1293" spans="11:11" x14ac:dyDescent="0.25">
      <c r="K1293" s="152"/>
    </row>
    <row r="1294" spans="11:11" x14ac:dyDescent="0.25">
      <c r="K1294" s="152"/>
    </row>
    <row r="1295" spans="11:11" x14ac:dyDescent="0.25">
      <c r="K1295" s="152"/>
    </row>
    <row r="1296" spans="11:11" x14ac:dyDescent="0.25">
      <c r="K1296" s="152"/>
    </row>
    <row r="1297" spans="11:11" x14ac:dyDescent="0.25">
      <c r="K1297" s="152"/>
    </row>
    <row r="1298" spans="11:11" x14ac:dyDescent="0.25">
      <c r="K1298" s="152"/>
    </row>
    <row r="1299" spans="11:11" x14ac:dyDescent="0.25">
      <c r="K1299" s="152"/>
    </row>
    <row r="1300" spans="11:11" x14ac:dyDescent="0.25">
      <c r="K1300" s="152"/>
    </row>
    <row r="1301" spans="11:11" x14ac:dyDescent="0.25">
      <c r="K1301" s="152"/>
    </row>
    <row r="1302" spans="11:11" x14ac:dyDescent="0.25">
      <c r="K1302" s="152"/>
    </row>
    <row r="1303" spans="11:11" x14ac:dyDescent="0.25">
      <c r="K1303" s="152"/>
    </row>
    <row r="1304" spans="11:11" x14ac:dyDescent="0.25">
      <c r="K1304" s="152"/>
    </row>
    <row r="1305" spans="11:11" x14ac:dyDescent="0.25">
      <c r="K1305" s="152"/>
    </row>
    <row r="1306" spans="11:11" x14ac:dyDescent="0.25">
      <c r="K1306" s="152"/>
    </row>
    <row r="1307" spans="11:11" x14ac:dyDescent="0.25">
      <c r="K1307" s="152"/>
    </row>
    <row r="1308" spans="11:11" x14ac:dyDescent="0.25">
      <c r="K1308" s="152"/>
    </row>
    <row r="1309" spans="11:11" x14ac:dyDescent="0.25">
      <c r="K1309" s="152"/>
    </row>
    <row r="1310" spans="11:11" x14ac:dyDescent="0.25">
      <c r="K1310" s="152"/>
    </row>
    <row r="1311" spans="11:11" x14ac:dyDescent="0.25">
      <c r="K1311" s="152"/>
    </row>
    <row r="1312" spans="11:11" x14ac:dyDescent="0.25">
      <c r="K1312" s="152"/>
    </row>
    <row r="1313" spans="11:11" x14ac:dyDescent="0.25">
      <c r="K1313" s="152"/>
    </row>
    <row r="1314" spans="11:11" x14ac:dyDescent="0.25">
      <c r="K1314" s="152"/>
    </row>
    <row r="1315" spans="11:11" x14ac:dyDescent="0.25">
      <c r="K1315" s="152"/>
    </row>
    <row r="1316" spans="11:11" x14ac:dyDescent="0.25">
      <c r="K1316" s="152"/>
    </row>
    <row r="1317" spans="11:11" x14ac:dyDescent="0.25">
      <c r="K1317" s="152"/>
    </row>
    <row r="1318" spans="11:11" x14ac:dyDescent="0.25">
      <c r="K1318" s="152"/>
    </row>
    <row r="1319" spans="11:11" x14ac:dyDescent="0.25">
      <c r="K1319" s="152"/>
    </row>
    <row r="1320" spans="11:11" x14ac:dyDescent="0.25">
      <c r="K1320" s="152"/>
    </row>
    <row r="1321" spans="11:11" x14ac:dyDescent="0.25">
      <c r="K1321" s="152"/>
    </row>
    <row r="1322" spans="11:11" x14ac:dyDescent="0.25">
      <c r="K1322" s="152"/>
    </row>
    <row r="1323" spans="11:11" x14ac:dyDescent="0.25">
      <c r="K1323" s="152"/>
    </row>
    <row r="1324" spans="11:11" x14ac:dyDescent="0.25">
      <c r="K1324" s="152"/>
    </row>
    <row r="1325" spans="11:11" x14ac:dyDescent="0.25">
      <c r="K1325" s="152"/>
    </row>
    <row r="1326" spans="11:11" x14ac:dyDescent="0.25">
      <c r="K1326" s="152"/>
    </row>
    <row r="1327" spans="11:11" x14ac:dyDescent="0.25">
      <c r="K1327" s="152"/>
    </row>
    <row r="1328" spans="11:11" x14ac:dyDescent="0.25">
      <c r="K1328" s="152"/>
    </row>
    <row r="1329" spans="11:11" x14ac:dyDescent="0.25">
      <c r="K1329" s="152"/>
    </row>
    <row r="1330" spans="11:11" x14ac:dyDescent="0.25">
      <c r="K1330" s="152"/>
    </row>
    <row r="1331" spans="11:11" x14ac:dyDescent="0.25">
      <c r="K1331" s="152"/>
    </row>
    <row r="1332" spans="11:11" x14ac:dyDescent="0.25">
      <c r="K1332" s="152"/>
    </row>
    <row r="1333" spans="11:11" x14ac:dyDescent="0.25">
      <c r="K1333" s="152"/>
    </row>
    <row r="1334" spans="11:11" x14ac:dyDescent="0.25">
      <c r="K1334" s="152"/>
    </row>
    <row r="1335" spans="11:11" x14ac:dyDescent="0.25">
      <c r="K1335" s="152"/>
    </row>
    <row r="1336" spans="11:11" x14ac:dyDescent="0.25">
      <c r="K1336" s="152"/>
    </row>
    <row r="1337" spans="11:11" x14ac:dyDescent="0.25">
      <c r="K1337" s="152"/>
    </row>
    <row r="1338" spans="11:11" x14ac:dyDescent="0.25">
      <c r="K1338" s="152"/>
    </row>
    <row r="1339" spans="11:11" x14ac:dyDescent="0.25">
      <c r="K1339" s="152"/>
    </row>
    <row r="1340" spans="11:11" x14ac:dyDescent="0.25">
      <c r="K1340" s="152"/>
    </row>
    <row r="1341" spans="11:11" x14ac:dyDescent="0.25">
      <c r="K1341" s="152"/>
    </row>
    <row r="1342" spans="11:11" x14ac:dyDescent="0.25">
      <c r="K1342" s="152"/>
    </row>
    <row r="1343" spans="11:11" x14ac:dyDescent="0.25">
      <c r="K1343" s="152"/>
    </row>
    <row r="1344" spans="11:11" x14ac:dyDescent="0.25">
      <c r="K1344" s="152"/>
    </row>
    <row r="1345" spans="11:11" x14ac:dyDescent="0.25">
      <c r="K1345" s="152"/>
    </row>
    <row r="1346" spans="11:11" x14ac:dyDescent="0.25">
      <c r="K1346" s="152"/>
    </row>
    <row r="1347" spans="11:11" x14ac:dyDescent="0.25">
      <c r="K1347" s="152"/>
    </row>
    <row r="1348" spans="11:11" x14ac:dyDescent="0.25">
      <c r="K1348" s="152"/>
    </row>
    <row r="1349" spans="11:11" x14ac:dyDescent="0.25">
      <c r="K1349" s="152"/>
    </row>
    <row r="1350" spans="11:11" x14ac:dyDescent="0.25">
      <c r="K1350" s="152"/>
    </row>
    <row r="1351" spans="11:11" x14ac:dyDescent="0.25">
      <c r="K1351" s="152"/>
    </row>
    <row r="1352" spans="11:11" x14ac:dyDescent="0.25">
      <c r="K1352" s="152"/>
    </row>
    <row r="1353" spans="11:11" x14ac:dyDescent="0.25">
      <c r="K1353" s="152"/>
    </row>
    <row r="1354" spans="11:11" x14ac:dyDescent="0.25">
      <c r="K1354" s="152"/>
    </row>
    <row r="1355" spans="11:11" x14ac:dyDescent="0.25">
      <c r="K1355" s="152"/>
    </row>
    <row r="1356" spans="11:11" x14ac:dyDescent="0.25">
      <c r="K1356" s="152"/>
    </row>
    <row r="1357" spans="11:11" x14ac:dyDescent="0.25">
      <c r="K1357" s="152"/>
    </row>
    <row r="1358" spans="11:11" x14ac:dyDescent="0.25">
      <c r="K1358" s="152"/>
    </row>
    <row r="1359" spans="11:11" x14ac:dyDescent="0.25">
      <c r="K1359" s="152"/>
    </row>
    <row r="1360" spans="11:11" x14ac:dyDescent="0.25">
      <c r="K1360" s="152"/>
    </row>
    <row r="1361" spans="11:11" x14ac:dyDescent="0.25">
      <c r="K1361" s="152"/>
    </row>
    <row r="1362" spans="11:11" x14ac:dyDescent="0.25">
      <c r="K1362" s="152"/>
    </row>
    <row r="1363" spans="11:11" x14ac:dyDescent="0.25">
      <c r="K1363" s="152"/>
    </row>
    <row r="1364" spans="11:11" x14ac:dyDescent="0.25">
      <c r="K1364" s="152"/>
    </row>
    <row r="1365" spans="11:11" x14ac:dyDescent="0.25">
      <c r="K1365" s="152"/>
    </row>
    <row r="1366" spans="11:11" x14ac:dyDescent="0.25">
      <c r="K1366" s="152"/>
    </row>
    <row r="1367" spans="11:11" x14ac:dyDescent="0.25">
      <c r="K1367" s="152"/>
    </row>
    <row r="1368" spans="11:11" x14ac:dyDescent="0.25">
      <c r="K1368" s="152"/>
    </row>
    <row r="1369" spans="11:11" x14ac:dyDescent="0.25">
      <c r="K1369" s="152"/>
    </row>
    <row r="1370" spans="11:11" x14ac:dyDescent="0.25">
      <c r="K1370" s="152"/>
    </row>
    <row r="1371" spans="11:11" x14ac:dyDescent="0.25">
      <c r="K1371" s="152"/>
    </row>
    <row r="1372" spans="11:11" x14ac:dyDescent="0.25">
      <c r="K1372" s="152"/>
    </row>
    <row r="1373" spans="11:11" x14ac:dyDescent="0.25">
      <c r="K1373" s="152"/>
    </row>
    <row r="1374" spans="11:11" x14ac:dyDescent="0.25">
      <c r="K1374" s="152"/>
    </row>
    <row r="1375" spans="11:11" x14ac:dyDescent="0.25">
      <c r="K1375" s="152"/>
    </row>
    <row r="1376" spans="11:11" x14ac:dyDescent="0.25">
      <c r="K1376" s="152"/>
    </row>
    <row r="1377" spans="11:11" x14ac:dyDescent="0.25">
      <c r="K1377" s="152"/>
    </row>
    <row r="1378" spans="11:11" x14ac:dyDescent="0.25">
      <c r="K1378" s="152"/>
    </row>
    <row r="1379" spans="11:11" x14ac:dyDescent="0.25">
      <c r="K1379" s="152"/>
    </row>
    <row r="1380" spans="11:11" x14ac:dyDescent="0.25">
      <c r="K1380" s="152"/>
    </row>
    <row r="1381" spans="11:11" x14ac:dyDescent="0.25">
      <c r="K1381" s="152"/>
    </row>
    <row r="1382" spans="11:11" x14ac:dyDescent="0.25">
      <c r="K1382" s="152"/>
    </row>
    <row r="1383" spans="11:11" x14ac:dyDescent="0.25">
      <c r="K1383" s="152"/>
    </row>
    <row r="1384" spans="11:11" x14ac:dyDescent="0.25">
      <c r="K1384" s="152"/>
    </row>
    <row r="1385" spans="11:11" x14ac:dyDescent="0.25">
      <c r="K1385" s="152"/>
    </row>
    <row r="1386" spans="11:11" x14ac:dyDescent="0.25">
      <c r="K1386" s="152"/>
    </row>
    <row r="1387" spans="11:11" x14ac:dyDescent="0.25">
      <c r="K1387" s="152"/>
    </row>
    <row r="1388" spans="11:11" x14ac:dyDescent="0.25">
      <c r="K1388" s="152"/>
    </row>
    <row r="1389" spans="11:11" x14ac:dyDescent="0.25">
      <c r="K1389" s="152"/>
    </row>
    <row r="1390" spans="11:11" x14ac:dyDescent="0.25">
      <c r="K1390" s="152"/>
    </row>
    <row r="1391" spans="11:11" x14ac:dyDescent="0.25">
      <c r="K1391" s="152"/>
    </row>
    <row r="1392" spans="11:11" x14ac:dyDescent="0.25">
      <c r="K1392" s="152"/>
    </row>
    <row r="1393" spans="11:11" x14ac:dyDescent="0.25">
      <c r="K1393" s="152"/>
    </row>
    <row r="1394" spans="11:11" x14ac:dyDescent="0.25">
      <c r="K1394" s="152"/>
    </row>
    <row r="1395" spans="11:11" x14ac:dyDescent="0.25">
      <c r="K1395" s="152"/>
    </row>
    <row r="1396" spans="11:11" x14ac:dyDescent="0.25">
      <c r="K1396" s="152"/>
    </row>
    <row r="1397" spans="11:11" x14ac:dyDescent="0.25">
      <c r="K1397" s="152"/>
    </row>
    <row r="1398" spans="11:11" x14ac:dyDescent="0.25">
      <c r="K1398" s="152"/>
    </row>
    <row r="1399" spans="11:11" x14ac:dyDescent="0.25">
      <c r="K1399" s="152"/>
    </row>
    <row r="1400" spans="11:11" x14ac:dyDescent="0.25">
      <c r="K1400" s="152"/>
    </row>
    <row r="1401" spans="11:11" x14ac:dyDescent="0.25">
      <c r="K1401" s="152"/>
    </row>
    <row r="1402" spans="11:11" x14ac:dyDescent="0.25">
      <c r="K1402" s="152"/>
    </row>
    <row r="1403" spans="11:11" x14ac:dyDescent="0.25">
      <c r="K1403" s="152"/>
    </row>
    <row r="1404" spans="11:11" x14ac:dyDescent="0.25">
      <c r="K1404" s="152"/>
    </row>
    <row r="1405" spans="11:11" x14ac:dyDescent="0.25">
      <c r="K1405" s="152"/>
    </row>
    <row r="1406" spans="11:11" x14ac:dyDescent="0.25">
      <c r="K1406" s="152"/>
    </row>
    <row r="1407" spans="11:11" x14ac:dyDescent="0.25">
      <c r="K1407" s="152"/>
    </row>
    <row r="1408" spans="11:11" x14ac:dyDescent="0.25">
      <c r="K1408" s="152"/>
    </row>
    <row r="1409" spans="11:11" x14ac:dyDescent="0.25">
      <c r="K1409" s="152"/>
    </row>
    <row r="1410" spans="11:11" x14ac:dyDescent="0.25">
      <c r="K1410" s="152"/>
    </row>
    <row r="1411" spans="11:11" x14ac:dyDescent="0.25">
      <c r="K1411" s="152"/>
    </row>
    <row r="1412" spans="11:11" x14ac:dyDescent="0.25">
      <c r="K1412" s="152"/>
    </row>
    <row r="1413" spans="11:11" x14ac:dyDescent="0.25">
      <c r="K1413" s="152"/>
    </row>
    <row r="1414" spans="11:11" x14ac:dyDescent="0.25">
      <c r="K1414" s="152"/>
    </row>
    <row r="1415" spans="11:11" x14ac:dyDescent="0.25">
      <c r="K1415" s="152"/>
    </row>
    <row r="1416" spans="11:11" x14ac:dyDescent="0.25">
      <c r="K1416" s="152"/>
    </row>
    <row r="1417" spans="11:11" x14ac:dyDescent="0.25">
      <c r="K1417" s="152"/>
    </row>
    <row r="1418" spans="11:11" x14ac:dyDescent="0.25">
      <c r="K1418" s="152"/>
    </row>
    <row r="1419" spans="11:11" x14ac:dyDescent="0.25">
      <c r="K1419" s="152"/>
    </row>
    <row r="1420" spans="11:11" x14ac:dyDescent="0.25">
      <c r="K1420" s="152"/>
    </row>
    <row r="1421" spans="11:11" x14ac:dyDescent="0.25">
      <c r="K1421" s="152"/>
    </row>
    <row r="1422" spans="11:11" x14ac:dyDescent="0.25">
      <c r="K1422" s="152"/>
    </row>
    <row r="1423" spans="11:11" x14ac:dyDescent="0.25">
      <c r="K1423" s="152"/>
    </row>
    <row r="1424" spans="11:11" x14ac:dyDescent="0.25">
      <c r="K1424" s="152"/>
    </row>
    <row r="1425" spans="11:11" x14ac:dyDescent="0.25">
      <c r="K1425" s="152"/>
    </row>
    <row r="1426" spans="11:11" x14ac:dyDescent="0.25">
      <c r="K1426" s="152"/>
    </row>
    <row r="1427" spans="11:11" x14ac:dyDescent="0.25">
      <c r="K1427" s="152"/>
    </row>
    <row r="1428" spans="11:11" x14ac:dyDescent="0.25">
      <c r="K1428" s="152"/>
    </row>
    <row r="1429" spans="11:11" x14ac:dyDescent="0.25">
      <c r="K1429" s="152"/>
    </row>
    <row r="1430" spans="11:11" x14ac:dyDescent="0.25">
      <c r="K1430" s="152"/>
    </row>
    <row r="1431" spans="11:11" x14ac:dyDescent="0.25">
      <c r="K1431" s="152"/>
    </row>
    <row r="1432" spans="11:11" x14ac:dyDescent="0.25">
      <c r="K1432" s="152"/>
    </row>
    <row r="1433" spans="11:11" x14ac:dyDescent="0.25">
      <c r="K1433" s="152"/>
    </row>
    <row r="1434" spans="11:11" x14ac:dyDescent="0.25">
      <c r="K1434" s="152"/>
    </row>
    <row r="1435" spans="11:11" x14ac:dyDescent="0.25">
      <c r="K1435" s="152"/>
    </row>
    <row r="1436" spans="11:11" x14ac:dyDescent="0.25">
      <c r="K1436" s="152"/>
    </row>
    <row r="1437" spans="11:11" x14ac:dyDescent="0.25">
      <c r="K1437" s="152"/>
    </row>
    <row r="1438" spans="11:11" x14ac:dyDescent="0.25">
      <c r="K1438" s="152"/>
    </row>
    <row r="1439" spans="11:11" x14ac:dyDescent="0.25">
      <c r="K1439" s="152"/>
    </row>
    <row r="1440" spans="11:11" x14ac:dyDescent="0.25">
      <c r="K1440" s="152"/>
    </row>
    <row r="1441" spans="11:11" x14ac:dyDescent="0.25">
      <c r="K1441" s="152"/>
    </row>
    <row r="1442" spans="11:11" x14ac:dyDescent="0.25">
      <c r="K1442" s="152"/>
    </row>
    <row r="1443" spans="11:11" x14ac:dyDescent="0.25">
      <c r="K1443" s="152"/>
    </row>
    <row r="1444" spans="11:11" x14ac:dyDescent="0.25">
      <c r="K1444" s="152"/>
    </row>
    <row r="1445" spans="11:11" x14ac:dyDescent="0.25">
      <c r="K1445" s="152"/>
    </row>
    <row r="1446" spans="11:11" x14ac:dyDescent="0.25">
      <c r="K1446" s="152"/>
    </row>
    <row r="1447" spans="11:11" x14ac:dyDescent="0.25">
      <c r="K1447" s="152"/>
    </row>
    <row r="1448" spans="11:11" x14ac:dyDescent="0.25">
      <c r="K1448" s="152"/>
    </row>
    <row r="1449" spans="11:11" x14ac:dyDescent="0.25">
      <c r="K1449" s="152"/>
    </row>
    <row r="1450" spans="11:11" x14ac:dyDescent="0.25">
      <c r="K1450" s="152"/>
    </row>
    <row r="1451" spans="11:11" x14ac:dyDescent="0.25">
      <c r="K1451" s="152"/>
    </row>
    <row r="1452" spans="11:11" x14ac:dyDescent="0.25">
      <c r="K1452" s="152"/>
    </row>
    <row r="1453" spans="11:11" x14ac:dyDescent="0.25">
      <c r="K1453" s="152"/>
    </row>
    <row r="1454" spans="11:11" x14ac:dyDescent="0.25">
      <c r="K1454" s="152"/>
    </row>
    <row r="1455" spans="11:11" x14ac:dyDescent="0.25">
      <c r="K1455" s="152"/>
    </row>
    <row r="1456" spans="11:11" x14ac:dyDescent="0.25">
      <c r="K1456" s="152"/>
    </row>
    <row r="1457" spans="11:11" x14ac:dyDescent="0.25">
      <c r="K1457" s="152"/>
    </row>
    <row r="1458" spans="11:11" x14ac:dyDescent="0.25">
      <c r="K1458" s="152"/>
    </row>
    <row r="1459" spans="11:11" x14ac:dyDescent="0.25">
      <c r="K1459" s="152"/>
    </row>
    <row r="1460" spans="11:11" x14ac:dyDescent="0.25">
      <c r="K1460" s="152"/>
    </row>
    <row r="1461" spans="11:11" x14ac:dyDescent="0.25">
      <c r="K1461" s="152"/>
    </row>
    <row r="1462" spans="11:11" x14ac:dyDescent="0.25">
      <c r="K1462" s="152"/>
    </row>
    <row r="1463" spans="11:11" x14ac:dyDescent="0.25">
      <c r="K1463" s="152"/>
    </row>
    <row r="1464" spans="11:11" x14ac:dyDescent="0.25">
      <c r="K1464" s="152"/>
    </row>
    <row r="1465" spans="11:11" x14ac:dyDescent="0.25">
      <c r="K1465" s="152"/>
    </row>
    <row r="1466" spans="11:11" x14ac:dyDescent="0.25">
      <c r="K1466" s="152"/>
    </row>
    <row r="1467" spans="11:11" x14ac:dyDescent="0.25">
      <c r="K1467" s="152"/>
    </row>
    <row r="1468" spans="11:11" x14ac:dyDescent="0.25">
      <c r="K1468" s="152"/>
    </row>
    <row r="1469" spans="11:11" x14ac:dyDescent="0.25">
      <c r="K1469" s="152"/>
    </row>
    <row r="1470" spans="11:11" x14ac:dyDescent="0.25">
      <c r="K1470" s="152"/>
    </row>
    <row r="1471" spans="11:11" x14ac:dyDescent="0.25">
      <c r="K1471" s="152"/>
    </row>
    <row r="1472" spans="11:11" x14ac:dyDescent="0.25">
      <c r="K1472" s="152"/>
    </row>
    <row r="1473" spans="11:11" x14ac:dyDescent="0.25">
      <c r="K1473" s="152"/>
    </row>
    <row r="1474" spans="11:11" x14ac:dyDescent="0.25">
      <c r="K1474" s="152"/>
    </row>
    <row r="1475" spans="11:11" x14ac:dyDescent="0.25">
      <c r="K1475" s="152"/>
    </row>
    <row r="1476" spans="11:11" x14ac:dyDescent="0.25">
      <c r="K1476" s="152"/>
    </row>
    <row r="1477" spans="11:11" x14ac:dyDescent="0.25">
      <c r="K1477" s="152"/>
    </row>
    <row r="1478" spans="11:11" x14ac:dyDescent="0.25">
      <c r="K1478" s="152"/>
    </row>
    <row r="1479" spans="11:11" x14ac:dyDescent="0.25">
      <c r="K1479" s="152"/>
    </row>
    <row r="1480" spans="11:11" x14ac:dyDescent="0.25">
      <c r="K1480" s="152"/>
    </row>
    <row r="1481" spans="11:11" x14ac:dyDescent="0.25">
      <c r="K1481" s="152"/>
    </row>
    <row r="1482" spans="11:11" x14ac:dyDescent="0.25">
      <c r="K1482" s="152"/>
    </row>
    <row r="1483" spans="11:11" x14ac:dyDescent="0.25">
      <c r="K1483" s="152"/>
    </row>
    <row r="1484" spans="11:11" x14ac:dyDescent="0.25">
      <c r="K1484" s="152"/>
    </row>
    <row r="1485" spans="11:11" x14ac:dyDescent="0.25">
      <c r="K1485" s="152"/>
    </row>
    <row r="1486" spans="11:11" x14ac:dyDescent="0.25">
      <c r="K1486" s="152"/>
    </row>
    <row r="1487" spans="11:11" x14ac:dyDescent="0.25">
      <c r="K1487" s="152"/>
    </row>
    <row r="1488" spans="11:11" x14ac:dyDescent="0.25">
      <c r="K1488" s="152"/>
    </row>
    <row r="1489" spans="11:11" x14ac:dyDescent="0.25">
      <c r="K1489" s="152"/>
    </row>
    <row r="1490" spans="11:11" x14ac:dyDescent="0.25">
      <c r="K1490" s="152"/>
    </row>
    <row r="1491" spans="11:11" x14ac:dyDescent="0.25">
      <c r="K1491" s="152"/>
    </row>
    <row r="1492" spans="11:11" x14ac:dyDescent="0.25">
      <c r="K1492" s="152"/>
    </row>
    <row r="1493" spans="11:11" x14ac:dyDescent="0.25">
      <c r="K1493" s="152"/>
    </row>
    <row r="1494" spans="11:11" x14ac:dyDescent="0.25">
      <c r="K1494" s="152"/>
    </row>
    <row r="1495" spans="11:11" x14ac:dyDescent="0.25">
      <c r="K1495" s="152"/>
    </row>
    <row r="1496" spans="11:11" x14ac:dyDescent="0.25">
      <c r="K1496" s="152"/>
    </row>
    <row r="1497" spans="11:11" x14ac:dyDescent="0.25">
      <c r="K1497" s="152"/>
    </row>
    <row r="1498" spans="11:11" x14ac:dyDescent="0.25">
      <c r="K1498" s="152"/>
    </row>
    <row r="1499" spans="11:11" x14ac:dyDescent="0.25">
      <c r="K1499" s="152"/>
    </row>
    <row r="1500" spans="11:11" x14ac:dyDescent="0.25">
      <c r="K1500" s="152"/>
    </row>
    <row r="1501" spans="11:11" x14ac:dyDescent="0.25">
      <c r="K1501" s="152"/>
    </row>
    <row r="1502" spans="11:11" x14ac:dyDescent="0.25">
      <c r="K1502" s="152"/>
    </row>
    <row r="1503" spans="11:11" x14ac:dyDescent="0.25">
      <c r="K1503" s="152"/>
    </row>
    <row r="1504" spans="11:11" x14ac:dyDescent="0.25">
      <c r="K1504" s="152"/>
    </row>
    <row r="1505" spans="11:11" x14ac:dyDescent="0.25">
      <c r="K1505" s="152"/>
    </row>
    <row r="1506" spans="11:11" x14ac:dyDescent="0.25">
      <c r="K1506" s="152"/>
    </row>
    <row r="1507" spans="11:11" x14ac:dyDescent="0.25">
      <c r="K1507" s="152"/>
    </row>
    <row r="1508" spans="11:11" x14ac:dyDescent="0.25">
      <c r="K1508" s="152"/>
    </row>
    <row r="1509" spans="11:11" x14ac:dyDescent="0.25">
      <c r="K1509" s="152"/>
    </row>
    <row r="1510" spans="11:11" x14ac:dyDescent="0.25">
      <c r="K1510" s="152"/>
    </row>
    <row r="1511" spans="11:11" x14ac:dyDescent="0.25">
      <c r="K1511" s="152"/>
    </row>
    <row r="1512" spans="11:11" x14ac:dyDescent="0.25">
      <c r="K1512" s="152"/>
    </row>
    <row r="1513" spans="11:11" x14ac:dyDescent="0.25">
      <c r="K1513" s="152"/>
    </row>
    <row r="1514" spans="11:11" x14ac:dyDescent="0.25">
      <c r="K1514" s="152"/>
    </row>
    <row r="1515" spans="11:11" x14ac:dyDescent="0.25">
      <c r="K1515" s="152"/>
    </row>
    <row r="1516" spans="11:11" x14ac:dyDescent="0.25">
      <c r="K1516" s="152"/>
    </row>
    <row r="1517" spans="11:11" x14ac:dyDescent="0.25">
      <c r="K1517" s="152"/>
    </row>
    <row r="1518" spans="11:11" x14ac:dyDescent="0.25">
      <c r="K1518" s="152"/>
    </row>
    <row r="1519" spans="11:11" x14ac:dyDescent="0.25">
      <c r="K1519" s="152"/>
    </row>
    <row r="1520" spans="11:11" x14ac:dyDescent="0.25">
      <c r="K1520" s="152"/>
    </row>
    <row r="1521" spans="11:11" x14ac:dyDescent="0.25">
      <c r="K1521" s="152"/>
    </row>
    <row r="1522" spans="11:11" x14ac:dyDescent="0.25">
      <c r="K1522" s="152"/>
    </row>
    <row r="1523" spans="11:11" x14ac:dyDescent="0.25">
      <c r="K1523" s="152"/>
    </row>
    <row r="1524" spans="11:11" x14ac:dyDescent="0.25">
      <c r="K1524" s="152"/>
    </row>
    <row r="1525" spans="11:11" x14ac:dyDescent="0.25">
      <c r="K1525" s="152"/>
    </row>
    <row r="1526" spans="11:11" x14ac:dyDescent="0.25">
      <c r="K1526" s="152"/>
    </row>
    <row r="1527" spans="11:11" x14ac:dyDescent="0.25">
      <c r="K1527" s="152"/>
    </row>
    <row r="1528" spans="11:11" x14ac:dyDescent="0.25">
      <c r="K1528" s="152"/>
    </row>
    <row r="1529" spans="11:11" x14ac:dyDescent="0.25">
      <c r="K1529" s="152"/>
    </row>
    <row r="1530" spans="11:11" x14ac:dyDescent="0.25">
      <c r="K1530" s="152"/>
    </row>
    <row r="1531" spans="11:11" x14ac:dyDescent="0.25">
      <c r="K1531" s="152"/>
    </row>
    <row r="1532" spans="11:11" x14ac:dyDescent="0.25">
      <c r="K1532" s="152"/>
    </row>
    <row r="1533" spans="11:11" x14ac:dyDescent="0.25">
      <c r="K1533" s="152"/>
    </row>
    <row r="1534" spans="11:11" x14ac:dyDescent="0.25">
      <c r="K1534" s="152"/>
    </row>
    <row r="1535" spans="11:11" x14ac:dyDescent="0.25">
      <c r="K1535" s="152"/>
    </row>
    <row r="1536" spans="11:11" x14ac:dyDescent="0.25">
      <c r="K1536" s="152"/>
    </row>
    <row r="1537" spans="11:11" x14ac:dyDescent="0.25">
      <c r="K1537" s="152"/>
    </row>
    <row r="1538" spans="11:11" x14ac:dyDescent="0.25">
      <c r="K1538" s="152"/>
    </row>
    <row r="1539" spans="11:11" x14ac:dyDescent="0.25">
      <c r="K1539" s="152"/>
    </row>
    <row r="1540" spans="11:11" x14ac:dyDescent="0.25">
      <c r="K1540" s="152"/>
    </row>
    <row r="1541" spans="11:11" x14ac:dyDescent="0.25">
      <c r="K1541" s="152"/>
    </row>
    <row r="1542" spans="11:11" x14ac:dyDescent="0.25">
      <c r="K1542" s="152"/>
    </row>
    <row r="1543" spans="11:11" x14ac:dyDescent="0.25">
      <c r="K1543" s="152"/>
    </row>
    <row r="1544" spans="11:11" x14ac:dyDescent="0.25">
      <c r="K1544" s="152"/>
    </row>
    <row r="1545" spans="11:11" x14ac:dyDescent="0.25">
      <c r="K1545" s="152"/>
    </row>
    <row r="1546" spans="11:11" x14ac:dyDescent="0.25">
      <c r="K1546" s="152"/>
    </row>
    <row r="1547" spans="11:11" x14ac:dyDescent="0.25">
      <c r="K1547" s="152"/>
    </row>
    <row r="1548" spans="11:11" x14ac:dyDescent="0.25">
      <c r="K1548" s="152"/>
    </row>
    <row r="1549" spans="11:11" x14ac:dyDescent="0.25">
      <c r="K1549" s="152"/>
    </row>
    <row r="1550" spans="11:11" x14ac:dyDescent="0.25">
      <c r="K1550" s="152"/>
    </row>
    <row r="1551" spans="11:11" x14ac:dyDescent="0.25">
      <c r="K1551" s="152"/>
    </row>
    <row r="1552" spans="11:11" x14ac:dyDescent="0.25">
      <c r="K1552" s="152"/>
    </row>
    <row r="1553" spans="11:11" x14ac:dyDescent="0.25">
      <c r="K1553" s="152"/>
    </row>
    <row r="1554" spans="11:11" x14ac:dyDescent="0.25">
      <c r="K1554" s="152"/>
    </row>
    <row r="1555" spans="11:11" x14ac:dyDescent="0.25">
      <c r="K1555" s="152"/>
    </row>
    <row r="1556" spans="11:11" x14ac:dyDescent="0.25">
      <c r="K1556" s="152"/>
    </row>
    <row r="1557" spans="11:11" x14ac:dyDescent="0.25">
      <c r="K1557" s="152"/>
    </row>
    <row r="1558" spans="11:11" x14ac:dyDescent="0.25">
      <c r="K1558" s="152"/>
    </row>
    <row r="1559" spans="11:11" x14ac:dyDescent="0.25">
      <c r="K1559" s="152"/>
    </row>
    <row r="1560" spans="11:11" x14ac:dyDescent="0.25">
      <c r="K1560" s="152"/>
    </row>
    <row r="1561" spans="11:11" x14ac:dyDescent="0.25">
      <c r="K1561" s="152"/>
    </row>
    <row r="1562" spans="11:11" x14ac:dyDescent="0.25">
      <c r="K1562" s="152"/>
    </row>
    <row r="1563" spans="11:11" x14ac:dyDescent="0.25">
      <c r="K1563" s="152"/>
    </row>
    <row r="1564" spans="11:11" x14ac:dyDescent="0.25">
      <c r="K1564" s="152"/>
    </row>
    <row r="1565" spans="11:11" x14ac:dyDescent="0.25">
      <c r="K1565" s="152"/>
    </row>
    <row r="1566" spans="11:11" x14ac:dyDescent="0.25">
      <c r="K1566" s="152"/>
    </row>
    <row r="1567" spans="11:11" x14ac:dyDescent="0.25">
      <c r="K1567" s="152"/>
    </row>
    <row r="1568" spans="11:11" x14ac:dyDescent="0.25">
      <c r="K1568" s="152"/>
    </row>
    <row r="1569" spans="11:11" x14ac:dyDescent="0.25">
      <c r="K1569" s="152"/>
    </row>
    <row r="1570" spans="11:11" x14ac:dyDescent="0.25">
      <c r="K1570" s="152"/>
    </row>
    <row r="1571" spans="11:11" x14ac:dyDescent="0.25">
      <c r="K1571" s="152"/>
    </row>
    <row r="1572" spans="11:11" x14ac:dyDescent="0.25">
      <c r="K1572" s="152"/>
    </row>
    <row r="1573" spans="11:11" x14ac:dyDescent="0.25">
      <c r="K1573" s="152"/>
    </row>
    <row r="1574" spans="11:11" x14ac:dyDescent="0.25">
      <c r="K1574" s="152"/>
    </row>
    <row r="1575" spans="11:11" x14ac:dyDescent="0.25">
      <c r="K1575" s="152"/>
    </row>
    <row r="1576" spans="11:11" x14ac:dyDescent="0.25">
      <c r="K1576" s="152"/>
    </row>
    <row r="1577" spans="11:11" x14ac:dyDescent="0.25">
      <c r="K1577" s="152"/>
    </row>
    <row r="1578" spans="11:11" x14ac:dyDescent="0.25">
      <c r="K1578" s="152"/>
    </row>
    <row r="1579" spans="11:11" x14ac:dyDescent="0.25">
      <c r="K1579" s="152"/>
    </row>
  </sheetData>
  <sheetProtection algorithmName="SHA-512" hashValue="0TjTQJNM7KLjZHB9286mMYqBs53Y7qvWZWE3bsTvPy9AcUxu6zUnZVyj8qAvh7EkKKsBPZ5lsx7FFJafXAGGkw==" saltValue="QkjmjjAgdwBb4IOxKDa/yQ==" spinCount="100000" sheet="1" objects="1" scenarios="1"/>
  <phoneticPr fontId="3" type="noConversion"/>
  <pageMargins left="1" right="1" top="1" bottom="1" header="0.5" footer="0.5"/>
  <pageSetup scale="29" orientation="portrait" r:id="rId1"/>
  <headerFooter>
    <oddHeader xml:space="preserve">&amp;L&amp;"Segoe UI,Bold"2022 Material Recovery and Waste Generation Rates Report&amp;R&amp;"Times New Roman,Bold"&amp;14 </oddHeader>
    <oddFooter>&amp;L&amp;"Segoe UI,Regular"&amp;9Oregon Department of Environmental Quality&amp;C
&amp;R&amp;"Segoe UI,Regular"&amp;9 2022 Material Recovery and Waste Generation Rates</oddFooter>
  </headerFooter>
  <ignoredErrors>
    <ignoredError sqref="C43 O43 Q43 M43 I43 E43 K4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pageSetUpPr fitToPage="1"/>
  </sheetPr>
  <dimension ref="A1:BN50"/>
  <sheetViews>
    <sheetView zoomScaleNormal="100" workbookViewId="0">
      <pane xSplit="1" ySplit="5" topLeftCell="B6" activePane="bottomRight" state="frozen"/>
      <selection activeCell="Q1" sqref="Q1"/>
      <selection pane="topRight" activeCell="Q1" sqref="Q1"/>
      <selection pane="bottomLeft" activeCell="Q1" sqref="Q1"/>
      <selection pane="bottomRight"/>
    </sheetView>
  </sheetViews>
  <sheetFormatPr defaultRowHeight="14.25" x14ac:dyDescent="0.25"/>
  <cols>
    <col min="1" max="1" width="17.7109375" style="16" customWidth="1"/>
    <col min="2" max="4" width="10.7109375" style="151" customWidth="1"/>
    <col min="5" max="5" width="10.7109375" style="152" customWidth="1"/>
    <col min="6" max="6" width="10.7109375" style="151" customWidth="1"/>
    <col min="7" max="7" width="10.7109375" style="152" customWidth="1"/>
    <col min="8" max="8" width="10.7109375" style="151" customWidth="1"/>
    <col min="9" max="9" width="10.7109375" style="152" customWidth="1"/>
    <col min="10" max="10" width="10.7109375" style="151" customWidth="1"/>
    <col min="11" max="13" width="10.7109375" style="152" customWidth="1"/>
    <col min="14" max="64" width="10.7109375" style="151" customWidth="1"/>
    <col min="65" max="65" width="8" style="151" bestFit="1" customWidth="1"/>
    <col min="66" max="66" width="9.7109375" style="153" customWidth="1"/>
    <col min="67" max="16384" width="9.140625" style="16"/>
  </cols>
  <sheetData>
    <row r="1" spans="1:66" ht="20.25" x14ac:dyDescent="0.35">
      <c r="A1" s="64" t="s">
        <v>147</v>
      </c>
      <c r="M1" s="173"/>
    </row>
    <row r="2" spans="1:66" ht="15" thickBot="1" x14ac:dyDescent="0.3">
      <c r="C2" s="174"/>
    </row>
    <row r="3" spans="1:66" s="11" customFormat="1" x14ac:dyDescent="0.25">
      <c r="A3" s="290"/>
      <c r="B3" s="291">
        <v>1992</v>
      </c>
      <c r="C3" s="292" t="s">
        <v>85</v>
      </c>
      <c r="D3" s="293">
        <v>1993</v>
      </c>
      <c r="E3" s="371" t="s">
        <v>85</v>
      </c>
      <c r="F3" s="293">
        <v>1994</v>
      </c>
      <c r="G3" s="371" t="s">
        <v>85</v>
      </c>
      <c r="H3" s="293">
        <v>1995</v>
      </c>
      <c r="I3" s="371" t="s">
        <v>85</v>
      </c>
      <c r="J3" s="293">
        <v>1996</v>
      </c>
      <c r="K3" s="371" t="s">
        <v>85</v>
      </c>
      <c r="L3" s="293">
        <v>1997</v>
      </c>
      <c r="M3" s="371" t="s">
        <v>85</v>
      </c>
      <c r="N3" s="293">
        <v>1998</v>
      </c>
      <c r="O3" s="371" t="s">
        <v>85</v>
      </c>
      <c r="P3" s="293">
        <v>1999</v>
      </c>
      <c r="Q3" s="371" t="s">
        <v>85</v>
      </c>
      <c r="R3" s="293">
        <v>2000</v>
      </c>
      <c r="S3" s="371" t="s">
        <v>85</v>
      </c>
      <c r="T3" s="293">
        <v>2001</v>
      </c>
      <c r="U3" s="293" t="s">
        <v>85</v>
      </c>
      <c r="V3" s="294">
        <v>2002</v>
      </c>
      <c r="W3" s="293" t="s">
        <v>85</v>
      </c>
      <c r="X3" s="294">
        <v>2003</v>
      </c>
      <c r="Y3" s="293" t="s">
        <v>85</v>
      </c>
      <c r="Z3" s="294">
        <v>2004</v>
      </c>
      <c r="AA3" s="293" t="s">
        <v>85</v>
      </c>
      <c r="AB3" s="294">
        <v>2005</v>
      </c>
      <c r="AC3" s="293" t="s">
        <v>85</v>
      </c>
      <c r="AD3" s="294">
        <v>2006</v>
      </c>
      <c r="AE3" s="293" t="s">
        <v>85</v>
      </c>
      <c r="AF3" s="294">
        <v>2007</v>
      </c>
      <c r="AG3" s="293" t="s">
        <v>85</v>
      </c>
      <c r="AH3" s="294">
        <v>2008</v>
      </c>
      <c r="AI3" s="293" t="s">
        <v>85</v>
      </c>
      <c r="AJ3" s="294">
        <v>2009</v>
      </c>
      <c r="AK3" s="293" t="s">
        <v>85</v>
      </c>
      <c r="AL3" s="294">
        <v>2010</v>
      </c>
      <c r="AM3" s="293" t="s">
        <v>85</v>
      </c>
      <c r="AN3" s="294">
        <v>2011</v>
      </c>
      <c r="AO3" s="293" t="s">
        <v>85</v>
      </c>
      <c r="AP3" s="294">
        <v>2012</v>
      </c>
      <c r="AQ3" s="293" t="s">
        <v>85</v>
      </c>
      <c r="AR3" s="294">
        <v>2013</v>
      </c>
      <c r="AS3" s="293" t="s">
        <v>85</v>
      </c>
      <c r="AT3" s="294">
        <v>2014</v>
      </c>
      <c r="AU3" s="293" t="s">
        <v>85</v>
      </c>
      <c r="AV3" s="294">
        <v>2015</v>
      </c>
      <c r="AW3" s="293" t="s">
        <v>85</v>
      </c>
      <c r="AX3" s="294">
        <v>2016</v>
      </c>
      <c r="AY3" s="293" t="s">
        <v>85</v>
      </c>
      <c r="AZ3" s="294">
        <v>2017</v>
      </c>
      <c r="BA3" s="293" t="s">
        <v>85</v>
      </c>
      <c r="BB3" s="294">
        <v>2018</v>
      </c>
      <c r="BC3" s="293" t="s">
        <v>85</v>
      </c>
      <c r="BD3" s="294">
        <v>2019</v>
      </c>
      <c r="BE3" s="293" t="s">
        <v>85</v>
      </c>
      <c r="BF3" s="294">
        <v>2020</v>
      </c>
      <c r="BG3" s="293" t="s">
        <v>85</v>
      </c>
      <c r="BH3" s="294">
        <v>2021</v>
      </c>
      <c r="BI3" s="293" t="s">
        <v>85</v>
      </c>
      <c r="BJ3" s="295">
        <v>2022</v>
      </c>
      <c r="BK3" s="296" t="s">
        <v>85</v>
      </c>
      <c r="BL3" s="372" t="s">
        <v>46</v>
      </c>
    </row>
    <row r="4" spans="1:66" s="11" customFormat="1" x14ac:dyDescent="0.25">
      <c r="A4" s="373"/>
      <c r="B4" s="299" t="s">
        <v>2</v>
      </c>
      <c r="C4" s="194" t="s">
        <v>86</v>
      </c>
      <c r="D4" s="299" t="s">
        <v>2</v>
      </c>
      <c r="E4" s="194" t="s">
        <v>86</v>
      </c>
      <c r="F4" s="299" t="s">
        <v>2</v>
      </c>
      <c r="G4" s="194" t="s">
        <v>86</v>
      </c>
      <c r="H4" s="15" t="s">
        <v>2</v>
      </c>
      <c r="I4" s="194" t="s">
        <v>86</v>
      </c>
      <c r="J4" s="15" t="s">
        <v>2</v>
      </c>
      <c r="K4" s="194" t="s">
        <v>86</v>
      </c>
      <c r="L4" s="15" t="s">
        <v>2</v>
      </c>
      <c r="M4" s="194" t="s">
        <v>86</v>
      </c>
      <c r="N4" s="15" t="s">
        <v>2</v>
      </c>
      <c r="O4" s="194" t="s">
        <v>86</v>
      </c>
      <c r="P4" s="15" t="s">
        <v>2</v>
      </c>
      <c r="Q4" s="194" t="s">
        <v>86</v>
      </c>
      <c r="R4" s="299" t="s">
        <v>2</v>
      </c>
      <c r="S4" s="194" t="s">
        <v>86</v>
      </c>
      <c r="T4" s="299" t="s">
        <v>2</v>
      </c>
      <c r="U4" s="299" t="s">
        <v>86</v>
      </c>
      <c r="V4" s="300" t="s">
        <v>2</v>
      </c>
      <c r="W4" s="299" t="s">
        <v>86</v>
      </c>
      <c r="X4" s="300" t="s">
        <v>2</v>
      </c>
      <c r="Y4" s="299" t="s">
        <v>86</v>
      </c>
      <c r="Z4" s="300" t="s">
        <v>2</v>
      </c>
      <c r="AA4" s="299" t="s">
        <v>86</v>
      </c>
      <c r="AB4" s="300" t="s">
        <v>2</v>
      </c>
      <c r="AC4" s="299" t="s">
        <v>86</v>
      </c>
      <c r="AD4" s="300" t="s">
        <v>2</v>
      </c>
      <c r="AE4" s="299" t="s">
        <v>86</v>
      </c>
      <c r="AF4" s="300" t="s">
        <v>2</v>
      </c>
      <c r="AG4" s="299" t="s">
        <v>86</v>
      </c>
      <c r="AH4" s="300" t="s">
        <v>2</v>
      </c>
      <c r="AI4" s="299" t="s">
        <v>86</v>
      </c>
      <c r="AJ4" s="300" t="s">
        <v>2</v>
      </c>
      <c r="AK4" s="299" t="s">
        <v>86</v>
      </c>
      <c r="AL4" s="300" t="s">
        <v>2</v>
      </c>
      <c r="AM4" s="299" t="s">
        <v>86</v>
      </c>
      <c r="AN4" s="300" t="s">
        <v>2</v>
      </c>
      <c r="AO4" s="299" t="s">
        <v>86</v>
      </c>
      <c r="AP4" s="300" t="s">
        <v>2</v>
      </c>
      <c r="AQ4" s="299" t="s">
        <v>86</v>
      </c>
      <c r="AR4" s="300" t="s">
        <v>2</v>
      </c>
      <c r="AS4" s="299" t="s">
        <v>86</v>
      </c>
      <c r="AT4" s="300" t="s">
        <v>2</v>
      </c>
      <c r="AU4" s="299" t="s">
        <v>86</v>
      </c>
      <c r="AV4" s="300" t="s">
        <v>2</v>
      </c>
      <c r="AW4" s="299" t="s">
        <v>86</v>
      </c>
      <c r="AX4" s="300" t="s">
        <v>2</v>
      </c>
      <c r="AY4" s="299" t="s">
        <v>86</v>
      </c>
      <c r="AZ4" s="300" t="s">
        <v>2</v>
      </c>
      <c r="BA4" s="299" t="s">
        <v>86</v>
      </c>
      <c r="BB4" s="300" t="s">
        <v>2</v>
      </c>
      <c r="BC4" s="299" t="s">
        <v>86</v>
      </c>
      <c r="BD4" s="300" t="s">
        <v>2</v>
      </c>
      <c r="BE4" s="299" t="s">
        <v>86</v>
      </c>
      <c r="BF4" s="300" t="s">
        <v>2</v>
      </c>
      <c r="BG4" s="299" t="s">
        <v>86</v>
      </c>
      <c r="BH4" s="300" t="s">
        <v>2</v>
      </c>
      <c r="BI4" s="299" t="s">
        <v>86</v>
      </c>
      <c r="BJ4" s="301" t="s">
        <v>2</v>
      </c>
      <c r="BK4" s="302" t="s">
        <v>86</v>
      </c>
      <c r="BL4" s="374" t="s">
        <v>42</v>
      </c>
    </row>
    <row r="5" spans="1:66" s="11" customFormat="1" ht="15" thickBot="1" x14ac:dyDescent="0.3">
      <c r="A5" s="373" t="s">
        <v>1</v>
      </c>
      <c r="B5" s="15" t="s">
        <v>44</v>
      </c>
      <c r="C5" s="194" t="s">
        <v>45</v>
      </c>
      <c r="D5" s="15" t="s">
        <v>44</v>
      </c>
      <c r="E5" s="194" t="s">
        <v>45</v>
      </c>
      <c r="F5" s="15" t="s">
        <v>44</v>
      </c>
      <c r="G5" s="194" t="s">
        <v>45</v>
      </c>
      <c r="H5" s="15" t="s">
        <v>44</v>
      </c>
      <c r="I5" s="194" t="s">
        <v>45</v>
      </c>
      <c r="J5" s="15" t="s">
        <v>44</v>
      </c>
      <c r="K5" s="194" t="s">
        <v>45</v>
      </c>
      <c r="L5" s="15" t="s">
        <v>44</v>
      </c>
      <c r="M5" s="194" t="s">
        <v>45</v>
      </c>
      <c r="N5" s="15" t="s">
        <v>44</v>
      </c>
      <c r="O5" s="194" t="s">
        <v>45</v>
      </c>
      <c r="P5" s="15" t="s">
        <v>44</v>
      </c>
      <c r="Q5" s="194" t="s">
        <v>45</v>
      </c>
      <c r="R5" s="15" t="s">
        <v>44</v>
      </c>
      <c r="S5" s="194" t="s">
        <v>45</v>
      </c>
      <c r="T5" s="15" t="s">
        <v>44</v>
      </c>
      <c r="U5" s="299" t="s">
        <v>45</v>
      </c>
      <c r="V5" s="300" t="s">
        <v>44</v>
      </c>
      <c r="W5" s="299" t="s">
        <v>45</v>
      </c>
      <c r="X5" s="375" t="s">
        <v>44</v>
      </c>
      <c r="Y5" s="299" t="s">
        <v>45</v>
      </c>
      <c r="Z5" s="375" t="s">
        <v>44</v>
      </c>
      <c r="AA5" s="299" t="s">
        <v>45</v>
      </c>
      <c r="AB5" s="375" t="s">
        <v>44</v>
      </c>
      <c r="AC5" s="299" t="s">
        <v>45</v>
      </c>
      <c r="AD5" s="375" t="s">
        <v>44</v>
      </c>
      <c r="AE5" s="299" t="s">
        <v>45</v>
      </c>
      <c r="AF5" s="375" t="s">
        <v>44</v>
      </c>
      <c r="AG5" s="299" t="s">
        <v>45</v>
      </c>
      <c r="AH5" s="375" t="s">
        <v>44</v>
      </c>
      <c r="AI5" s="299" t="s">
        <v>45</v>
      </c>
      <c r="AJ5" s="375" t="s">
        <v>44</v>
      </c>
      <c r="AK5" s="299" t="s">
        <v>45</v>
      </c>
      <c r="AL5" s="375" t="s">
        <v>44</v>
      </c>
      <c r="AM5" s="299" t="s">
        <v>45</v>
      </c>
      <c r="AN5" s="375" t="s">
        <v>44</v>
      </c>
      <c r="AO5" s="299" t="s">
        <v>45</v>
      </c>
      <c r="AP5" s="375" t="s">
        <v>44</v>
      </c>
      <c r="AQ5" s="299" t="s">
        <v>45</v>
      </c>
      <c r="AR5" s="375" t="s">
        <v>44</v>
      </c>
      <c r="AS5" s="299" t="s">
        <v>45</v>
      </c>
      <c r="AT5" s="375" t="s">
        <v>44</v>
      </c>
      <c r="AU5" s="299" t="s">
        <v>45</v>
      </c>
      <c r="AV5" s="375" t="s">
        <v>44</v>
      </c>
      <c r="AW5" s="299" t="s">
        <v>45</v>
      </c>
      <c r="AX5" s="375" t="s">
        <v>44</v>
      </c>
      <c r="AY5" s="299" t="s">
        <v>45</v>
      </c>
      <c r="AZ5" s="375" t="s">
        <v>44</v>
      </c>
      <c r="BA5" s="299" t="s">
        <v>45</v>
      </c>
      <c r="BB5" s="375" t="s">
        <v>44</v>
      </c>
      <c r="BC5" s="299" t="s">
        <v>45</v>
      </c>
      <c r="BD5" s="375" t="s">
        <v>44</v>
      </c>
      <c r="BE5" s="299" t="s">
        <v>45</v>
      </c>
      <c r="BF5" s="375" t="s">
        <v>44</v>
      </c>
      <c r="BG5" s="299" t="s">
        <v>45</v>
      </c>
      <c r="BH5" s="375" t="s">
        <v>44</v>
      </c>
      <c r="BI5" s="299" t="s">
        <v>45</v>
      </c>
      <c r="BJ5" s="376" t="s">
        <v>44</v>
      </c>
      <c r="BK5" s="302" t="s">
        <v>45</v>
      </c>
      <c r="BL5" s="374" t="s">
        <v>144</v>
      </c>
    </row>
    <row r="6" spans="1:66" s="11" customFormat="1" ht="15" thickTop="1" x14ac:dyDescent="0.25">
      <c r="A6" s="399"/>
      <c r="B6" s="400"/>
      <c r="C6" s="401"/>
      <c r="D6" s="400"/>
      <c r="E6" s="401"/>
      <c r="F6" s="400"/>
      <c r="G6" s="401"/>
      <c r="H6" s="400"/>
      <c r="I6" s="401"/>
      <c r="J6" s="400"/>
      <c r="K6" s="401"/>
      <c r="L6" s="400"/>
      <c r="M6" s="401"/>
      <c r="N6" s="400"/>
      <c r="O6" s="401"/>
      <c r="P6" s="400"/>
      <c r="Q6" s="401"/>
      <c r="R6" s="400"/>
      <c r="S6" s="401"/>
      <c r="T6" s="400"/>
      <c r="U6" s="401"/>
      <c r="V6" s="402"/>
      <c r="W6" s="402"/>
      <c r="X6" s="403"/>
      <c r="Y6" s="402"/>
      <c r="Z6" s="403"/>
      <c r="AA6" s="401"/>
      <c r="AB6" s="400"/>
      <c r="AC6" s="401"/>
      <c r="AD6" s="400"/>
      <c r="AE6" s="401"/>
      <c r="AF6" s="402"/>
      <c r="AG6" s="401"/>
      <c r="AH6" s="400"/>
      <c r="AI6" s="401"/>
      <c r="AJ6" s="402"/>
      <c r="AK6" s="401"/>
      <c r="AL6" s="400"/>
      <c r="AM6" s="401"/>
      <c r="AN6" s="402"/>
      <c r="AO6" s="401"/>
      <c r="AP6" s="400"/>
      <c r="AQ6" s="401"/>
      <c r="AR6" s="402"/>
      <c r="AS6" s="401"/>
      <c r="AT6" s="400"/>
      <c r="AU6" s="401"/>
      <c r="AV6" s="402"/>
      <c r="AW6" s="401"/>
      <c r="AX6" s="400"/>
      <c r="AY6" s="401"/>
      <c r="AZ6" s="402"/>
      <c r="BA6" s="401"/>
      <c r="BB6" s="400"/>
      <c r="BC6" s="401"/>
      <c r="BD6" s="402"/>
      <c r="BE6" s="401"/>
      <c r="BF6" s="400"/>
      <c r="BG6" s="401"/>
      <c r="BH6" s="402"/>
      <c r="BI6" s="401"/>
      <c r="BJ6" s="404"/>
      <c r="BK6" s="404"/>
      <c r="BL6" s="405"/>
    </row>
    <row r="7" spans="1:66" ht="15" customHeight="1" x14ac:dyDescent="0.25">
      <c r="A7" s="377" t="str">
        <f>'Table 4'!A7</f>
        <v>Baker</v>
      </c>
      <c r="B7" s="322">
        <v>8419</v>
      </c>
      <c r="C7" s="324">
        <f>B7*2000/('Table 5'!B7*2000/'Table 5'!C7)</f>
        <v>1062.3343848580441</v>
      </c>
      <c r="D7" s="13">
        <v>7800</v>
      </c>
      <c r="E7" s="324">
        <f>D7*2000/('Table 5'!D7*2000/'Table 5'!E7)</f>
        <v>964.74953617810763</v>
      </c>
      <c r="F7" s="13">
        <v>8253</v>
      </c>
      <c r="G7" s="324">
        <f>F7*2000/('Table 5'!F7*2000/'Table 5'!G7)</f>
        <v>1005.237515225335</v>
      </c>
      <c r="H7" s="13">
        <v>9876</v>
      </c>
      <c r="I7" s="324">
        <f>H7*2000/('Table 5'!H7*2000/'Table 5'!I7)</f>
        <v>1184.1726618705036</v>
      </c>
      <c r="J7" s="13">
        <v>10896.5</v>
      </c>
      <c r="K7" s="324">
        <f>J7*2000/('Table 5'!J7*2000/'Table 5'!K7)</f>
        <v>1309.6754807692307</v>
      </c>
      <c r="L7" s="13">
        <v>12421.8</v>
      </c>
      <c r="M7" s="324">
        <f>L7*2000/('Table 5'!L7*2000/'Table 5'!M7)</f>
        <v>1484.9731022115959</v>
      </c>
      <c r="N7" s="378">
        <v>12376</v>
      </c>
      <c r="O7" s="324">
        <f>N7*2000/('Table 5'!N7*2000/'Table 5'!O7)</f>
        <v>1471.5814506539834</v>
      </c>
      <c r="P7" s="378">
        <v>12602.1</v>
      </c>
      <c r="Q7" s="324">
        <f>P7*2000/('Table 5'!P7*2000/'Table 5'!Q7)</f>
        <v>1507.4282296650717</v>
      </c>
      <c r="R7" s="379">
        <v>12617</v>
      </c>
      <c r="S7" s="324">
        <v>1507</v>
      </c>
      <c r="T7" s="378">
        <v>11317</v>
      </c>
      <c r="U7" s="96">
        <v>1355</v>
      </c>
      <c r="V7" s="13">
        <v>13047</v>
      </c>
      <c r="W7" s="13">
        <v>1562.5149700598802</v>
      </c>
      <c r="X7" s="323">
        <v>12589.7</v>
      </c>
      <c r="Y7" s="96">
        <v>1526.0242424242424</v>
      </c>
      <c r="Z7" s="323">
        <v>12121.82</v>
      </c>
      <c r="AA7" s="96">
        <v>1464.87250755287</v>
      </c>
      <c r="AB7" s="13">
        <v>12733.6</v>
      </c>
      <c r="AC7" s="96">
        <v>1543.4666666666667</v>
      </c>
      <c r="AD7" s="13">
        <v>13769.8</v>
      </c>
      <c r="AE7" s="96">
        <v>1672.1068609593199</v>
      </c>
      <c r="AF7" s="325">
        <v>12730.036</v>
      </c>
      <c r="AG7" s="326">
        <v>1549.1373288713112</v>
      </c>
      <c r="AH7" s="325">
        <v>12972.927</v>
      </c>
      <c r="AI7" s="326">
        <v>1576.5681056153951</v>
      </c>
      <c r="AJ7" s="323">
        <v>11390.624</v>
      </c>
      <c r="AK7" s="96">
        <v>1384.8782978723405</v>
      </c>
      <c r="AL7" s="323">
        <v>13692.589999999997</v>
      </c>
      <c r="AM7" s="96">
        <v>1692.0098856966322</v>
      </c>
      <c r="AN7" s="323">
        <v>11926.02</v>
      </c>
      <c r="AO7" s="96">
        <v>1470.9861239592969</v>
      </c>
      <c r="AP7" s="323">
        <v>10609.583000000001</v>
      </c>
      <c r="AQ7" s="96">
        <v>1309.0170265268353</v>
      </c>
      <c r="AR7" s="323">
        <v>11309.447</v>
      </c>
      <c r="AS7" s="96">
        <v>1389.3669533169534</v>
      </c>
      <c r="AT7" s="13">
        <v>10250.814</v>
      </c>
      <c r="AU7" s="13">
        <v>1255.8424502297091</v>
      </c>
      <c r="AV7" s="323">
        <v>11585.387000000001</v>
      </c>
      <c r="AW7" s="96">
        <v>1410.7016133942161</v>
      </c>
      <c r="AX7" s="323">
        <v>12431.973</v>
      </c>
      <c r="AY7" s="96">
        <v>1505.9930950938824</v>
      </c>
      <c r="AZ7" s="323">
        <v>14077.861000000001</v>
      </c>
      <c r="BA7" s="96">
        <v>1680.9386268656717</v>
      </c>
      <c r="BB7" s="323">
        <v>13419.837000000001</v>
      </c>
      <c r="BC7" s="96">
        <v>1600.9349239487028</v>
      </c>
      <c r="BD7" s="323">
        <v>13563.064</v>
      </c>
      <c r="BE7" s="96">
        <v>1612.7305588585018</v>
      </c>
      <c r="BF7" s="323">
        <v>13939.707999999999</v>
      </c>
      <c r="BG7" s="96">
        <v>1648.6940272028382</v>
      </c>
      <c r="BH7" s="323">
        <v>14129.38</v>
      </c>
      <c r="BI7" s="96">
        <v>1676.0830367734281</v>
      </c>
      <c r="BJ7" s="327">
        <f>'Table 3'!B6</f>
        <v>14070.922</v>
      </c>
      <c r="BK7" s="380">
        <f>'Table 3'!C6</f>
        <v>1641.1027410497056</v>
      </c>
      <c r="BL7" s="381">
        <f>(BK7/BI7)-1</f>
        <v>-2.0870264155326002E-2</v>
      </c>
      <c r="BM7" s="16"/>
      <c r="BN7" s="38"/>
    </row>
    <row r="8" spans="1:66" ht="15" customHeight="1" x14ac:dyDescent="0.25">
      <c r="A8" s="377" t="str">
        <f>'Table 4'!A8</f>
        <v>Benton</v>
      </c>
      <c r="B8" s="322">
        <v>58761</v>
      </c>
      <c r="C8" s="324">
        <f>B8*2000/('Table 5'!B8*2000/'Table 5'!C8)</f>
        <v>1713.1486880466473</v>
      </c>
      <c r="D8" s="13">
        <v>51511.4</v>
      </c>
      <c r="E8" s="324">
        <f>D8*2000/('Table 5'!D8*2000/'Table 5'!E8)</f>
        <v>1474.598153581908</v>
      </c>
      <c r="F8" s="13">
        <v>43586.400000000001</v>
      </c>
      <c r="G8" s="324">
        <f>F8*2000/('Table 5'!F8*2000/'Table 5'!G8)</f>
        <v>1224.0791967984273</v>
      </c>
      <c r="H8" s="13">
        <v>47479</v>
      </c>
      <c r="I8" s="324">
        <f>H8*2000/('Table 5'!H8*2000/'Table 5'!I8)</f>
        <v>1317.5801304287497</v>
      </c>
      <c r="J8" s="13">
        <v>50840</v>
      </c>
      <c r="K8" s="324">
        <f>J8*2000/('Table 5'!J8*2000/'Table 5'!K8)</f>
        <v>1390.2105550998085</v>
      </c>
      <c r="L8" s="13">
        <v>46024.3</v>
      </c>
      <c r="M8" s="324">
        <f>L8*2000/('Table 5'!L8*2000/'Table 5'!M8)</f>
        <v>1249.471969594136</v>
      </c>
      <c r="N8" s="378">
        <v>45550.6</v>
      </c>
      <c r="O8" s="324">
        <f>N8*2000/('Table 5'!N8*2000/'Table 5'!O8)</f>
        <v>1233.5978334461747</v>
      </c>
      <c r="P8" s="378">
        <v>54675</v>
      </c>
      <c r="Q8" s="324">
        <f>P8*2000/('Table 5'!P8*2000/'Table 5'!Q8)</f>
        <v>1496.7150287434986</v>
      </c>
      <c r="R8" s="379">
        <v>53835</v>
      </c>
      <c r="S8" s="314">
        <v>1472</v>
      </c>
      <c r="T8" s="379">
        <v>51577</v>
      </c>
      <c r="U8" s="96">
        <v>1399</v>
      </c>
      <c r="V8" s="13">
        <v>52376.6</v>
      </c>
      <c r="W8" s="13">
        <v>1405.8001744615178</v>
      </c>
      <c r="X8" s="323">
        <v>53861.2</v>
      </c>
      <c r="Y8" s="96">
        <v>1446.6178741690728</v>
      </c>
      <c r="Z8" s="323">
        <v>55848.614999999998</v>
      </c>
      <c r="AA8" s="96">
        <v>1478.7479976169986</v>
      </c>
      <c r="AB8" s="13">
        <v>58321.8</v>
      </c>
      <c r="AC8" s="96">
        <v>1527.1484681853888</v>
      </c>
      <c r="AD8" s="13">
        <v>62940.337</v>
      </c>
      <c r="AE8" s="96">
        <v>1622.4245244109914</v>
      </c>
      <c r="AF8" s="325">
        <v>57108.58</v>
      </c>
      <c r="AG8" s="326">
        <v>1451.2796533716216</v>
      </c>
      <c r="AH8" s="325">
        <v>54674.906999999999</v>
      </c>
      <c r="AI8" s="326">
        <v>1381.7394345317246</v>
      </c>
      <c r="AJ8" s="323">
        <v>51470.243999999999</v>
      </c>
      <c r="AK8" s="96">
        <v>1292.2157113805829</v>
      </c>
      <c r="AL8" s="323">
        <v>52944.847000000002</v>
      </c>
      <c r="AM8" s="96">
        <v>1337.8694850154141</v>
      </c>
      <c r="AN8" s="323">
        <v>54524.957999999991</v>
      </c>
      <c r="AO8" s="96">
        <v>1375.2085955332482</v>
      </c>
      <c r="AP8" s="323">
        <v>54061.767</v>
      </c>
      <c r="AQ8" s="96">
        <v>1351.1894877594632</v>
      </c>
      <c r="AR8" s="323">
        <v>53516.487000000001</v>
      </c>
      <c r="AS8" s="96">
        <v>1324.4524272084936</v>
      </c>
      <c r="AT8" s="13">
        <v>57050.008999999998</v>
      </c>
      <c r="AU8" s="13">
        <v>1398.3873569134985</v>
      </c>
      <c r="AV8" s="323">
        <v>61330.745000000003</v>
      </c>
      <c r="AW8" s="96">
        <v>1482.5290676593584</v>
      </c>
      <c r="AX8" s="323">
        <v>62440.034</v>
      </c>
      <c r="AY8" s="96">
        <v>1492.4774778004853</v>
      </c>
      <c r="AZ8" s="323">
        <v>63213.851000000002</v>
      </c>
      <c r="BA8" s="96">
        <v>1489.9263685109893</v>
      </c>
      <c r="BB8" s="323">
        <v>64846.925000000003</v>
      </c>
      <c r="BC8" s="96">
        <v>1514.3189911845409</v>
      </c>
      <c r="BD8" s="323">
        <v>66131.010999999969</v>
      </c>
      <c r="BE8" s="96">
        <v>1536.0550722954526</v>
      </c>
      <c r="BF8" s="323">
        <v>60969.953999999998</v>
      </c>
      <c r="BG8" s="96">
        <v>1411.9134834713136</v>
      </c>
      <c r="BH8" s="323">
        <v>67055.118999999992</v>
      </c>
      <c r="BI8" s="96">
        <v>1584.2161976988682</v>
      </c>
      <c r="BJ8" s="327">
        <f>'Table 3'!B7</f>
        <v>71810.793000000005</v>
      </c>
      <c r="BK8" s="380">
        <f>'Table 3'!C7</f>
        <v>1662.7776271832161</v>
      </c>
      <c r="BL8" s="381">
        <f t="shared" ref="BL8:BL41" si="0">(BK8/BI8)-1</f>
        <v>4.9590093573377958E-2</v>
      </c>
      <c r="BM8" s="16"/>
      <c r="BN8" s="38"/>
    </row>
    <row r="9" spans="1:66" ht="15" customHeight="1" x14ac:dyDescent="0.25">
      <c r="A9" s="377" t="str">
        <f>'Table 4'!A9</f>
        <v>Clatsop</v>
      </c>
      <c r="B9" s="322">
        <v>22263</v>
      </c>
      <c r="C9" s="324">
        <f>B9*2000/('Table 5'!B9*2000/'Table 5'!C9)</f>
        <v>1299.2704989786985</v>
      </c>
      <c r="D9" s="13">
        <v>25515.8</v>
      </c>
      <c r="E9" s="324">
        <f>D9*2000/('Table 5'!D9*2000/'Table 5'!E9)</f>
        <v>1472.3485285631853</v>
      </c>
      <c r="F9" s="13">
        <v>27938.6</v>
      </c>
      <c r="G9" s="324">
        <f>F9*2000/('Table 5'!F9*2000/'Table 5'!G9)</f>
        <v>1586.9696109059926</v>
      </c>
      <c r="H9" s="13">
        <v>29272</v>
      </c>
      <c r="I9" s="324">
        <f>H9*2000/('Table 5'!H9*2000/'Table 5'!I9)</f>
        <v>1652.3849844764325</v>
      </c>
      <c r="J9" s="13">
        <v>28670.7</v>
      </c>
      <c r="K9" s="324">
        <f>J9*2000/('Table 5'!J9*2000/'Table 5'!K9)</f>
        <v>1623.4824462061156</v>
      </c>
      <c r="L9" s="13">
        <v>29760.400000000001</v>
      </c>
      <c r="M9" s="324">
        <f>L9*2000/('Table 5'!L9*2000/'Table 5'!M9)</f>
        <v>1670.5248386191411</v>
      </c>
      <c r="N9" s="378">
        <v>30715.9</v>
      </c>
      <c r="O9" s="324">
        <f>N9*2000/('Table 5'!N9*2000/'Table 5'!O9)</f>
        <v>1726.0972183197528</v>
      </c>
      <c r="P9" s="378">
        <v>32046.9</v>
      </c>
      <c r="Q9" s="324">
        <f>P9*2000/('Table 5'!P9*2000/'Table 5'!Q9)</f>
        <v>1801.3996627318718</v>
      </c>
      <c r="R9" s="379">
        <v>31489</v>
      </c>
      <c r="S9" s="314">
        <v>1764</v>
      </c>
      <c r="T9" s="379">
        <v>31318</v>
      </c>
      <c r="U9" s="96">
        <v>1747</v>
      </c>
      <c r="V9" s="13">
        <v>33745.1</v>
      </c>
      <c r="W9" s="13">
        <v>1869.5346260387812</v>
      </c>
      <c r="X9" s="323">
        <v>33400.1</v>
      </c>
      <c r="Y9" s="96">
        <v>1840.2258953168043</v>
      </c>
      <c r="Z9" s="323">
        <v>33491.67</v>
      </c>
      <c r="AA9" s="96">
        <v>1840.2016483516484</v>
      </c>
      <c r="AB9" s="13">
        <v>35717.300000000003</v>
      </c>
      <c r="AC9" s="96">
        <v>1949.6342794759826</v>
      </c>
      <c r="AD9" s="13">
        <v>38124.663999999997</v>
      </c>
      <c r="AE9" s="96">
        <v>2058.289323795384</v>
      </c>
      <c r="AF9" s="325">
        <v>36873.67</v>
      </c>
      <c r="AG9" s="326">
        <v>1969.7473290598291</v>
      </c>
      <c r="AH9" s="325">
        <v>36529.271999999997</v>
      </c>
      <c r="AI9" s="326">
        <v>1938.1145818454161</v>
      </c>
      <c r="AJ9" s="323">
        <v>31293.177000000003</v>
      </c>
      <c r="AK9" s="96">
        <v>1653.9734143763214</v>
      </c>
      <c r="AL9" s="323">
        <v>31036.322999999997</v>
      </c>
      <c r="AM9" s="96">
        <v>1674.4711626652277</v>
      </c>
      <c r="AN9" s="323">
        <v>29266.349999999995</v>
      </c>
      <c r="AO9" s="96">
        <v>1575.7894736842104</v>
      </c>
      <c r="AP9" s="323">
        <v>29291.302</v>
      </c>
      <c r="AQ9" s="96">
        <v>1575.2246302769561</v>
      </c>
      <c r="AR9" s="323">
        <v>28968.852999999999</v>
      </c>
      <c r="AS9" s="96">
        <v>1554.5400053662463</v>
      </c>
      <c r="AT9" s="13">
        <v>31313.668000000001</v>
      </c>
      <c r="AU9" s="13">
        <v>1670.2849979997334</v>
      </c>
      <c r="AV9" s="323">
        <v>32169.628000000001</v>
      </c>
      <c r="AW9" s="96">
        <v>1704.3511523178809</v>
      </c>
      <c r="AX9" s="323">
        <v>34075.89899999999</v>
      </c>
      <c r="AY9" s="96">
        <v>1782.9116546762586</v>
      </c>
      <c r="AZ9" s="323">
        <v>33381.356</v>
      </c>
      <c r="BA9" s="96">
        <v>1719.8019577537352</v>
      </c>
      <c r="BB9" s="323">
        <v>34441.731</v>
      </c>
      <c r="BC9" s="96">
        <v>1757.2311734693878</v>
      </c>
      <c r="BD9" s="323">
        <v>35031.269000000015</v>
      </c>
      <c r="BE9" s="96">
        <v>1781.4019323671505</v>
      </c>
      <c r="BF9" s="323">
        <v>35335.991999999998</v>
      </c>
      <c r="BG9" s="96">
        <v>1791.2047649220631</v>
      </c>
      <c r="BH9" s="323">
        <v>42832.007999999994</v>
      </c>
      <c r="BI9" s="96">
        <v>2067.7806314569852</v>
      </c>
      <c r="BJ9" s="327">
        <f>'Table 3'!B8</f>
        <v>41703.248999999996</v>
      </c>
      <c r="BK9" s="380">
        <f>'Table 3'!C8</f>
        <v>1987.2219702495061</v>
      </c>
      <c r="BL9" s="381">
        <f t="shared" si="0"/>
        <v>-3.8958997865608413E-2</v>
      </c>
      <c r="BM9" s="16"/>
      <c r="BN9" s="38"/>
    </row>
    <row r="10" spans="1:66" ht="15" customHeight="1" x14ac:dyDescent="0.25">
      <c r="A10" s="377" t="str">
        <f>'Table 4'!A10</f>
        <v>Columbia</v>
      </c>
      <c r="B10" s="322">
        <v>15130.7</v>
      </c>
      <c r="C10" s="324">
        <f>B10*2000/('Table 5'!B10*2000/'Table 5'!C10)</f>
        <v>779.73202782787939</v>
      </c>
      <c r="D10" s="13">
        <v>15260.4</v>
      </c>
      <c r="E10" s="324">
        <f>D10*2000/('Table 5'!D10*2000/'Table 5'!E10)</f>
        <v>773.85395537525358</v>
      </c>
      <c r="F10" s="13">
        <v>18313.900000000001</v>
      </c>
      <c r="G10" s="324">
        <f>F10*2000/('Table 5'!F10*2000/'Table 5'!G10)</f>
        <v>918.45035105315947</v>
      </c>
      <c r="H10" s="13">
        <v>18967</v>
      </c>
      <c r="I10" s="324">
        <f>H10*2000/('Table 5'!H10*2000/'Table 5'!I10)</f>
        <v>936.17966436327742</v>
      </c>
      <c r="J10" s="13">
        <v>22649.599999999999</v>
      </c>
      <c r="K10" s="324">
        <f>J10*2000/('Table 5'!J10*2000/'Table 5'!K10)</f>
        <v>1094.7124214596424</v>
      </c>
      <c r="L10" s="13">
        <v>19163.5</v>
      </c>
      <c r="M10" s="324">
        <f>L10*2000/('Table 5'!L10*2000/'Table 5'!M10)</f>
        <v>913.41754051477596</v>
      </c>
      <c r="N10" s="378">
        <v>23004.2</v>
      </c>
      <c r="O10" s="324">
        <f>N10*2000/('Table 5'!N10*2000/'Table 5'!O10)</f>
        <v>1077.7324900445069</v>
      </c>
      <c r="P10" s="378">
        <v>23519.4</v>
      </c>
      <c r="Q10" s="324">
        <f>P10*2000/('Table 5'!P10*2000/'Table 5'!Q10)</f>
        <v>1086.8484288354898</v>
      </c>
      <c r="R10" s="379">
        <v>23201</v>
      </c>
      <c r="S10" s="314">
        <v>1062</v>
      </c>
      <c r="T10" s="379">
        <v>23197</v>
      </c>
      <c r="U10" s="96">
        <v>1047</v>
      </c>
      <c r="V10" s="13">
        <v>23130.3</v>
      </c>
      <c r="W10" s="13">
        <v>1037.2331838565021</v>
      </c>
      <c r="X10" s="323">
        <v>24132.6</v>
      </c>
      <c r="Y10" s="13">
        <v>1072.56</v>
      </c>
      <c r="Z10" s="323">
        <v>25419.71</v>
      </c>
      <c r="AA10" s="96">
        <v>1113.6784227820372</v>
      </c>
      <c r="AB10" s="13">
        <v>28081.599999999999</v>
      </c>
      <c r="AC10" s="96">
        <v>1215.1276503678062</v>
      </c>
      <c r="AD10" s="13">
        <v>29541.491000000002</v>
      </c>
      <c r="AE10" s="96">
        <v>1258.0215479612477</v>
      </c>
      <c r="AF10" s="314" t="s">
        <v>123</v>
      </c>
      <c r="AG10" s="324" t="s">
        <v>124</v>
      </c>
      <c r="AH10" s="325">
        <v>30412.382000000001</v>
      </c>
      <c r="AI10" s="326">
        <v>1264.7179186729209</v>
      </c>
      <c r="AJ10" s="323">
        <v>25364.9</v>
      </c>
      <c r="AK10" s="96">
        <v>1047.9198512703986</v>
      </c>
      <c r="AL10" s="323">
        <v>24616.088</v>
      </c>
      <c r="AM10" s="96">
        <v>995.99789601456609</v>
      </c>
      <c r="AN10" s="323">
        <v>24613.670000000006</v>
      </c>
      <c r="AO10" s="96">
        <v>991.98670025188937</v>
      </c>
      <c r="AP10" s="323">
        <v>25399.756000000001</v>
      </c>
      <c r="AQ10" s="96">
        <v>1022.5344605475041</v>
      </c>
      <c r="AR10" s="323">
        <v>24969.685000000001</v>
      </c>
      <c r="AS10" s="96">
        <v>1001.792778335005</v>
      </c>
      <c r="AT10" s="13">
        <v>25696.907999999999</v>
      </c>
      <c r="AU10" s="13">
        <v>1026.3368147778333</v>
      </c>
      <c r="AV10" s="323">
        <v>26129.642</v>
      </c>
      <c r="AW10" s="96">
        <v>1037.0963286366343</v>
      </c>
      <c r="AX10" s="323">
        <v>28656.655999999999</v>
      </c>
      <c r="AY10" s="96">
        <v>1128.3258588443744</v>
      </c>
      <c r="AZ10" s="323">
        <v>32062.083999999999</v>
      </c>
      <c r="BA10" s="96">
        <v>1248.8882656539099</v>
      </c>
      <c r="BB10" s="323">
        <v>32377.24</v>
      </c>
      <c r="BC10" s="96">
        <v>1247.6778420038536</v>
      </c>
      <c r="BD10" s="323">
        <v>33961.071999999993</v>
      </c>
      <c r="BE10" s="96">
        <v>1287.6235829383884</v>
      </c>
      <c r="BF10" s="323">
        <v>34178.146999999997</v>
      </c>
      <c r="BG10" s="96">
        <v>1282.9634759759761</v>
      </c>
      <c r="BH10" s="323">
        <v>35779.400999999998</v>
      </c>
      <c r="BI10" s="96">
        <v>1349.8095220130531</v>
      </c>
      <c r="BJ10" s="327">
        <f>'Table 3'!B9</f>
        <v>32798.289000000012</v>
      </c>
      <c r="BK10" s="380">
        <f>'Table 3'!C9</f>
        <v>1234.0483409664703</v>
      </c>
      <c r="BL10" s="381">
        <f t="shared" si="0"/>
        <v>-8.5761123446470466E-2</v>
      </c>
      <c r="BM10" s="16"/>
      <c r="BN10" s="38"/>
    </row>
    <row r="11" spans="1:66" ht="15" customHeight="1" x14ac:dyDescent="0.25">
      <c r="A11" s="382" t="str">
        <f>'Table 4'!A11</f>
        <v>Coos</v>
      </c>
      <c r="B11" s="328">
        <v>37596</v>
      </c>
      <c r="C11" s="331">
        <f>B11*2000/('Table 5'!B11*2000/'Table 5'!C11)</f>
        <v>1210.6263081629368</v>
      </c>
      <c r="D11" s="332">
        <v>35844.400000000001</v>
      </c>
      <c r="E11" s="331">
        <f>D11*2000/('Table 5'!D11*2000/'Table 5'!E11)</f>
        <v>1138.8212867355044</v>
      </c>
      <c r="F11" s="332">
        <v>39014.400000000001</v>
      </c>
      <c r="G11" s="331">
        <f>F11*2000/('Table 5'!F11*2000/'Table 5'!G11)</f>
        <v>1233.6569169960474</v>
      </c>
      <c r="H11" s="332">
        <v>35988</v>
      </c>
      <c r="I11" s="331">
        <f>H11*2000/('Table 5'!H11*2000/'Table 5'!I11)</f>
        <v>1133.3018422295702</v>
      </c>
      <c r="J11" s="332">
        <v>36436.400000000001</v>
      </c>
      <c r="K11" s="331">
        <f>J11*2000/('Table 5'!J11*2000/'Table 5'!K11)</f>
        <v>1148.3265048849669</v>
      </c>
      <c r="L11" s="332">
        <v>38152.9</v>
      </c>
      <c r="M11" s="331">
        <f>L11*2000/('Table 5'!L11*2000/'Table 5'!M11)</f>
        <v>1202.423573904822</v>
      </c>
      <c r="N11" s="383">
        <v>37434.1</v>
      </c>
      <c r="O11" s="331">
        <f>N11*2000/('Table 5'!N11*2000/'Table 5'!O11)</f>
        <v>1184.2486554887694</v>
      </c>
      <c r="P11" s="384">
        <v>39302.1</v>
      </c>
      <c r="Q11" s="331">
        <f>P11*2000/('Table 5'!P11*2000/'Table 5'!Q11)</f>
        <v>1250.4645243398027</v>
      </c>
      <c r="R11" s="384">
        <v>39329</v>
      </c>
      <c r="S11" s="329">
        <v>1253</v>
      </c>
      <c r="T11" s="384">
        <v>37711</v>
      </c>
      <c r="U11" s="333">
        <v>1198</v>
      </c>
      <c r="V11" s="332">
        <v>40348.800000000003</v>
      </c>
      <c r="W11" s="332">
        <v>1288.0702314445332</v>
      </c>
      <c r="X11" s="330">
        <v>43519.6</v>
      </c>
      <c r="Y11" s="332">
        <v>1381.5746031746032</v>
      </c>
      <c r="Z11" s="330">
        <v>46378.324999999997</v>
      </c>
      <c r="AA11" s="333">
        <v>1479.3724082934609</v>
      </c>
      <c r="AB11" s="332">
        <v>46432.7</v>
      </c>
      <c r="AC11" s="333">
        <v>1481.2249780684265</v>
      </c>
      <c r="AD11" s="332">
        <v>50867.77</v>
      </c>
      <c r="AE11" s="333">
        <v>1617.2886098084414</v>
      </c>
      <c r="AF11" s="338">
        <v>49458.77</v>
      </c>
      <c r="AG11" s="339">
        <v>1568.8745440126884</v>
      </c>
      <c r="AH11" s="338">
        <v>47265.578999999998</v>
      </c>
      <c r="AI11" s="339">
        <v>1495.5166260334843</v>
      </c>
      <c r="AJ11" s="330">
        <v>42304.610999999997</v>
      </c>
      <c r="AK11" s="333">
        <v>1341.6193134068026</v>
      </c>
      <c r="AL11" s="330">
        <v>41862.225999999995</v>
      </c>
      <c r="AM11" s="333">
        <v>1328.2216546363129</v>
      </c>
      <c r="AN11" s="330">
        <v>39986.564999999988</v>
      </c>
      <c r="AO11" s="333">
        <v>1270.2212515883095</v>
      </c>
      <c r="AP11" s="330">
        <v>40732.531000000003</v>
      </c>
      <c r="AQ11" s="333">
        <v>1295.3579583399587</v>
      </c>
      <c r="AR11" s="330">
        <v>40286.951000000001</v>
      </c>
      <c r="AS11" s="333">
        <v>1281.7992682150812</v>
      </c>
      <c r="AT11" s="332">
        <v>42222.387999999999</v>
      </c>
      <c r="AU11" s="332">
        <v>1342.5242607313196</v>
      </c>
      <c r="AV11" s="330">
        <v>42361.667999999998</v>
      </c>
      <c r="AW11" s="333">
        <v>1345.0283537069377</v>
      </c>
      <c r="AX11" s="330">
        <v>45467.552999999993</v>
      </c>
      <c r="AY11" s="333">
        <v>1439.0743155562586</v>
      </c>
      <c r="AZ11" s="330">
        <v>48727.661</v>
      </c>
      <c r="BA11" s="333">
        <v>1539.3353656610329</v>
      </c>
      <c r="BB11" s="330">
        <v>51175.119000000006</v>
      </c>
      <c r="BC11" s="333">
        <v>1617.5462346898462</v>
      </c>
      <c r="BD11" s="330">
        <v>53356.425999999992</v>
      </c>
      <c r="BE11" s="333">
        <v>1686.0934112814027</v>
      </c>
      <c r="BF11" s="330">
        <v>55199.114999999991</v>
      </c>
      <c r="BG11" s="333">
        <v>1743.6346837242356</v>
      </c>
      <c r="BH11" s="330">
        <v>58344.041000000005</v>
      </c>
      <c r="BI11" s="333">
        <v>1790.9580685759895</v>
      </c>
      <c r="BJ11" s="340">
        <f>'Table 3'!B10</f>
        <v>58990.633999999998</v>
      </c>
      <c r="BK11" s="385">
        <f>'Table 3'!C10</f>
        <v>1811.9848109572811</v>
      </c>
      <c r="BL11" s="386">
        <f t="shared" si="0"/>
        <v>1.1740499540567217E-2</v>
      </c>
      <c r="BM11" s="16"/>
      <c r="BN11" s="38"/>
    </row>
    <row r="12" spans="1:66" ht="15" customHeight="1" x14ac:dyDescent="0.25">
      <c r="A12" s="377" t="str">
        <f>'Table 4'!A12</f>
        <v>Crook</v>
      </c>
      <c r="B12" s="322">
        <v>8378</v>
      </c>
      <c r="C12" s="324">
        <f>B12*2000/('Table 5'!B12*2000/'Table 5'!C12)</f>
        <v>1090.8854166666667</v>
      </c>
      <c r="D12" s="13">
        <v>6259.9</v>
      </c>
      <c r="E12" s="324">
        <f>D12*2000/('Table 5'!D12*2000/'Table 5'!E12)</f>
        <v>783.46683354192737</v>
      </c>
      <c r="F12" s="13">
        <v>6621.2</v>
      </c>
      <c r="G12" s="324">
        <f>F12*2000/('Table 5'!F12*2000/'Table 5'!G12)</f>
        <v>804.52004860267311</v>
      </c>
      <c r="H12" s="13">
        <v>7279</v>
      </c>
      <c r="I12" s="324">
        <f>H12*2000/('Table 5'!H12*2000/'Table 5'!I12)</f>
        <v>856.85697469099466</v>
      </c>
      <c r="J12" s="13">
        <v>10646.3</v>
      </c>
      <c r="K12" s="324">
        <f>J12*2000/('Table 5'!J12*2000/'Table 5'!K12)</f>
        <v>1223.7126436781609</v>
      </c>
      <c r="L12" s="13">
        <v>12606.5</v>
      </c>
      <c r="M12" s="324">
        <f>L12*2000/('Table 5'!L12*2000/'Table 5'!M12)</f>
        <v>1414.0773976444195</v>
      </c>
      <c r="N12" s="378">
        <v>14232.4</v>
      </c>
      <c r="O12" s="324">
        <f>N12*2000/('Table 5'!N12*2000/'Table 5'!O12)</f>
        <v>1552.0610687022902</v>
      </c>
      <c r="P12" s="378">
        <v>14034.1</v>
      </c>
      <c r="Q12" s="324">
        <f>P12*2000/('Table 5'!P12*2000/'Table 5'!Q12)</f>
        <v>1485.8761249338274</v>
      </c>
      <c r="R12" s="387">
        <v>13841</v>
      </c>
      <c r="S12" s="388">
        <v>1434</v>
      </c>
      <c r="T12" s="379">
        <v>11872</v>
      </c>
      <c r="U12" s="13">
        <v>1196</v>
      </c>
      <c r="V12" s="334">
        <v>16907.099999999999</v>
      </c>
      <c r="W12" s="13">
        <v>1673.970297029703</v>
      </c>
      <c r="X12" s="323">
        <v>16876.5</v>
      </c>
      <c r="Y12" s="13">
        <v>1662.7093596059112</v>
      </c>
      <c r="Z12" s="334">
        <v>16920.044999999998</v>
      </c>
      <c r="AA12" s="96">
        <v>1638.7452784503632</v>
      </c>
      <c r="AB12" s="13">
        <v>18637.7</v>
      </c>
      <c r="AC12" s="96">
        <v>1636.6805708013173</v>
      </c>
      <c r="AD12" s="13">
        <v>20566.03</v>
      </c>
      <c r="AE12" s="96">
        <v>1677.1482161060142</v>
      </c>
      <c r="AF12" s="337">
        <v>20866.759999999998</v>
      </c>
      <c r="AG12" s="326">
        <v>1612.2665636468998</v>
      </c>
      <c r="AH12" s="337">
        <v>15826.862999999999</v>
      </c>
      <c r="AI12" s="326">
        <v>1179.1230554841848</v>
      </c>
      <c r="AJ12" s="334">
        <v>13565.502</v>
      </c>
      <c r="AK12" s="96">
        <v>998.01375758690449</v>
      </c>
      <c r="AL12" s="334">
        <v>13859.95</v>
      </c>
      <c r="AM12" s="96">
        <v>1318.7392959086585</v>
      </c>
      <c r="AN12" s="323">
        <v>16415.37</v>
      </c>
      <c r="AO12" s="96">
        <v>1574.2383121553582</v>
      </c>
      <c r="AP12" s="323">
        <v>11977.754999999999</v>
      </c>
      <c r="AQ12" s="96">
        <v>1160.0731234866828</v>
      </c>
      <c r="AR12" s="323">
        <v>14081.757</v>
      </c>
      <c r="AS12" s="96">
        <v>1361.2138231029483</v>
      </c>
      <c r="AT12" s="13">
        <v>14735.817999999999</v>
      </c>
      <c r="AU12" s="13">
        <v>1418.2692974013476</v>
      </c>
      <c r="AV12" s="323">
        <v>16902.117999999999</v>
      </c>
      <c r="AW12" s="96">
        <v>1603.2362342897795</v>
      </c>
      <c r="AX12" s="323">
        <v>20408.990000000002</v>
      </c>
      <c r="AY12" s="96">
        <v>1891.4726598702503</v>
      </c>
      <c r="AZ12" s="323">
        <v>20636.700999999997</v>
      </c>
      <c r="BA12" s="96">
        <v>1867.1523184799817</v>
      </c>
      <c r="BB12" s="323">
        <v>22965.504000000004</v>
      </c>
      <c r="BC12" s="96">
        <v>2022.5014531043596</v>
      </c>
      <c r="BD12" s="323">
        <v>25247.451000000008</v>
      </c>
      <c r="BE12" s="96">
        <v>2154.2193686006831</v>
      </c>
      <c r="BF12" s="323">
        <v>25800.376999999997</v>
      </c>
      <c r="BG12" s="96">
        <v>2201.3973549488051</v>
      </c>
      <c r="BH12" s="323">
        <v>26256.595999999998</v>
      </c>
      <c r="BI12" s="96">
        <v>2060.7955419511809</v>
      </c>
      <c r="BJ12" s="327">
        <f>'Table 3'!B11</f>
        <v>27786.210999999999</v>
      </c>
      <c r="BK12" s="380">
        <f>'Table 3'!C11</f>
        <v>2124.1835684015064</v>
      </c>
      <c r="BL12" s="381">
        <f t="shared" si="0"/>
        <v>3.0759007946178363E-2</v>
      </c>
      <c r="BM12" s="16"/>
      <c r="BN12" s="38"/>
    </row>
    <row r="13" spans="1:66" ht="15" customHeight="1" x14ac:dyDescent="0.25">
      <c r="A13" s="377" t="str">
        <f>'Table 4'!A13</f>
        <v>Curry</v>
      </c>
      <c r="B13" s="322">
        <v>10555</v>
      </c>
      <c r="C13" s="324">
        <f>B13*2000/('Table 5'!B13*2000/'Table 5'!C13)</f>
        <v>1061.8712273641852</v>
      </c>
      <c r="D13" s="13">
        <v>10687.3</v>
      </c>
      <c r="E13" s="324">
        <f>D13*2000/('Table 5'!D13*2000/'Table 5'!E13)</f>
        <v>1049.3176239567993</v>
      </c>
      <c r="F13" s="13">
        <v>11278</v>
      </c>
      <c r="G13" s="324">
        <f>F13*2000/('Table 5'!F13*2000/'Table 5'!G13)</f>
        <v>1089.1356832448093</v>
      </c>
      <c r="H13" s="13">
        <v>11642</v>
      </c>
      <c r="I13" s="324">
        <f>H13*2000/('Table 5'!H13*2000/'Table 5'!I13)</f>
        <v>1109.2901381610291</v>
      </c>
      <c r="J13" s="13">
        <v>11120.9</v>
      </c>
      <c r="K13" s="324">
        <f>J13*2000/('Table 5'!J13*2000/'Table 5'!K13)</f>
        <v>1059.1333333333334</v>
      </c>
      <c r="L13" s="13">
        <v>11890.3</v>
      </c>
      <c r="M13" s="324">
        <f>L13*2000/('Table 5'!L13*2000/'Table 5'!M13)</f>
        <v>1130.7941036614361</v>
      </c>
      <c r="N13" s="378">
        <v>12264</v>
      </c>
      <c r="O13" s="324">
        <f>N13*2000/('Table 5'!N13*2000/'Table 5'!O13)</f>
        <v>1166.3338088445078</v>
      </c>
      <c r="P13" s="378">
        <v>15209.8</v>
      </c>
      <c r="Q13" s="324">
        <f>P13*2000/('Table 5'!P13*2000/'Table 5'!Q13)</f>
        <v>1440.3219696969697</v>
      </c>
      <c r="R13" s="379">
        <v>14644</v>
      </c>
      <c r="S13" s="314">
        <v>1382</v>
      </c>
      <c r="T13" s="379">
        <v>14996</v>
      </c>
      <c r="U13" s="13">
        <v>1392</v>
      </c>
      <c r="V13" s="323">
        <v>17986.3</v>
      </c>
      <c r="W13" s="13">
        <v>1692.8282352941176</v>
      </c>
      <c r="X13" s="323">
        <v>20372</v>
      </c>
      <c r="Y13" s="13">
        <v>1930.995260663507</v>
      </c>
      <c r="Z13" s="323">
        <v>20790.87</v>
      </c>
      <c r="AA13" s="96">
        <v>1966.0397163120567</v>
      </c>
      <c r="AB13" s="13">
        <v>22582.400000000001</v>
      </c>
      <c r="AC13" s="96">
        <v>2131.4204813591318</v>
      </c>
      <c r="AD13" s="13">
        <v>21833.724999999999</v>
      </c>
      <c r="AE13" s="96">
        <v>2043.8778375848351</v>
      </c>
      <c r="AF13" s="325">
        <v>21403.99</v>
      </c>
      <c r="AG13" s="326">
        <v>1993.3867287543655</v>
      </c>
      <c r="AH13" s="325">
        <v>19469.581999999999</v>
      </c>
      <c r="AI13" s="326">
        <v>1810.2541499181129</v>
      </c>
      <c r="AJ13" s="323">
        <v>17093.433000000001</v>
      </c>
      <c r="AK13" s="96">
        <v>1602.0087160262417</v>
      </c>
      <c r="AL13" s="323">
        <v>16982.295999999995</v>
      </c>
      <c r="AM13" s="96">
        <v>1519.3286513084317</v>
      </c>
      <c r="AN13" s="323">
        <v>16660.559999999998</v>
      </c>
      <c r="AO13" s="96">
        <v>1491.8791134989924</v>
      </c>
      <c r="AP13" s="323">
        <v>16419.078000000001</v>
      </c>
      <c r="AQ13" s="96">
        <v>1472.8932944606415</v>
      </c>
      <c r="AR13" s="323">
        <v>16289.252</v>
      </c>
      <c r="AS13" s="96">
        <v>1460.9194618834081</v>
      </c>
      <c r="AT13" s="13">
        <v>15885.495000000001</v>
      </c>
      <c r="AU13" s="13">
        <v>1421.2028628942071</v>
      </c>
      <c r="AV13" s="323">
        <v>17102.745999999999</v>
      </c>
      <c r="AW13" s="96">
        <v>1522.2737872719181</v>
      </c>
      <c r="AX13" s="323">
        <v>19278.637999999999</v>
      </c>
      <c r="AY13" s="96">
        <v>1706.0741592920353</v>
      </c>
      <c r="AZ13" s="323">
        <v>20360.061000000002</v>
      </c>
      <c r="BA13" s="96">
        <v>1785.5786888840166</v>
      </c>
      <c r="BB13" s="323">
        <v>20211.689999999995</v>
      </c>
      <c r="BC13" s="96">
        <v>1764.0576041893953</v>
      </c>
      <c r="BD13" s="323">
        <v>20217.834000000003</v>
      </c>
      <c r="BE13" s="96">
        <v>1758.0725217391307</v>
      </c>
      <c r="BF13" s="323">
        <v>20176.653000000006</v>
      </c>
      <c r="BG13" s="96">
        <v>1754.1102369050213</v>
      </c>
      <c r="BH13" s="323">
        <v>22133.612999999998</v>
      </c>
      <c r="BI13" s="96">
        <v>1870.8150621249258</v>
      </c>
      <c r="BJ13" s="327">
        <f>'Table 3'!B12</f>
        <v>22099.442999999999</v>
      </c>
      <c r="BK13" s="380">
        <f>'Table 3'!C12</f>
        <v>1849.5227007504491</v>
      </c>
      <c r="BL13" s="381">
        <f t="shared" si="0"/>
        <v>-1.1381328815202263E-2</v>
      </c>
      <c r="BM13" s="16"/>
      <c r="BN13" s="38"/>
    </row>
    <row r="14" spans="1:66" ht="15" customHeight="1" x14ac:dyDescent="0.25">
      <c r="A14" s="377" t="str">
        <f>'Table 4'!A14</f>
        <v>Deschutes</v>
      </c>
      <c r="B14" s="322">
        <v>72529</v>
      </c>
      <c r="C14" s="324">
        <f>B14*2000/('Table 5'!B14*2000/'Table 5'!C14)</f>
        <v>1719.7154712507408</v>
      </c>
      <c r="D14" s="13">
        <v>104665.7</v>
      </c>
      <c r="E14" s="324">
        <f>D14*2000/('Table 5'!D14*2000/'Table 5'!E14)</f>
        <v>2371.2211146352515</v>
      </c>
      <c r="F14" s="13">
        <v>98800.6</v>
      </c>
      <c r="G14" s="324">
        <f>F14*2000/('Table 5'!F14*2000/'Table 5'!G14)</f>
        <v>2154.8658669574702</v>
      </c>
      <c r="H14" s="13">
        <v>108967</v>
      </c>
      <c r="I14" s="324">
        <f>H14*2000/('Table 5'!H14*2000/'Table 5'!I14)</f>
        <v>2272.5130344108447</v>
      </c>
      <c r="J14" s="13">
        <v>103396.5</v>
      </c>
      <c r="K14" s="324">
        <f>J14*2000/('Table 5'!J14*2000/'Table 5'!K14)</f>
        <v>2070.4144973968764</v>
      </c>
      <c r="L14" s="13">
        <v>93231.9</v>
      </c>
      <c r="M14" s="324">
        <f>L14*2000/('Table 5'!L14*2000/'Table 5'!M14)</f>
        <v>1807.1699941849195</v>
      </c>
      <c r="N14" s="378">
        <v>101312.8</v>
      </c>
      <c r="O14" s="324">
        <f>N14*2000/('Table 5'!N14*2000/'Table 5'!O14)</f>
        <v>1884.1882090384972</v>
      </c>
      <c r="P14" s="378">
        <v>111140.8</v>
      </c>
      <c r="Q14" s="324">
        <f>P14*2000/('Table 5'!P14*2000/'Table 5'!Q14)</f>
        <v>1968.3131143186044</v>
      </c>
      <c r="R14" s="379">
        <v>111013</v>
      </c>
      <c r="S14" s="314">
        <v>1904</v>
      </c>
      <c r="T14" s="379">
        <v>120334</v>
      </c>
      <c r="U14" s="13">
        <v>1972</v>
      </c>
      <c r="V14" s="323">
        <v>129606.8</v>
      </c>
      <c r="W14" s="13">
        <v>2049.1193675889326</v>
      </c>
      <c r="X14" s="323">
        <v>135234.79999999999</v>
      </c>
      <c r="Y14" s="13">
        <v>2072.5639846743293</v>
      </c>
      <c r="Z14" s="323">
        <v>151493.95199999999</v>
      </c>
      <c r="AA14" s="96">
        <v>2236.8985160575858</v>
      </c>
      <c r="AB14" s="13">
        <v>160707.6</v>
      </c>
      <c r="AC14" s="96">
        <v>2239.9832740957559</v>
      </c>
      <c r="AD14" s="13">
        <v>188146.1</v>
      </c>
      <c r="AE14" s="96">
        <v>2465.6305081414016</v>
      </c>
      <c r="AF14" s="325">
        <v>177542.6</v>
      </c>
      <c r="AG14" s="326">
        <v>2208.1039736334806</v>
      </c>
      <c r="AH14" s="325">
        <v>142399.65700000001</v>
      </c>
      <c r="AI14" s="326">
        <v>1705.2069479429492</v>
      </c>
      <c r="AJ14" s="323">
        <v>117291.947</v>
      </c>
      <c r="AK14" s="96">
        <v>1374.2063442781407</v>
      </c>
      <c r="AL14" s="323">
        <v>115029.848</v>
      </c>
      <c r="AM14" s="96">
        <v>1456.9500395807606</v>
      </c>
      <c r="AN14" s="323">
        <v>112751.42000000003</v>
      </c>
      <c r="AO14" s="96">
        <v>1419.3727143981121</v>
      </c>
      <c r="AP14" s="323">
        <v>113610.56</v>
      </c>
      <c r="AQ14" s="96">
        <v>1418.8904708380167</v>
      </c>
      <c r="AR14" s="323">
        <v>119681.69899999999</v>
      </c>
      <c r="AS14" s="96">
        <v>1472.7789447777266</v>
      </c>
      <c r="AT14" s="13">
        <v>130956.11</v>
      </c>
      <c r="AU14" s="13">
        <v>1573.9917067307692</v>
      </c>
      <c r="AV14" s="323">
        <v>144066.997</v>
      </c>
      <c r="AW14" s="96">
        <v>1687.5599976572566</v>
      </c>
      <c r="AX14" s="323">
        <v>161645.12000000005</v>
      </c>
      <c r="AY14" s="96">
        <v>1830.2728224870502</v>
      </c>
      <c r="AZ14" s="323">
        <v>182649.49799999996</v>
      </c>
      <c r="BA14" s="96">
        <v>1996.9332312906572</v>
      </c>
      <c r="BB14" s="323">
        <v>180640.34299999996</v>
      </c>
      <c r="BC14" s="96">
        <v>1911.7403217271665</v>
      </c>
      <c r="BD14" s="323">
        <v>183592.83700000003</v>
      </c>
      <c r="BE14" s="96">
        <v>1902.5164455958552</v>
      </c>
      <c r="BF14" s="323">
        <v>197979.05799999993</v>
      </c>
      <c r="BG14" s="96">
        <v>2009.786645686876</v>
      </c>
      <c r="BH14" s="323">
        <v>220125.28400000001</v>
      </c>
      <c r="BI14" s="96">
        <v>2164.5634888637592</v>
      </c>
      <c r="BJ14" s="327">
        <f>'Table 3'!B13</f>
        <v>225929.34400000001</v>
      </c>
      <c r="BK14" s="380">
        <f>'Table 3'!C13</f>
        <v>2176.9955686853609</v>
      </c>
      <c r="BL14" s="381">
        <f t="shared" si="0"/>
        <v>5.7434581547559649E-3</v>
      </c>
      <c r="BM14" s="16"/>
      <c r="BN14" s="38"/>
    </row>
    <row r="15" spans="1:66" ht="15" customHeight="1" x14ac:dyDescent="0.25">
      <c r="A15" s="377" t="str">
        <f>'Table 4'!A15</f>
        <v>Douglas</v>
      </c>
      <c r="B15" s="322">
        <v>85040</v>
      </c>
      <c r="C15" s="324">
        <f>B15*2000/('Table 5'!B15*2000/'Table 5'!C15)</f>
        <v>1771.6666666666667</v>
      </c>
      <c r="D15" s="13">
        <v>90733</v>
      </c>
      <c r="E15" s="324">
        <f>D15*2000/('Table 5'!D15*2000/'Table 5'!E15)</f>
        <v>1874.4551182729058</v>
      </c>
      <c r="F15" s="13">
        <v>93566</v>
      </c>
      <c r="G15" s="324">
        <f>F15*2000/('Table 5'!F15*2000/'Table 5'!G15)</f>
        <v>1917.1396373322405</v>
      </c>
      <c r="H15" s="13">
        <v>96429</v>
      </c>
      <c r="I15" s="324">
        <f>H15*2000/('Table 5'!H15*2000/'Table 5'!I15)</f>
        <v>1951.6089860352156</v>
      </c>
      <c r="J15" s="13">
        <v>87324.5</v>
      </c>
      <c r="K15" s="324">
        <f>J15*2000/('Table 5'!J15*2000/'Table 5'!K15)</f>
        <v>1751.2182893813297</v>
      </c>
      <c r="L15" s="13">
        <v>85430.3</v>
      </c>
      <c r="M15" s="324">
        <f>L15*2000/('Table 5'!L15*2000/'Table 5'!M15)</f>
        <v>1700.7824009556043</v>
      </c>
      <c r="N15" s="378">
        <v>86369</v>
      </c>
      <c r="O15" s="324">
        <f>N15*2000/('Table 5'!N15*2000/'Table 5'!O15)</f>
        <v>1718.273152292848</v>
      </c>
      <c r="P15" s="378">
        <v>86353.7</v>
      </c>
      <c r="Q15" s="324">
        <f>P15*2000/('Table 5'!P15*2000/'Table 5'!Q15)</f>
        <v>1721.2218457245365</v>
      </c>
      <c r="R15" s="379">
        <v>89451</v>
      </c>
      <c r="S15" s="314">
        <v>1780</v>
      </c>
      <c r="T15" s="379">
        <v>90379</v>
      </c>
      <c r="U15" s="13">
        <v>1786</v>
      </c>
      <c r="V15" s="323">
        <v>85648.2</v>
      </c>
      <c r="W15" s="13">
        <v>1690.9812438302074</v>
      </c>
      <c r="X15" s="323">
        <v>87898.7</v>
      </c>
      <c r="Y15" s="13">
        <v>1726.8899803536347</v>
      </c>
      <c r="Z15" s="323">
        <v>92684.195999999996</v>
      </c>
      <c r="AA15" s="96">
        <v>1811.1225403028823</v>
      </c>
      <c r="AB15" s="13">
        <v>103832.7</v>
      </c>
      <c r="AC15" s="96">
        <v>2018.0302220494632</v>
      </c>
      <c r="AD15" s="13">
        <v>103060.743</v>
      </c>
      <c r="AE15" s="96">
        <v>1985.4692096517845</v>
      </c>
      <c r="AF15" s="325">
        <v>103771.74</v>
      </c>
      <c r="AG15" s="326">
        <v>1982.7416288512061</v>
      </c>
      <c r="AH15" s="325">
        <v>84164.290999999997</v>
      </c>
      <c r="AI15" s="326">
        <v>1599.4511468233839</v>
      </c>
      <c r="AJ15" s="323">
        <v>76578.240999999995</v>
      </c>
      <c r="AK15" s="96">
        <v>1453.1664879738128</v>
      </c>
      <c r="AL15" s="323">
        <v>75047.22199999998</v>
      </c>
      <c r="AM15" s="96">
        <v>1393.7639892283403</v>
      </c>
      <c r="AN15" s="323">
        <v>73715.764999999999</v>
      </c>
      <c r="AO15" s="96">
        <v>1367.702861913818</v>
      </c>
      <c r="AP15" s="323">
        <v>72583.277000000002</v>
      </c>
      <c r="AQ15" s="96">
        <v>1341.7122233005223</v>
      </c>
      <c r="AR15" s="323">
        <v>70762.631999999998</v>
      </c>
      <c r="AS15" s="96">
        <v>1300.1861644464859</v>
      </c>
      <c r="AT15" s="13">
        <v>74218.936000000002</v>
      </c>
      <c r="AU15" s="13">
        <v>1357.0221876856974</v>
      </c>
      <c r="AV15" s="323">
        <v>74435.532000000007</v>
      </c>
      <c r="AW15" s="96">
        <v>1354.4815212446547</v>
      </c>
      <c r="AX15" s="323">
        <v>75069.468999999983</v>
      </c>
      <c r="AY15" s="96">
        <v>1360.0157434666423</v>
      </c>
      <c r="AZ15" s="323">
        <v>79113.954999999987</v>
      </c>
      <c r="BA15" s="96">
        <v>1423.1688253282962</v>
      </c>
      <c r="BB15" s="323">
        <v>84735.550000000017</v>
      </c>
      <c r="BC15" s="96">
        <v>1516.7234975611941</v>
      </c>
      <c r="BD15" s="323">
        <v>88654.502000000008</v>
      </c>
      <c r="BE15" s="96">
        <v>1579.5902360801783</v>
      </c>
      <c r="BF15" s="323">
        <v>94397.00499999999</v>
      </c>
      <c r="BG15" s="96">
        <v>1677.7215853550163</v>
      </c>
      <c r="BH15" s="323">
        <v>91145.696000000011</v>
      </c>
      <c r="BI15" s="96">
        <v>1632.060737371748</v>
      </c>
      <c r="BJ15" s="327">
        <f>'Table 3'!B14</f>
        <v>103451.27100000004</v>
      </c>
      <c r="BK15" s="380">
        <f>'Table 3'!C14</f>
        <v>1852.0471989000978</v>
      </c>
      <c r="BL15" s="381">
        <f t="shared" si="0"/>
        <v>0.13479060949815724</v>
      </c>
      <c r="BM15" s="16"/>
      <c r="BN15" s="38"/>
    </row>
    <row r="16" spans="1:66" ht="15" customHeight="1" x14ac:dyDescent="0.25">
      <c r="A16" s="382" t="str">
        <f>'Table 4'!A16</f>
        <v>Gilliam</v>
      </c>
      <c r="B16" s="328">
        <v>871.8</v>
      </c>
      <c r="C16" s="331">
        <f>B16*2000/('Table 5'!B16*2000/'Table 5'!C16)</f>
        <v>1007.8612716763006</v>
      </c>
      <c r="D16" s="332">
        <v>2395.8000000000002</v>
      </c>
      <c r="E16" s="331">
        <f>D16*2000/('Table 5'!D16*2000/'Table 5'!E16)</f>
        <v>2785.8139534883721</v>
      </c>
      <c r="F16" s="332">
        <v>1128.2</v>
      </c>
      <c r="G16" s="331">
        <f>F16*2000/('Table 5'!F16*2000/'Table 5'!G16)</f>
        <v>1253.5555555555557</v>
      </c>
      <c r="H16" s="332">
        <v>1166</v>
      </c>
      <c r="I16" s="331">
        <f>H16*2000/('Table 5'!H16*2000/'Table 5'!I16)</f>
        <v>1302.7932960893854</v>
      </c>
      <c r="J16" s="332">
        <v>1175.9000000000001</v>
      </c>
      <c r="K16" s="331">
        <f>J16*2000/('Table 5'!J16*2000/'Table 5'!K16)</f>
        <v>1271.2432432432433</v>
      </c>
      <c r="L16" s="332">
        <v>1288</v>
      </c>
      <c r="M16" s="331">
        <f>L16*2000/('Table 5'!L16*2000/'Table 5'!M16)</f>
        <v>1399.9999999999998</v>
      </c>
      <c r="N16" s="383">
        <v>1320.3</v>
      </c>
      <c r="O16" s="331">
        <f>N16*2000/('Table 5'!N16*2000/'Table 5'!O16)</f>
        <v>1404.5744680851064</v>
      </c>
      <c r="P16" s="384">
        <v>1446.3</v>
      </c>
      <c r="Q16" s="331">
        <f>P16*2000/('Table 5'!P16*2000/'Table 5'!Q16)</f>
        <v>1514.4502617801047</v>
      </c>
      <c r="R16" s="384">
        <v>1663</v>
      </c>
      <c r="S16" s="329">
        <v>1751</v>
      </c>
      <c r="T16" s="384">
        <v>1622</v>
      </c>
      <c r="U16" s="332">
        <v>1707</v>
      </c>
      <c r="V16" s="330">
        <v>1507.6</v>
      </c>
      <c r="W16" s="332">
        <v>1586.9473684210527</v>
      </c>
      <c r="X16" s="330">
        <v>2356.8000000000002</v>
      </c>
      <c r="Y16" s="332">
        <v>2480.8421052631579</v>
      </c>
      <c r="Z16" s="330">
        <v>2081.98</v>
      </c>
      <c r="AA16" s="333">
        <v>2191.5578947368422</v>
      </c>
      <c r="AB16" s="332">
        <v>2217.4</v>
      </c>
      <c r="AC16" s="333">
        <v>2346.4550264550267</v>
      </c>
      <c r="AD16" s="332">
        <v>2429.1039999999998</v>
      </c>
      <c r="AE16" s="333">
        <v>2577.2986737400529</v>
      </c>
      <c r="AF16" s="338">
        <v>2026.2</v>
      </c>
      <c r="AG16" s="339">
        <v>2149.814323607427</v>
      </c>
      <c r="AH16" s="338">
        <v>2196.8069999999998</v>
      </c>
      <c r="AI16" s="339">
        <v>2332.570307431045</v>
      </c>
      <c r="AJ16" s="330">
        <v>2074.348</v>
      </c>
      <c r="AK16" s="333">
        <v>2200.8997347480108</v>
      </c>
      <c r="AL16" s="330">
        <v>2254.598</v>
      </c>
      <c r="AM16" s="333">
        <v>2411.3347593582889</v>
      </c>
      <c r="AN16" s="330">
        <v>2108.2400000000002</v>
      </c>
      <c r="AO16" s="333">
        <v>2242.8085106382982</v>
      </c>
      <c r="AP16" s="330">
        <v>2125.9940000000001</v>
      </c>
      <c r="AQ16" s="333">
        <v>2237.8884210526317</v>
      </c>
      <c r="AR16" s="330">
        <v>1942.701</v>
      </c>
      <c r="AS16" s="333">
        <v>1997.6359897172235</v>
      </c>
      <c r="AT16" s="332">
        <v>2285.4050000000002</v>
      </c>
      <c r="AU16" s="332">
        <v>2314.3341772151898</v>
      </c>
      <c r="AV16" s="330">
        <v>1955.046</v>
      </c>
      <c r="AW16" s="333">
        <v>1979.7934177215191</v>
      </c>
      <c r="AX16" s="330">
        <v>2247.3970000000008</v>
      </c>
      <c r="AY16" s="333">
        <v>2270.0979797979808</v>
      </c>
      <c r="AZ16" s="330">
        <v>2038.0100000000002</v>
      </c>
      <c r="BA16" s="333">
        <v>2043.1177944862159</v>
      </c>
      <c r="BB16" s="330">
        <v>3945.8910000000001</v>
      </c>
      <c r="BC16" s="333">
        <v>3975.7088161209067</v>
      </c>
      <c r="BD16" s="330">
        <v>2438.6189999999992</v>
      </c>
      <c r="BE16" s="333">
        <v>2450.8733668341697</v>
      </c>
      <c r="BF16" s="330">
        <v>2217.7200000000003</v>
      </c>
      <c r="BG16" s="333">
        <v>2228.8643216080409</v>
      </c>
      <c r="BH16" s="330">
        <v>2450.7130000000002</v>
      </c>
      <c r="BI16" s="333">
        <v>2403.8381559588033</v>
      </c>
      <c r="BJ16" s="340">
        <f>'Table 3'!B15</f>
        <v>2919.6609999999996</v>
      </c>
      <c r="BK16" s="385">
        <f>'Table 3'!C15</f>
        <v>2819.2368233333409</v>
      </c>
      <c r="BL16" s="386">
        <f t="shared" si="0"/>
        <v>0.17280642057570228</v>
      </c>
      <c r="BM16" s="16"/>
      <c r="BN16" s="38"/>
    </row>
    <row r="17" spans="1:66" ht="15" customHeight="1" x14ac:dyDescent="0.25">
      <c r="A17" s="377" t="str">
        <f>'Table 4'!A17</f>
        <v>Grant</v>
      </c>
      <c r="B17" s="322">
        <v>4178</v>
      </c>
      <c r="C17" s="324">
        <f>B17*2000/('Table 5'!B17*2000/'Table 5'!C17)</f>
        <v>1063.1043256997455</v>
      </c>
      <c r="D17" s="13">
        <v>4118</v>
      </c>
      <c r="E17" s="324">
        <f>D17*2000/('Table 5'!D17*2000/'Table 5'!E17)</f>
        <v>1038.5876418663302</v>
      </c>
      <c r="F17" s="13">
        <v>4629.1000000000004</v>
      </c>
      <c r="G17" s="324">
        <f>F17*2000/('Table 5'!F17*2000/'Table 5'!G17)</f>
        <v>1164.5534591194969</v>
      </c>
      <c r="H17" s="13">
        <v>3558</v>
      </c>
      <c r="I17" s="324">
        <f>H17*2000/('Table 5'!H17*2000/'Table 5'!I17)</f>
        <v>888.38951310861421</v>
      </c>
      <c r="J17" s="13">
        <v>3492.1</v>
      </c>
      <c r="K17" s="324">
        <f>J17*2000/('Table 5'!J17*2000/'Table 5'!K17)</f>
        <v>868.68159203980099</v>
      </c>
      <c r="L17" s="13">
        <v>3386.8</v>
      </c>
      <c r="M17" s="324">
        <f>L17*2000/('Table 5'!L17*2000/'Table 5'!M17)</f>
        <v>838.31683168316829</v>
      </c>
      <c r="N17" s="378">
        <v>3173.8</v>
      </c>
      <c r="O17" s="324">
        <f>N17*2000/('Table 5'!N17*2000/'Table 5'!O17)</f>
        <v>781.72413793103442</v>
      </c>
      <c r="P17" s="378">
        <v>3375.2</v>
      </c>
      <c r="Q17" s="324">
        <f>P17*2000/('Table 5'!P17*2000/'Table 5'!Q17)</f>
        <v>849.10691823899367</v>
      </c>
      <c r="R17" s="387">
        <v>3441</v>
      </c>
      <c r="S17" s="388">
        <v>866</v>
      </c>
      <c r="T17" s="387">
        <v>3790</v>
      </c>
      <c r="U17" s="336">
        <v>972</v>
      </c>
      <c r="V17" s="334">
        <v>4301</v>
      </c>
      <c r="W17" s="336">
        <v>1109.9354838709678</v>
      </c>
      <c r="X17" s="334">
        <v>3939.1</v>
      </c>
      <c r="Y17" s="336">
        <v>1029.8300653594772</v>
      </c>
      <c r="Z17" s="334">
        <v>3987.44</v>
      </c>
      <c r="AA17" s="96">
        <v>1029.0167741935484</v>
      </c>
      <c r="AB17" s="336">
        <v>4232.8</v>
      </c>
      <c r="AC17" s="335">
        <v>1101.5744957709824</v>
      </c>
      <c r="AD17" s="336">
        <v>3918</v>
      </c>
      <c r="AE17" s="335">
        <v>1026.9986893840105</v>
      </c>
      <c r="AF17" s="337">
        <v>4204.55</v>
      </c>
      <c r="AG17" s="326">
        <v>1109.3799472295514</v>
      </c>
      <c r="AH17" s="337">
        <v>3944.49</v>
      </c>
      <c r="AI17" s="326">
        <v>1047.9145749957813</v>
      </c>
      <c r="AJ17" s="334">
        <v>3798.26</v>
      </c>
      <c r="AK17" s="96">
        <v>1009.5043189368771</v>
      </c>
      <c r="AL17" s="334">
        <v>3895.7999999999993</v>
      </c>
      <c r="AM17" s="96">
        <v>1044.4504021447719</v>
      </c>
      <c r="AN17" s="323">
        <v>4009.8</v>
      </c>
      <c r="AO17" s="96">
        <v>1076.4563758389261</v>
      </c>
      <c r="AP17" s="323">
        <v>3473.3760000000002</v>
      </c>
      <c r="AQ17" s="96">
        <v>932.44993288590604</v>
      </c>
      <c r="AR17" s="323">
        <v>3420.9839999999999</v>
      </c>
      <c r="AS17" s="96">
        <v>920.23779421654342</v>
      </c>
      <c r="AT17" s="13">
        <v>3729.7660000000001</v>
      </c>
      <c r="AU17" s="13">
        <v>1004.6507744107744</v>
      </c>
      <c r="AV17" s="323">
        <v>3808.7849999999999</v>
      </c>
      <c r="AW17" s="96">
        <v>1025.2449528936743</v>
      </c>
      <c r="AX17" s="323">
        <v>3867.7849999999999</v>
      </c>
      <c r="AY17" s="96">
        <v>1043.9365721997301</v>
      </c>
      <c r="AZ17" s="323">
        <v>4088.8889999999992</v>
      </c>
      <c r="BA17" s="96">
        <v>1102.8695886716114</v>
      </c>
      <c r="BB17" s="323">
        <v>4256.0099999999993</v>
      </c>
      <c r="BC17" s="96">
        <v>1150.2729729729726</v>
      </c>
      <c r="BD17" s="323">
        <v>4299.7239999999993</v>
      </c>
      <c r="BE17" s="96">
        <v>1168.403260869565</v>
      </c>
      <c r="BF17" s="323">
        <v>4489.9089999999997</v>
      </c>
      <c r="BG17" s="96">
        <v>1227.5896103896105</v>
      </c>
      <c r="BH17" s="323">
        <v>4551.7019999999993</v>
      </c>
      <c r="BI17" s="96">
        <v>1259.8123443122056</v>
      </c>
      <c r="BJ17" s="327">
        <f>'Table 3'!B16</f>
        <v>4698.7029999999995</v>
      </c>
      <c r="BK17" s="380">
        <f>'Table 3'!C16</f>
        <v>1280.775081534727</v>
      </c>
      <c r="BL17" s="381">
        <f t="shared" si="0"/>
        <v>1.6639571216430671E-2</v>
      </c>
      <c r="BM17" s="16"/>
      <c r="BN17" s="38"/>
    </row>
    <row r="18" spans="1:66" ht="15" customHeight="1" x14ac:dyDescent="0.25">
      <c r="A18" s="377" t="str">
        <f>'Table 4'!A18</f>
        <v>Harney</v>
      </c>
      <c r="B18" s="322">
        <v>2650</v>
      </c>
      <c r="C18" s="324">
        <f>B18*2000/('Table 5'!B18*2000/'Table 5'!C18)</f>
        <v>756.06276747503568</v>
      </c>
      <c r="D18" s="13">
        <v>2569</v>
      </c>
      <c r="E18" s="324">
        <f>D18*2000/('Table 5'!D18*2000/'Table 5'!E18)</f>
        <v>727.76203966005653</v>
      </c>
      <c r="F18" s="13">
        <v>2578.9</v>
      </c>
      <c r="G18" s="324">
        <f>F18*2000/('Table 5'!F18*2000/'Table 5'!G18)</f>
        <v>713.38865836791149</v>
      </c>
      <c r="H18" s="13">
        <v>2192</v>
      </c>
      <c r="I18" s="324">
        <f>H18*2000/('Table 5'!H18*2000/'Table 5'!I18)</f>
        <v>605.52486187845307</v>
      </c>
      <c r="J18" s="13">
        <v>2126</v>
      </c>
      <c r="K18" s="324">
        <f>J18*2000/('Table 5'!J18*2000/'Table 5'!K18)</f>
        <v>590.55555555555554</v>
      </c>
      <c r="L18" s="13">
        <v>2243.9</v>
      </c>
      <c r="M18" s="324">
        <f>L18*2000/('Table 5'!L18*2000/'Table 5'!M18)</f>
        <v>623.30555555555543</v>
      </c>
      <c r="N18" s="378">
        <v>1794.4</v>
      </c>
      <c r="O18" s="324">
        <f>N18*2000/('Table 5'!N18*2000/'Table 5'!O18)</f>
        <v>483.6657681940701</v>
      </c>
      <c r="P18" s="378">
        <v>3299.1</v>
      </c>
      <c r="Q18" s="324">
        <f>P18*2000/('Table 5'!P18*2000/'Table 5'!Q18)</f>
        <v>875.09283819628649</v>
      </c>
      <c r="R18" s="379">
        <v>3160</v>
      </c>
      <c r="S18" s="314">
        <v>832</v>
      </c>
      <c r="T18" s="379">
        <v>2892</v>
      </c>
      <c r="U18" s="13">
        <v>761</v>
      </c>
      <c r="V18" s="323">
        <v>2889.1</v>
      </c>
      <c r="W18" s="13">
        <v>760.28947368421052</v>
      </c>
      <c r="X18" s="323">
        <v>2748.4</v>
      </c>
      <c r="Y18" s="13">
        <v>752.98630136986299</v>
      </c>
      <c r="Z18" s="323">
        <v>3038.58</v>
      </c>
      <c r="AA18" s="96">
        <v>794.4</v>
      </c>
      <c r="AB18" s="13">
        <v>3138.5</v>
      </c>
      <c r="AC18" s="96">
        <v>819.45169712793734</v>
      </c>
      <c r="AD18" s="13">
        <v>2998.58</v>
      </c>
      <c r="AE18" s="96">
        <v>781.89830508474574</v>
      </c>
      <c r="AF18" s="325">
        <v>3578.21</v>
      </c>
      <c r="AG18" s="326">
        <v>931.82552083333337</v>
      </c>
      <c r="AH18" s="325">
        <v>3079.83</v>
      </c>
      <c r="AI18" s="326">
        <v>799.44785524606414</v>
      </c>
      <c r="AJ18" s="323">
        <v>3058.27</v>
      </c>
      <c r="AK18" s="96">
        <v>792.81140635126383</v>
      </c>
      <c r="AL18" s="323">
        <v>3152.65</v>
      </c>
      <c r="AM18" s="96">
        <v>846.91739422431158</v>
      </c>
      <c r="AN18" s="323">
        <v>3042.6800000000003</v>
      </c>
      <c r="AO18" s="96">
        <v>825.13355932203399</v>
      </c>
      <c r="AP18" s="323">
        <v>3562.6129999999998</v>
      </c>
      <c r="AQ18" s="96">
        <v>974.05686944634317</v>
      </c>
      <c r="AR18" s="323">
        <v>3484.02</v>
      </c>
      <c r="AS18" s="96">
        <v>959.78512396694214</v>
      </c>
      <c r="AT18" s="13">
        <v>3575.7170000000001</v>
      </c>
      <c r="AU18" s="13">
        <v>984.36806607019957</v>
      </c>
      <c r="AV18" s="323">
        <v>3886.288</v>
      </c>
      <c r="AW18" s="96">
        <v>1065.4662097326936</v>
      </c>
      <c r="AX18" s="323">
        <v>4035.6390000000001</v>
      </c>
      <c r="AY18" s="96">
        <v>1102.6336065573771</v>
      </c>
      <c r="AZ18" s="323">
        <v>4136.866</v>
      </c>
      <c r="BA18" s="96">
        <v>1124.1483695652173</v>
      </c>
      <c r="BB18" s="323">
        <v>4581.665</v>
      </c>
      <c r="BC18" s="96">
        <v>1241.6436314363143</v>
      </c>
      <c r="BD18" s="323">
        <v>4731.4130000000014</v>
      </c>
      <c r="BE18" s="96">
        <v>1285.7100543478264</v>
      </c>
      <c r="BF18" s="323">
        <v>5046.0739999999996</v>
      </c>
      <c r="BG18" s="96">
        <v>1386.2840659340659</v>
      </c>
      <c r="BH18" s="323">
        <v>5229.8190000000004</v>
      </c>
      <c r="BI18" s="96">
        <v>1387.77205784795</v>
      </c>
      <c r="BJ18" s="327">
        <f>'Table 3'!B17</f>
        <v>4883.9439999999995</v>
      </c>
      <c r="BK18" s="380">
        <f>'Table 3'!C17</f>
        <v>1278.577405773869</v>
      </c>
      <c r="BL18" s="381">
        <f t="shared" si="0"/>
        <v>-7.8683420275381222E-2</v>
      </c>
      <c r="BM18" s="16"/>
      <c r="BN18" s="38"/>
    </row>
    <row r="19" spans="1:66" ht="15" customHeight="1" x14ac:dyDescent="0.25">
      <c r="A19" s="377" t="str">
        <f>'Table 4'!A19</f>
        <v>Hood River</v>
      </c>
      <c r="B19" s="322">
        <v>9959</v>
      </c>
      <c r="C19" s="324">
        <f>B19*2000/('Table 5'!B19*2000/'Table 5'!C19)</f>
        <v>1139.4736842105262</v>
      </c>
      <c r="D19" s="13">
        <v>9772.2000000000007</v>
      </c>
      <c r="E19" s="324">
        <f>D19*2000/('Table 5'!D19*2000/'Table 5'!E19)</f>
        <v>1088.824512534819</v>
      </c>
      <c r="F19" s="13">
        <v>9508.7999999999993</v>
      </c>
      <c r="G19" s="324">
        <f>F19*2000/('Table 5'!F19*2000/'Table 5'!G19)</f>
        <v>1034.689880304679</v>
      </c>
      <c r="H19" s="13">
        <v>16458</v>
      </c>
      <c r="I19" s="324">
        <f>H19*2000/('Table 5'!H19*2000/'Table 5'!I19)</f>
        <v>1742.5092641609317</v>
      </c>
      <c r="J19" s="13">
        <v>16016</v>
      </c>
      <c r="K19" s="324">
        <f>J19*2000/('Table 5'!J19*2000/'Table 5'!K19)</f>
        <v>1658.829621957535</v>
      </c>
      <c r="L19" s="13">
        <v>15120.2</v>
      </c>
      <c r="M19" s="324">
        <f>L19*2000/('Table 5'!L19*2000/'Table 5'!M19)</f>
        <v>1551.5854284248333</v>
      </c>
      <c r="N19" s="378">
        <v>14931.1</v>
      </c>
      <c r="O19" s="324">
        <f>N19*2000/('Table 5'!N19*2000/'Table 5'!O19)</f>
        <v>1502.1227364185111</v>
      </c>
      <c r="P19" s="378">
        <v>16020.5</v>
      </c>
      <c r="Q19" s="324">
        <f>P19*2000/('Table 5'!P19*2000/'Table 5'!Q19)</f>
        <v>1583.0533596837945</v>
      </c>
      <c r="R19" s="379">
        <v>15741</v>
      </c>
      <c r="S19" s="314">
        <v>1536</v>
      </c>
      <c r="T19" s="379">
        <v>15397</v>
      </c>
      <c r="U19" s="13">
        <v>1495</v>
      </c>
      <c r="V19" s="323">
        <v>15710</v>
      </c>
      <c r="W19" s="13">
        <v>1536.4303178484108</v>
      </c>
      <c r="X19" s="323">
        <v>16229.2</v>
      </c>
      <c r="Y19" s="13">
        <v>1583.3365853658536</v>
      </c>
      <c r="Z19" s="323">
        <v>16780.46</v>
      </c>
      <c r="AA19" s="96">
        <v>1594.3429928741093</v>
      </c>
      <c r="AB19" s="13">
        <v>17331.7</v>
      </c>
      <c r="AC19" s="96">
        <v>1636.6100094428707</v>
      </c>
      <c r="AD19" s="13">
        <v>18619.78</v>
      </c>
      <c r="AE19" s="96">
        <v>1745.4680103116943</v>
      </c>
      <c r="AF19" s="325">
        <v>19965.05</v>
      </c>
      <c r="AG19" s="326">
        <v>1859.8090358639963</v>
      </c>
      <c r="AH19" s="325">
        <v>19035.060000000001</v>
      </c>
      <c r="AI19" s="326">
        <v>1760.4923534737225</v>
      </c>
      <c r="AJ19" s="323">
        <v>17972.010999999999</v>
      </c>
      <c r="AK19" s="96">
        <v>1654.5004372842347</v>
      </c>
      <c r="AL19" s="323">
        <v>17782.27</v>
      </c>
      <c r="AM19" s="96">
        <v>1588.7665847665849</v>
      </c>
      <c r="AN19" s="323">
        <v>18220.820000000003</v>
      </c>
      <c r="AO19" s="96">
        <v>1610.6802209944756</v>
      </c>
      <c r="AP19" s="323">
        <v>17045.874</v>
      </c>
      <c r="AQ19" s="96">
        <v>1490.3496393442622</v>
      </c>
      <c r="AR19" s="323">
        <v>16530.223999999998</v>
      </c>
      <c r="AS19" s="96">
        <v>1419.2078986907061</v>
      </c>
      <c r="AT19" s="13">
        <v>17175.018</v>
      </c>
      <c r="AU19" s="13">
        <v>1447.5362831858406</v>
      </c>
      <c r="AV19" s="323">
        <v>18606.757000000001</v>
      </c>
      <c r="AW19" s="96">
        <v>1534.8943699731904</v>
      </c>
      <c r="AX19" s="323">
        <v>20187.335999999999</v>
      </c>
      <c r="AY19" s="96">
        <v>1632.2891449363251</v>
      </c>
      <c r="AZ19" s="323">
        <v>23134.691999999995</v>
      </c>
      <c r="BA19" s="96">
        <v>1840.1027639689796</v>
      </c>
      <c r="BB19" s="323">
        <v>23003.683000000005</v>
      </c>
      <c r="BC19" s="96">
        <v>1817.7544843935207</v>
      </c>
      <c r="BD19" s="323">
        <v>23460.413000000004</v>
      </c>
      <c r="BE19" s="96">
        <v>1841.4766875981165</v>
      </c>
      <c r="BF19" s="323">
        <v>23189.895999999997</v>
      </c>
      <c r="BG19" s="96">
        <v>1808.8842433697346</v>
      </c>
      <c r="BH19" s="323">
        <v>24999.579999999998</v>
      </c>
      <c r="BI19" s="96">
        <v>2093.0659745478897</v>
      </c>
      <c r="BJ19" s="327">
        <f>'Table 3'!B18</f>
        <v>25932.391000000007</v>
      </c>
      <c r="BK19" s="380">
        <f>'Table 3'!C18</f>
        <v>2170.6379331265102</v>
      </c>
      <c r="BL19" s="381">
        <f t="shared" si="0"/>
        <v>3.7061401562068053E-2</v>
      </c>
      <c r="BM19" s="16"/>
      <c r="BN19" s="38"/>
    </row>
    <row r="20" spans="1:66" ht="15" customHeight="1" x14ac:dyDescent="0.25">
      <c r="A20" s="377" t="str">
        <f>'Table 4'!A20</f>
        <v>Jackson</v>
      </c>
      <c r="B20" s="322">
        <v>98002</v>
      </c>
      <c r="C20" s="324">
        <f>B20*2000/('Table 5'!B20*2000/'Table 5'!C20)</f>
        <v>1265.0316251452175</v>
      </c>
      <c r="D20" s="13">
        <v>100058.7</v>
      </c>
      <c r="E20" s="324">
        <f>D20*2000/('Table 5'!D20*2000/'Table 5'!E20)</f>
        <v>1258.4417054458559</v>
      </c>
      <c r="F20" s="13">
        <v>108812.8</v>
      </c>
      <c r="G20" s="324">
        <f>F20*2000/('Table 5'!F20*2000/'Table 5'!G20)</f>
        <v>1331.124839439721</v>
      </c>
      <c r="H20" s="13">
        <v>111479</v>
      </c>
      <c r="I20" s="324">
        <f>H20*2000/('Table 5'!H20*2000/'Table 5'!I20)</f>
        <v>1332.4448694197094</v>
      </c>
      <c r="J20" s="13">
        <v>115010.8</v>
      </c>
      <c r="K20" s="324">
        <f>J20*2000/('Table 5'!J20*2000/'Table 5'!K20)</f>
        <v>1347.8354623227469</v>
      </c>
      <c r="L20" s="13">
        <v>128964</v>
      </c>
      <c r="M20" s="324">
        <f>L20*2000/('Table 5'!L20*2000/'Table 5'!M20)</f>
        <v>1486.9595295745416</v>
      </c>
      <c r="N20" s="378">
        <v>136337.29999999999</v>
      </c>
      <c r="O20" s="324">
        <f>N20*2000/('Table 5'!N20*2000/'Table 5'!O20)</f>
        <v>1544.2861188197317</v>
      </c>
      <c r="P20" s="378">
        <v>151522.5</v>
      </c>
      <c r="Q20" s="324">
        <f>P20*2000/('Table 5'!P20*2000/'Table 5'!Q20)</f>
        <v>1687.2390178720561</v>
      </c>
      <c r="R20" s="379">
        <v>165129</v>
      </c>
      <c r="S20" s="314">
        <v>1813</v>
      </c>
      <c r="T20" s="379">
        <v>152562</v>
      </c>
      <c r="U20" s="13">
        <v>1652</v>
      </c>
      <c r="V20" s="323">
        <v>155292.79999999999</v>
      </c>
      <c r="W20" s="13">
        <v>1655.5735607675906</v>
      </c>
      <c r="X20" s="323">
        <v>176161.9</v>
      </c>
      <c r="Y20" s="13">
        <v>1863.1612903225807</v>
      </c>
      <c r="Z20" s="323">
        <v>184353.41</v>
      </c>
      <c r="AA20" s="96">
        <v>1928.382949790795</v>
      </c>
      <c r="AB20" s="13">
        <v>183543.2</v>
      </c>
      <c r="AC20" s="96">
        <v>1887.1881345911627</v>
      </c>
      <c r="AD20" s="13">
        <v>182403.90700000001</v>
      </c>
      <c r="AE20" s="96">
        <v>1836.7586234675125</v>
      </c>
      <c r="AF20" s="325">
        <v>184062.19</v>
      </c>
      <c r="AG20" s="326">
        <v>1819.6054569719738</v>
      </c>
      <c r="AH20" s="325">
        <v>159636.48300000001</v>
      </c>
      <c r="AI20" s="326">
        <v>1555.1239286279865</v>
      </c>
      <c r="AJ20" s="323">
        <v>143483.86600000001</v>
      </c>
      <c r="AK20" s="96">
        <v>1386.2505772667987</v>
      </c>
      <c r="AL20" s="323">
        <v>141765.111</v>
      </c>
      <c r="AM20" s="96">
        <v>1394.3652109766892</v>
      </c>
      <c r="AN20" s="323">
        <v>139973.16000000003</v>
      </c>
      <c r="AO20" s="96">
        <v>1372.6223093895564</v>
      </c>
      <c r="AP20" s="323">
        <v>142337.58199999999</v>
      </c>
      <c r="AQ20" s="96">
        <v>1391.1702291941554</v>
      </c>
      <c r="AR20" s="323">
        <v>139676.51</v>
      </c>
      <c r="AS20" s="96">
        <v>1354.0449808540545</v>
      </c>
      <c r="AT20" s="13">
        <v>157217.37100000001</v>
      </c>
      <c r="AU20" s="13">
        <v>1508.9849646070786</v>
      </c>
      <c r="AV20" s="323">
        <v>164031.095</v>
      </c>
      <c r="AW20" s="96">
        <v>1554.9813485010072</v>
      </c>
      <c r="AX20" s="323">
        <v>176022.26</v>
      </c>
      <c r="AY20" s="96">
        <v>1646.876336163544</v>
      </c>
      <c r="AZ20" s="323">
        <v>189007.22100000005</v>
      </c>
      <c r="BA20" s="96">
        <v>1742.8051728907335</v>
      </c>
      <c r="BB20" s="323">
        <v>195217.52899999998</v>
      </c>
      <c r="BC20" s="96">
        <v>1781.1818339416056</v>
      </c>
      <c r="BD20" s="323">
        <v>196366.84000000003</v>
      </c>
      <c r="BE20" s="96">
        <v>1774.7466220796243</v>
      </c>
      <c r="BF20" s="323">
        <v>222254.701</v>
      </c>
      <c r="BG20" s="96">
        <v>1991.1727378605985</v>
      </c>
      <c r="BH20" s="323">
        <v>437251.24200000003</v>
      </c>
      <c r="BI20" s="96">
        <v>3907.0464421182432</v>
      </c>
      <c r="BJ20" s="327">
        <f>'Table 3'!B19</f>
        <v>229268.31299999997</v>
      </c>
      <c r="BK20" s="380">
        <f>'Table 3'!C19</f>
        <v>2046.9197153107075</v>
      </c>
      <c r="BL20" s="381">
        <f t="shared" si="0"/>
        <v>-0.47609537136677849</v>
      </c>
      <c r="BM20" s="16"/>
      <c r="BN20" s="38"/>
    </row>
    <row r="21" spans="1:66" ht="15" customHeight="1" x14ac:dyDescent="0.25">
      <c r="A21" s="382" t="str">
        <f>'Table 4'!A21</f>
        <v>Jefferson</v>
      </c>
      <c r="B21" s="328">
        <v>4813</v>
      </c>
      <c r="C21" s="331">
        <f>B21*2000/('Table 5'!B21*2000/'Table 5'!C21)</f>
        <v>644.74212993971878</v>
      </c>
      <c r="D21" s="332">
        <v>6690.6</v>
      </c>
      <c r="E21" s="331">
        <f>D21*2000/('Table 5'!D21*2000/'Table 5'!E21)</f>
        <v>866.65803108808279</v>
      </c>
      <c r="F21" s="332">
        <v>8380</v>
      </c>
      <c r="G21" s="331">
        <f>F21*2000/('Table 5'!F21*2000/'Table 5'!G21)</f>
        <v>1025.703794369645</v>
      </c>
      <c r="H21" s="332">
        <v>8380</v>
      </c>
      <c r="I21" s="331">
        <f>H21*2000/('Table 5'!H21*2000/'Table 5'!I21)</f>
        <v>985.3027630805409</v>
      </c>
      <c r="J21" s="332">
        <v>8380</v>
      </c>
      <c r="K21" s="331">
        <f>J21*2000/('Table 5'!J21*2000/'Table 5'!K21)</f>
        <v>964.88198042602187</v>
      </c>
      <c r="L21" s="332">
        <v>8608.7000000000007</v>
      </c>
      <c r="M21" s="331">
        <f>L21*2000/('Table 5'!L21*2000/'Table 5'!M21)</f>
        <v>957.58620689655174</v>
      </c>
      <c r="N21" s="383">
        <v>8709.2999999999993</v>
      </c>
      <c r="O21" s="331">
        <f>N21*2000/('Table 5'!N21*2000/'Table 5'!O21)</f>
        <v>946.66304347826087</v>
      </c>
      <c r="P21" s="384">
        <v>9870</v>
      </c>
      <c r="Q21" s="331">
        <f>P21*2000/('Table 5'!P21*2000/'Table 5'!Q21)</f>
        <v>1054.4871794871794</v>
      </c>
      <c r="R21" s="384">
        <v>9889</v>
      </c>
      <c r="S21" s="329">
        <v>1033</v>
      </c>
      <c r="T21" s="384">
        <v>10929</v>
      </c>
      <c r="U21" s="332">
        <v>1127</v>
      </c>
      <c r="V21" s="330">
        <v>11743.8</v>
      </c>
      <c r="W21" s="332">
        <v>1183.2544080604534</v>
      </c>
      <c r="X21" s="330">
        <v>10358.1</v>
      </c>
      <c r="Y21" s="332">
        <v>1041.0150753768844</v>
      </c>
      <c r="Z21" s="330">
        <v>12435.968000000001</v>
      </c>
      <c r="AA21" s="333">
        <v>1228.2437530864197</v>
      </c>
      <c r="AB21" s="332">
        <v>13679.6</v>
      </c>
      <c r="AC21" s="333">
        <v>1328.1165048543689</v>
      </c>
      <c r="AD21" s="332">
        <v>14385.11</v>
      </c>
      <c r="AE21" s="333">
        <v>1343.774871555348</v>
      </c>
      <c r="AF21" s="338">
        <v>14248.21</v>
      </c>
      <c r="AG21" s="339">
        <v>1293.5279164775307</v>
      </c>
      <c r="AH21" s="338">
        <v>12243.1</v>
      </c>
      <c r="AI21" s="339">
        <v>1090.6806455261233</v>
      </c>
      <c r="AJ21" s="330">
        <v>10118.308000000001</v>
      </c>
      <c r="AK21" s="333">
        <v>890.89218578032137</v>
      </c>
      <c r="AL21" s="330">
        <v>10387.359999999999</v>
      </c>
      <c r="AM21" s="333">
        <v>955.1595402298849</v>
      </c>
      <c r="AN21" s="330">
        <v>9714.35</v>
      </c>
      <c r="AO21" s="333">
        <v>889.38887617303726</v>
      </c>
      <c r="AP21" s="330">
        <v>10148.361999999999</v>
      </c>
      <c r="AQ21" s="333">
        <v>925.10136736554239</v>
      </c>
      <c r="AR21" s="330">
        <v>10249.517</v>
      </c>
      <c r="AS21" s="333">
        <v>930.08321234119785</v>
      </c>
      <c r="AT21" s="332">
        <v>10883.17</v>
      </c>
      <c r="AU21" s="332">
        <v>980.24498986714707</v>
      </c>
      <c r="AV21" s="330">
        <v>12393.958000000001</v>
      </c>
      <c r="AW21" s="333">
        <v>1104.3847627533971</v>
      </c>
      <c r="AX21" s="330">
        <v>13351.072</v>
      </c>
      <c r="AY21" s="333">
        <v>1171.6605528740677</v>
      </c>
      <c r="AZ21" s="330">
        <v>15156.736999999996</v>
      </c>
      <c r="BA21" s="333">
        <v>1307.1786977145318</v>
      </c>
      <c r="BB21" s="330">
        <v>16036.443999999998</v>
      </c>
      <c r="BC21" s="333">
        <v>1361.3280135823427</v>
      </c>
      <c r="BD21" s="330">
        <v>14568.653000000006</v>
      </c>
      <c r="BE21" s="333">
        <v>1222.2024328859065</v>
      </c>
      <c r="BF21" s="330">
        <v>16816.34299999999</v>
      </c>
      <c r="BG21" s="333">
        <v>1395.2576643849814</v>
      </c>
      <c r="BH21" s="330">
        <v>18916.338000000003</v>
      </c>
      <c r="BI21" s="333">
        <v>1520.0560890353172</v>
      </c>
      <c r="BJ21" s="340">
        <f>'Table 3'!B20</f>
        <v>20838.063999999998</v>
      </c>
      <c r="BK21" s="385">
        <f>'Table 3'!C20</f>
        <v>1640.5460890079275</v>
      </c>
      <c r="BL21" s="386">
        <f t="shared" si="0"/>
        <v>7.9266811824738381E-2</v>
      </c>
      <c r="BM21" s="16"/>
      <c r="BN21" s="38"/>
    </row>
    <row r="22" spans="1:66" ht="15" customHeight="1" x14ac:dyDescent="0.25">
      <c r="A22" s="377" t="str">
        <f>'Table 4'!A22</f>
        <v>Josephine</v>
      </c>
      <c r="B22" s="322">
        <v>47687</v>
      </c>
      <c r="C22" s="324">
        <f>B22*2000/('Table 5'!B22*2000/'Table 5'!C22)</f>
        <v>1456.536346976176</v>
      </c>
      <c r="D22" s="13">
        <v>38677.300000000003</v>
      </c>
      <c r="E22" s="324">
        <f>D22*2000/('Table 5'!D22*2000/'Table 5'!E22)</f>
        <v>1146.3337285121518</v>
      </c>
      <c r="F22" s="13">
        <v>34398.800000000003</v>
      </c>
      <c r="G22" s="324">
        <f>F22*2000/('Table 5'!F22*2000/'Table 5'!G22)</f>
        <v>991.46274679348608</v>
      </c>
      <c r="H22" s="13">
        <v>34373</v>
      </c>
      <c r="I22" s="324">
        <f>H22*2000/('Table 5'!H22*2000/'Table 5'!I22)</f>
        <v>964.31477065507079</v>
      </c>
      <c r="J22" s="13">
        <v>35872.5</v>
      </c>
      <c r="K22" s="324">
        <f>J22*2000/('Table 5'!J22*2000/'Table 5'!K22)</f>
        <v>992.32365145228221</v>
      </c>
      <c r="L22" s="13">
        <v>39158.1</v>
      </c>
      <c r="M22" s="324">
        <f>L22*2000/('Table 5'!L22*2000/'Table 5'!M22)</f>
        <v>1066.8328565590518</v>
      </c>
      <c r="N22" s="378">
        <v>40517.9</v>
      </c>
      <c r="O22" s="324">
        <f>N22*2000/('Table 5'!N22*2000/'Table 5'!O22)</f>
        <v>1088.751847373371</v>
      </c>
      <c r="P22" s="378">
        <v>42449.1</v>
      </c>
      <c r="Q22" s="324">
        <f>P22*2000/('Table 5'!P22*2000/'Table 5'!Q22)</f>
        <v>1128.8153171120862</v>
      </c>
      <c r="R22" s="387">
        <v>54033</v>
      </c>
      <c r="S22" s="388">
        <v>1421</v>
      </c>
      <c r="T22" s="387">
        <v>50436</v>
      </c>
      <c r="U22" s="336">
        <v>1313</v>
      </c>
      <c r="V22" s="334">
        <v>56070.2</v>
      </c>
      <c r="W22" s="336">
        <v>1444.1777205408887</v>
      </c>
      <c r="X22" s="334">
        <v>58592.5</v>
      </c>
      <c r="Y22" s="336">
        <v>1495.6604977664326</v>
      </c>
      <c r="Z22" s="334">
        <v>61211.27</v>
      </c>
      <c r="AA22" s="96">
        <v>1557.5386768447838</v>
      </c>
      <c r="AB22" s="336">
        <v>62774.1</v>
      </c>
      <c r="AC22" s="335">
        <v>1576.347542218595</v>
      </c>
      <c r="AD22" s="336">
        <v>66105.490000000005</v>
      </c>
      <c r="AE22" s="335">
        <v>1629.7193220338984</v>
      </c>
      <c r="AF22" s="337">
        <v>63004.44</v>
      </c>
      <c r="AG22" s="326">
        <v>1529.4195897560382</v>
      </c>
      <c r="AH22" s="337">
        <v>56444.77</v>
      </c>
      <c r="AI22" s="326">
        <v>1355.4172501682317</v>
      </c>
      <c r="AJ22" s="334">
        <v>49053.83</v>
      </c>
      <c r="AK22" s="96">
        <v>1172.6248730054383</v>
      </c>
      <c r="AL22" s="334">
        <v>49268.46</v>
      </c>
      <c r="AM22" s="96">
        <v>1190.418846270009</v>
      </c>
      <c r="AN22" s="323">
        <v>49130.420000000006</v>
      </c>
      <c r="AO22" s="96">
        <v>1186.4385414151172</v>
      </c>
      <c r="AP22" s="323">
        <v>48812.067999999999</v>
      </c>
      <c r="AQ22" s="96">
        <v>1179.3915554213229</v>
      </c>
      <c r="AR22" s="323">
        <v>51155.953999999998</v>
      </c>
      <c r="AS22" s="96">
        <v>1235.427253516875</v>
      </c>
      <c r="AT22" s="13">
        <v>58276.936999999998</v>
      </c>
      <c r="AU22" s="13">
        <v>1402.489308705854</v>
      </c>
      <c r="AV22" s="323">
        <v>62132.133999999998</v>
      </c>
      <c r="AW22" s="96">
        <v>1484.284137601529</v>
      </c>
      <c r="AX22" s="323">
        <v>70229.315999999992</v>
      </c>
      <c r="AY22" s="96">
        <v>1658.7969530558012</v>
      </c>
      <c r="AZ22" s="323">
        <v>76898.16</v>
      </c>
      <c r="BA22" s="96">
        <v>1795.6371278458844</v>
      </c>
      <c r="BB22" s="323">
        <v>80597.353999999992</v>
      </c>
      <c r="BC22" s="96">
        <v>1865.7874645523464</v>
      </c>
      <c r="BD22" s="323">
        <v>83442.099999999991</v>
      </c>
      <c r="BE22" s="96">
        <v>1923.7371757925068</v>
      </c>
      <c r="BF22" s="323">
        <v>87625.46</v>
      </c>
      <c r="BG22" s="96">
        <v>2024.6178373382625</v>
      </c>
      <c r="BH22" s="323">
        <v>94496.615999999995</v>
      </c>
      <c r="BI22" s="96">
        <v>2130.0292128753044</v>
      </c>
      <c r="BJ22" s="327">
        <f>'Table 3'!B21</f>
        <v>85396.174000000014</v>
      </c>
      <c r="BK22" s="380">
        <f>'Table 3'!C21</f>
        <v>1925.6208534900074</v>
      </c>
      <c r="BL22" s="381">
        <f t="shared" si="0"/>
        <v>-9.5965049751298159E-2</v>
      </c>
      <c r="BM22" s="16"/>
      <c r="BN22" s="38"/>
    </row>
    <row r="23" spans="1:66" ht="15" customHeight="1" x14ac:dyDescent="0.25">
      <c r="A23" s="377" t="str">
        <f>'Table 4'!A23</f>
        <v>Klamath</v>
      </c>
      <c r="B23" s="322">
        <v>57247</v>
      </c>
      <c r="C23" s="324">
        <f>B23*2000/('Table 5'!B23*2000/'Table 5'!C23)</f>
        <v>1950.1618122977343</v>
      </c>
      <c r="D23" s="13">
        <v>68370.5</v>
      </c>
      <c r="E23" s="324">
        <f>D23*2000/('Table 5'!D23*2000/'Table 5'!E23)</f>
        <v>2293.1578064732516</v>
      </c>
      <c r="F23" s="13">
        <v>59497.9</v>
      </c>
      <c r="G23" s="324">
        <f>F23*2000/('Table 5'!F23*2000/'Table 5'!G23)</f>
        <v>1963.9511470539694</v>
      </c>
      <c r="H23" s="13">
        <v>62501</v>
      </c>
      <c r="I23" s="324">
        <f>H23*2000/('Table 5'!H23*2000/'Table 5'!I23)</f>
        <v>2042.8501389115868</v>
      </c>
      <c r="J23" s="13">
        <v>66873.600000000006</v>
      </c>
      <c r="K23" s="324">
        <f>J23*2000/('Table 5'!J23*2000/'Table 5'!K23)</f>
        <v>2152.6991791405121</v>
      </c>
      <c r="L23" s="13">
        <v>67539.5</v>
      </c>
      <c r="M23" s="324">
        <f>L23*2000/('Table 5'!L23*2000/'Table 5'!M23)</f>
        <v>2148.8864142538973</v>
      </c>
      <c r="N23" s="378">
        <v>62603.4</v>
      </c>
      <c r="O23" s="324">
        <f>N23*2000/('Table 5'!N23*2000/'Table 5'!O23)</f>
        <v>1979.5541501976284</v>
      </c>
      <c r="P23" s="378">
        <v>65044.6</v>
      </c>
      <c r="Q23" s="324">
        <f>P23*2000/('Table 5'!P23*2000/'Table 5'!Q23)</f>
        <v>2047.6814103573115</v>
      </c>
      <c r="R23" s="379">
        <v>64619</v>
      </c>
      <c r="S23" s="314">
        <v>2023</v>
      </c>
      <c r="T23" s="379">
        <v>48182</v>
      </c>
      <c r="U23" s="13">
        <v>1501</v>
      </c>
      <c r="V23" s="323">
        <v>57801.9</v>
      </c>
      <c r="W23" s="13">
        <v>1790.9186676994577</v>
      </c>
      <c r="X23" s="323">
        <v>58896.6</v>
      </c>
      <c r="Y23" s="13">
        <v>1823.4241486068111</v>
      </c>
      <c r="Z23" s="323">
        <v>60699.11</v>
      </c>
      <c r="AA23" s="96">
        <v>1873.4293209876544</v>
      </c>
      <c r="AB23" s="13">
        <v>64738.5</v>
      </c>
      <c r="AC23" s="96">
        <v>1990.2697717316116</v>
      </c>
      <c r="AD23" s="13">
        <v>72315.39</v>
      </c>
      <c r="AE23" s="96">
        <v>2209.6215720724163</v>
      </c>
      <c r="AF23" s="325">
        <v>64640.65</v>
      </c>
      <c r="AG23" s="326">
        <v>1964.3136063207476</v>
      </c>
      <c r="AH23" s="325">
        <v>58740.04</v>
      </c>
      <c r="AI23" s="326">
        <v>1775.1942790099304</v>
      </c>
      <c r="AJ23" s="323">
        <v>53651.838000000003</v>
      </c>
      <c r="AK23" s="96">
        <v>1617.2370158251695</v>
      </c>
      <c r="AL23" s="323">
        <v>49933.18</v>
      </c>
      <c r="AM23" s="96">
        <v>1501.6368694083151</v>
      </c>
      <c r="AN23" s="323">
        <v>53360.499999999985</v>
      </c>
      <c r="AO23" s="96">
        <v>1602.898768398918</v>
      </c>
      <c r="AP23" s="323">
        <v>47283.773000000001</v>
      </c>
      <c r="AQ23" s="96">
        <v>1416.9545400059933</v>
      </c>
      <c r="AR23" s="323">
        <v>46505.608999999997</v>
      </c>
      <c r="AS23" s="96">
        <v>1392.1750935488699</v>
      </c>
      <c r="AT23" s="13">
        <v>49602.834999999999</v>
      </c>
      <c r="AU23" s="13">
        <v>1482.6732924824391</v>
      </c>
      <c r="AV23" s="323">
        <v>52858.324999999997</v>
      </c>
      <c r="AW23" s="96">
        <v>1575.2741767247803</v>
      </c>
      <c r="AX23" s="323">
        <v>58297.931999999993</v>
      </c>
      <c r="AY23" s="96">
        <v>1729.6523364485979</v>
      </c>
      <c r="AZ23" s="323">
        <v>59313.62200000001</v>
      </c>
      <c r="BA23" s="96">
        <v>1752.5076673068402</v>
      </c>
      <c r="BB23" s="323">
        <v>67513.294999999998</v>
      </c>
      <c r="BC23" s="96">
        <v>1986.8538846380225</v>
      </c>
      <c r="BD23" s="323">
        <v>66167.170999999988</v>
      </c>
      <c r="BE23" s="96">
        <v>1940.6708021704058</v>
      </c>
      <c r="BF23" s="323">
        <v>67803.160000000018</v>
      </c>
      <c r="BG23" s="96">
        <v>1992.0135145060599</v>
      </c>
      <c r="BH23" s="323">
        <v>88222.981</v>
      </c>
      <c r="BI23" s="96">
        <v>2527.0826100655954</v>
      </c>
      <c r="BJ23" s="327">
        <f>'Table 3'!B22</f>
        <v>75473.462000000014</v>
      </c>
      <c r="BK23" s="380">
        <f>'Table 3'!C22</f>
        <v>2130.5851571354992</v>
      </c>
      <c r="BL23" s="381">
        <f t="shared" si="0"/>
        <v>-0.15689928431734346</v>
      </c>
      <c r="BM23" s="16"/>
      <c r="BN23" s="38"/>
    </row>
    <row r="24" spans="1:66" ht="15" customHeight="1" x14ac:dyDescent="0.25">
      <c r="A24" s="377" t="str">
        <f>'Table 4'!A24</f>
        <v>Lake</v>
      </c>
      <c r="B24" s="322">
        <v>4364</v>
      </c>
      <c r="C24" s="324">
        <f>B24*2000/('Table 5'!B24*2000/'Table 5'!C24)</f>
        <v>1195.6164383561643</v>
      </c>
      <c r="D24" s="13">
        <v>6494.9</v>
      </c>
      <c r="E24" s="324">
        <f>D24*2000/('Table 5'!D24*2000/'Table 5'!E24)</f>
        <v>1774.5628415300544</v>
      </c>
      <c r="F24" s="13">
        <v>5858.8</v>
      </c>
      <c r="G24" s="324">
        <f>F24*2000/('Table 5'!F24*2000/'Table 5'!G24)</f>
        <v>1574.9462365591396</v>
      </c>
      <c r="H24" s="13">
        <v>8428</v>
      </c>
      <c r="I24" s="324">
        <f>H24*2000/('Table 5'!H24*2000/'Table 5'!I24)</f>
        <v>2253.475935828877</v>
      </c>
      <c r="J24" s="13">
        <v>7468</v>
      </c>
      <c r="K24" s="324">
        <f>J24*2000/('Table 5'!J24*2000/'Table 5'!K24)</f>
        <v>2002.1447721179625</v>
      </c>
      <c r="L24" s="13">
        <v>9218.9</v>
      </c>
      <c r="M24" s="324">
        <f>L24*2000/('Table 5'!L24*2000/'Table 5'!M24)</f>
        <v>2471.5549597855229</v>
      </c>
      <c r="N24" s="378">
        <v>6361</v>
      </c>
      <c r="O24" s="324">
        <f>N24*2000/('Table 5'!N24*2000/'Table 5'!O24)</f>
        <v>1723.8482384823847</v>
      </c>
      <c r="P24" s="378">
        <v>3320.5</v>
      </c>
      <c r="Q24" s="324">
        <f>P24*2000/('Table 5'!P24*2000/'Table 5'!Q24)</f>
        <v>895.01347708894878</v>
      </c>
      <c r="R24" s="379">
        <v>4057</v>
      </c>
      <c r="S24" s="314">
        <v>1089</v>
      </c>
      <c r="T24" s="379">
        <v>5120</v>
      </c>
      <c r="U24" s="13">
        <v>1365</v>
      </c>
      <c r="V24" s="323">
        <v>4833.1000000000004</v>
      </c>
      <c r="W24" s="13">
        <v>1297.4765100671141</v>
      </c>
      <c r="X24" s="323">
        <v>4925.2</v>
      </c>
      <c r="Y24" s="13">
        <v>1331.1351351351352</v>
      </c>
      <c r="Z24" s="323">
        <v>4891.34</v>
      </c>
      <c r="AA24" s="96">
        <v>1304.3573333333334</v>
      </c>
      <c r="AB24" s="13">
        <v>5932</v>
      </c>
      <c r="AC24" s="96">
        <v>1580.8127914723518</v>
      </c>
      <c r="AD24" s="13">
        <v>5651.39</v>
      </c>
      <c r="AE24" s="96">
        <v>1499.0424403183024</v>
      </c>
      <c r="AF24" s="325">
        <v>6050.7</v>
      </c>
      <c r="AG24" s="326">
        <v>1599.6563119629875</v>
      </c>
      <c r="AH24" s="325">
        <v>5599.41</v>
      </c>
      <c r="AI24" s="326">
        <v>1476.3893732492688</v>
      </c>
      <c r="AJ24" s="323">
        <v>5244.0749999999998</v>
      </c>
      <c r="AK24" s="96">
        <v>1380.0197368421052</v>
      </c>
      <c r="AL24" s="323">
        <v>5925.1799999999994</v>
      </c>
      <c r="AM24" s="96">
        <v>1501.9467680608363</v>
      </c>
      <c r="AN24" s="323">
        <v>6772.5770000000002</v>
      </c>
      <c r="AO24" s="96">
        <v>1717.838173747622</v>
      </c>
      <c r="AP24" s="323">
        <v>5024.6019999999999</v>
      </c>
      <c r="AQ24" s="96">
        <v>1268.838888888889</v>
      </c>
      <c r="AR24" s="323">
        <v>6110.3209999999999</v>
      </c>
      <c r="AS24" s="96">
        <v>1539.1236775818641</v>
      </c>
      <c r="AT24" s="13">
        <v>5698.3559999999998</v>
      </c>
      <c r="AU24" s="13">
        <v>1426.3719649561951</v>
      </c>
      <c r="AV24" s="323">
        <v>5926.4279999999999</v>
      </c>
      <c r="AW24" s="96">
        <v>1479.7573033707865</v>
      </c>
      <c r="AX24" s="323">
        <v>6496.2680000000009</v>
      </c>
      <c r="AY24" s="96">
        <v>1621.0275733000626</v>
      </c>
      <c r="AZ24" s="323">
        <v>6427.6750000000002</v>
      </c>
      <c r="BA24" s="96">
        <v>1583.17118226601</v>
      </c>
      <c r="BB24" s="323">
        <v>6466.7400000000007</v>
      </c>
      <c r="BC24" s="96">
        <v>1593.7744916820704</v>
      </c>
      <c r="BD24" s="323">
        <v>5398.2220000000016</v>
      </c>
      <c r="BE24" s="96">
        <v>1336.1935643564361</v>
      </c>
      <c r="BF24" s="323">
        <v>5954.85</v>
      </c>
      <c r="BG24" s="96">
        <v>1474.8854489164087</v>
      </c>
      <c r="BH24" s="323">
        <v>5770.2889999999998</v>
      </c>
      <c r="BI24" s="96">
        <v>1411.3462149932739</v>
      </c>
      <c r="BJ24" s="327">
        <f>'Table 3'!B23</f>
        <v>5807.1220000000003</v>
      </c>
      <c r="BK24" s="380">
        <f>'Table 3'!C23</f>
        <v>1408.4672657910635</v>
      </c>
      <c r="BL24" s="381">
        <f t="shared" si="0"/>
        <v>-2.0398603628409839E-3</v>
      </c>
      <c r="BM24" s="16"/>
      <c r="BN24" s="38"/>
    </row>
    <row r="25" spans="1:66" ht="15" customHeight="1" x14ac:dyDescent="0.25">
      <c r="A25" s="377" t="str">
        <f>'Table 4'!A25</f>
        <v>Lane</v>
      </c>
      <c r="B25" s="322">
        <v>302695</v>
      </c>
      <c r="C25" s="324">
        <f>B25*2000/('Table 5'!B25*2000/'Table 5'!C25)</f>
        <v>2071.5507801806734</v>
      </c>
      <c r="D25" s="13">
        <v>264508.7</v>
      </c>
      <c r="E25" s="324">
        <f>D25*2000/('Table 5'!D25*2000/'Table 5'!E25)</f>
        <v>1781.6232782137204</v>
      </c>
      <c r="F25" s="13">
        <v>251327.9</v>
      </c>
      <c r="G25" s="324">
        <f>F25*2000/('Table 5'!F25*2000/'Table 5'!G25)</f>
        <v>1667.9025782261008</v>
      </c>
      <c r="H25" s="13">
        <v>240106</v>
      </c>
      <c r="I25" s="324">
        <f>H25*2000/('Table 5'!H25*2000/'Table 5'!I25)</f>
        <v>1568.6538398719499</v>
      </c>
      <c r="J25" s="13">
        <v>239310</v>
      </c>
      <c r="K25" s="324">
        <f>J25*2000/('Table 5'!J25*2000/'Table 5'!K25)</f>
        <v>1542.3433874709976</v>
      </c>
      <c r="L25" s="13">
        <v>260519.4</v>
      </c>
      <c r="M25" s="324">
        <f>L25*2000/('Table 5'!L25*2000/'Table 5'!M25)</f>
        <v>1649.9534500775833</v>
      </c>
      <c r="N25" s="378">
        <v>261957.5</v>
      </c>
      <c r="O25" s="324">
        <f>N25*2000/('Table 5'!N25*2000/'Table 5'!O25)</f>
        <v>1643.7580397201393</v>
      </c>
      <c r="P25" s="378">
        <v>263179.8</v>
      </c>
      <c r="Q25" s="324">
        <f>P25*2000/('Table 5'!P25*2000/'Table 5'!Q25)</f>
        <v>1639.902794653706</v>
      </c>
      <c r="R25" s="379">
        <v>256205</v>
      </c>
      <c r="S25" s="314">
        <v>1582</v>
      </c>
      <c r="T25" s="379">
        <v>240984</v>
      </c>
      <c r="U25" s="13">
        <v>1479</v>
      </c>
      <c r="V25" s="323">
        <v>258469.7</v>
      </c>
      <c r="W25" s="13">
        <v>1575.3143379552034</v>
      </c>
      <c r="X25" s="323">
        <v>256204.1</v>
      </c>
      <c r="Y25" s="13">
        <v>1555.5804493017608</v>
      </c>
      <c r="Z25" s="323">
        <v>260859.02900000001</v>
      </c>
      <c r="AA25" s="96">
        <v>1565.0759202039899</v>
      </c>
      <c r="AB25" s="13">
        <v>266728.8</v>
      </c>
      <c r="AC25" s="96">
        <v>1587.2698870821368</v>
      </c>
      <c r="AD25" s="13">
        <v>281346.84299999994</v>
      </c>
      <c r="AE25" s="96">
        <v>1656.2479719785715</v>
      </c>
      <c r="AF25" s="325">
        <v>275032.24</v>
      </c>
      <c r="AG25" s="326">
        <v>1603.032231742146</v>
      </c>
      <c r="AH25" s="325">
        <v>251260.01300000001</v>
      </c>
      <c r="AI25" s="326">
        <v>1452.88023097565</v>
      </c>
      <c r="AJ25" s="323">
        <v>223028.31599999999</v>
      </c>
      <c r="AK25" s="96">
        <v>1282.9147573988323</v>
      </c>
      <c r="AL25" s="323">
        <v>225987.81000000003</v>
      </c>
      <c r="AM25" s="96">
        <v>1283.9851708758276</v>
      </c>
      <c r="AN25" s="323">
        <v>215727.87000000005</v>
      </c>
      <c r="AO25" s="96">
        <v>1221.7177726494035</v>
      </c>
      <c r="AP25" s="323">
        <v>222486.23300000001</v>
      </c>
      <c r="AQ25" s="96">
        <v>1256.2746075663467</v>
      </c>
      <c r="AR25" s="323">
        <v>221532.16800000001</v>
      </c>
      <c r="AS25" s="96">
        <v>1244.1258996138997</v>
      </c>
      <c r="AT25" s="13">
        <v>233476.98800000001</v>
      </c>
      <c r="AU25" s="13">
        <v>1301.4143504131771</v>
      </c>
      <c r="AV25" s="323">
        <v>239015.69</v>
      </c>
      <c r="AW25" s="96">
        <v>1319.9817202816512</v>
      </c>
      <c r="AX25" s="323">
        <v>258135.85600000003</v>
      </c>
      <c r="AY25" s="96">
        <v>1410.8097283707714</v>
      </c>
      <c r="AZ25" s="323">
        <v>274913.288</v>
      </c>
      <c r="BA25" s="96">
        <v>1483.6119158121965</v>
      </c>
      <c r="BB25" s="323">
        <v>273549.33100000006</v>
      </c>
      <c r="BC25" s="96">
        <v>1458.463057155044</v>
      </c>
      <c r="BD25" s="323">
        <v>282439.8930000001</v>
      </c>
      <c r="BE25" s="96">
        <v>1490.9200432854736</v>
      </c>
      <c r="BF25" s="323">
        <v>283707.84900000005</v>
      </c>
      <c r="BG25" s="96">
        <v>1487.8546746555141</v>
      </c>
      <c r="BH25" s="323">
        <v>341663.04800000001</v>
      </c>
      <c r="BI25" s="96">
        <v>1785.7871510818065</v>
      </c>
      <c r="BJ25" s="327">
        <f>'Table 3'!B24</f>
        <v>284398.56199999998</v>
      </c>
      <c r="BK25" s="380">
        <f>'Table 3'!C24</f>
        <v>1481.404243182207</v>
      </c>
      <c r="BL25" s="381">
        <f t="shared" si="0"/>
        <v>-0.17044747338181276</v>
      </c>
      <c r="BM25" s="16"/>
      <c r="BN25" s="38"/>
    </row>
    <row r="26" spans="1:66" ht="15" customHeight="1" x14ac:dyDescent="0.25">
      <c r="A26" s="382" t="str">
        <f>'Table 4'!A26</f>
        <v>Lincoln</v>
      </c>
      <c r="B26" s="328">
        <v>27601</v>
      </c>
      <c r="C26" s="331">
        <f>B26*2000/('Table 5'!B26*2000/'Table 5'!C26)</f>
        <v>1355.3154922661429</v>
      </c>
      <c r="D26" s="332">
        <v>30200.400000000001</v>
      </c>
      <c r="E26" s="331">
        <f>D26*2000/('Table 5'!D26*2000/'Table 5'!E26)</f>
        <v>1441.546539379475</v>
      </c>
      <c r="F26" s="332">
        <v>32766.3</v>
      </c>
      <c r="G26" s="331">
        <f>F26*2000/('Table 5'!F26*2000/'Table 5'!G26)</f>
        <v>1526.1434559850954</v>
      </c>
      <c r="H26" s="332">
        <v>35371</v>
      </c>
      <c r="I26" s="331">
        <f>H26*2000/('Table 5'!H26*2000/'Table 5'!I26)</f>
        <v>1609.9681383705051</v>
      </c>
      <c r="J26" s="332">
        <v>42443</v>
      </c>
      <c r="K26" s="331">
        <f>J26*2000/('Table 5'!J26*2000/'Table 5'!K26)</f>
        <v>1907.5505617977528</v>
      </c>
      <c r="L26" s="332">
        <v>41348.9</v>
      </c>
      <c r="M26" s="331">
        <f>L26*2000/('Table 5'!L26*2000/'Table 5'!M26)</f>
        <v>1835.6892341842397</v>
      </c>
      <c r="N26" s="383">
        <v>41127.1</v>
      </c>
      <c r="O26" s="331">
        <f>N26*2000/('Table 5'!N26*2000/'Table 5'!O26)</f>
        <v>1834.393398751115</v>
      </c>
      <c r="P26" s="384">
        <v>40983.599999999999</v>
      </c>
      <c r="Q26" s="331">
        <f>P26*2000/('Table 5'!P26*2000/'Table 5'!Q26)</f>
        <v>1841.9595505617976</v>
      </c>
      <c r="R26" s="384">
        <v>40406</v>
      </c>
      <c r="S26" s="329">
        <v>1812</v>
      </c>
      <c r="T26" s="384">
        <v>38835</v>
      </c>
      <c r="U26" s="332">
        <v>1740</v>
      </c>
      <c r="V26" s="330">
        <v>40675</v>
      </c>
      <c r="W26" s="332">
        <v>1819.9105145413871</v>
      </c>
      <c r="X26" s="330">
        <v>40555.1</v>
      </c>
      <c r="Y26" s="332">
        <v>1802.4488888888889</v>
      </c>
      <c r="Z26" s="330">
        <v>43262.567999999999</v>
      </c>
      <c r="AA26" s="333">
        <v>1948.7643243243244</v>
      </c>
      <c r="AB26" s="332">
        <v>46014.1</v>
      </c>
      <c r="AC26" s="333">
        <v>2072.4738205157078</v>
      </c>
      <c r="AD26" s="332">
        <v>50536.603000000003</v>
      </c>
      <c r="AE26" s="333">
        <v>2270.2876460017969</v>
      </c>
      <c r="AF26" s="338">
        <v>52580.09</v>
      </c>
      <c r="AG26" s="339">
        <v>2356.2666367913957</v>
      </c>
      <c r="AH26" s="338">
        <v>47876.074000000001</v>
      </c>
      <c r="AI26" s="339">
        <v>2141.4705210258689</v>
      </c>
      <c r="AJ26" s="330">
        <v>40800.517999999996</v>
      </c>
      <c r="AK26" s="333">
        <v>1825.5265324384789</v>
      </c>
      <c r="AL26" s="330">
        <v>38932.000000000015</v>
      </c>
      <c r="AM26" s="333">
        <v>1687.7424948520652</v>
      </c>
      <c r="AN26" s="330">
        <v>38810.29</v>
      </c>
      <c r="AO26" s="333">
        <v>1681.7371899035857</v>
      </c>
      <c r="AP26" s="330">
        <v>39387.724000000002</v>
      </c>
      <c r="AQ26" s="333">
        <v>1701.5973215250026</v>
      </c>
      <c r="AR26" s="330">
        <v>40967.678</v>
      </c>
      <c r="AS26" s="333">
        <v>1759.7799828178695</v>
      </c>
      <c r="AT26" s="332">
        <v>42098.214999999997</v>
      </c>
      <c r="AU26" s="332">
        <v>1795.6159095756025</v>
      </c>
      <c r="AV26" s="330">
        <v>43698.233</v>
      </c>
      <c r="AW26" s="333">
        <v>1850.6398305982002</v>
      </c>
      <c r="AX26" s="330">
        <v>47787.097999999991</v>
      </c>
      <c r="AY26" s="333">
        <v>2002.1828008798573</v>
      </c>
      <c r="AZ26" s="330">
        <v>51008.903000000013</v>
      </c>
      <c r="BA26" s="333">
        <v>2127.143577981652</v>
      </c>
      <c r="BB26" s="330">
        <v>58188.659000000014</v>
      </c>
      <c r="BC26" s="333">
        <v>2413.9663555278994</v>
      </c>
      <c r="BD26" s="330">
        <v>52561.974999999991</v>
      </c>
      <c r="BE26" s="333">
        <v>2178.2832573559881</v>
      </c>
      <c r="BF26" s="330">
        <v>54616.219000000005</v>
      </c>
      <c r="BG26" s="333">
        <v>2261.3070696615259</v>
      </c>
      <c r="BH26" s="330">
        <v>64134.212000000007</v>
      </c>
      <c r="BI26" s="333">
        <v>2519.8598117989118</v>
      </c>
      <c r="BJ26" s="340">
        <f>'Table 3'!B25</f>
        <v>45509.275000000001</v>
      </c>
      <c r="BK26" s="385">
        <f>'Table 3'!C25</f>
        <v>1781.5333501278474</v>
      </c>
      <c r="BL26" s="386">
        <f t="shared" si="0"/>
        <v>-0.2930029909655878</v>
      </c>
      <c r="BM26" s="16"/>
      <c r="BN26" s="38"/>
    </row>
    <row r="27" spans="1:66" ht="15" customHeight="1" x14ac:dyDescent="0.25">
      <c r="A27" s="377" t="str">
        <f>'Table 4'!A27</f>
        <v>Linn</v>
      </c>
      <c r="B27" s="322">
        <v>94644</v>
      </c>
      <c r="C27" s="324">
        <f>B27*2000/('Table 5'!B27*2000/'Table 5'!C27)</f>
        <v>1930.8403207050615</v>
      </c>
      <c r="D27" s="13">
        <v>69382.3</v>
      </c>
      <c r="E27" s="324">
        <f>D27*2000/('Table 5'!D27*2000/'Table 5'!E27)</f>
        <v>1395.5728538096387</v>
      </c>
      <c r="F27" s="13">
        <v>63078.7</v>
      </c>
      <c r="G27" s="324">
        <f>F27*2000/('Table 5'!F27*2000/'Table 5'!G27)</f>
        <v>1250.5070129355206</v>
      </c>
      <c r="H27" s="13">
        <v>75332</v>
      </c>
      <c r="I27" s="324">
        <f>H27*2000/('Table 5'!H27*2000/'Table 5'!I27)</f>
        <v>1464.6912428060352</v>
      </c>
      <c r="J27" s="13">
        <v>69506.3</v>
      </c>
      <c r="K27" s="324">
        <f>J27*2000/('Table 5'!J27*2000/'Table 5'!K27)</f>
        <v>1327.9640049292614</v>
      </c>
      <c r="L27" s="13">
        <v>72093.100000000006</v>
      </c>
      <c r="M27" s="324">
        <f>L27*2000/('Table 5'!L27*2000/'Table 5'!M27)</f>
        <v>1357.0338161523186</v>
      </c>
      <c r="N27" s="378">
        <v>75807</v>
      </c>
      <c r="O27" s="324">
        <f>N27*2000/('Table 5'!N27*2000/'Table 5'!O27)</f>
        <v>1416.556105764739</v>
      </c>
      <c r="P27" s="378">
        <v>71817.5</v>
      </c>
      <c r="Q27" s="324">
        <f>P27*2000/('Table 5'!P27*2000/'Table 5'!Q27)</f>
        <v>1332.1739936931926</v>
      </c>
      <c r="R27" s="387">
        <v>83701</v>
      </c>
      <c r="S27" s="388">
        <v>1540</v>
      </c>
      <c r="T27" s="387">
        <v>70471</v>
      </c>
      <c r="U27" s="336">
        <v>1294</v>
      </c>
      <c r="V27" s="334">
        <v>71570.5</v>
      </c>
      <c r="W27" s="336">
        <v>1306.6271109082611</v>
      </c>
      <c r="X27" s="334">
        <v>75185.399999999994</v>
      </c>
      <c r="Y27" s="336">
        <v>1353.2898348557801</v>
      </c>
      <c r="Z27" s="334">
        <v>73779.963000000003</v>
      </c>
      <c r="AA27" s="96">
        <v>1308.7935252117611</v>
      </c>
      <c r="AB27" s="336">
        <v>81764</v>
      </c>
      <c r="AC27" s="335">
        <v>1437.1034361543193</v>
      </c>
      <c r="AD27" s="336">
        <v>89163.077999999994</v>
      </c>
      <c r="AE27" s="335">
        <v>1550.9049764310935</v>
      </c>
      <c r="AF27" s="337">
        <v>86369.93</v>
      </c>
      <c r="AG27" s="326">
        <v>1487.6362634239604</v>
      </c>
      <c r="AH27" s="337">
        <v>76961.126999999993</v>
      </c>
      <c r="AI27" s="326">
        <v>1311.552635754306</v>
      </c>
      <c r="AJ27" s="334">
        <v>82520.125</v>
      </c>
      <c r="AK27" s="96">
        <v>1397.1897936896287</v>
      </c>
      <c r="AL27" s="334">
        <v>80588.533999999985</v>
      </c>
      <c r="AM27" s="96">
        <v>1303.4731989777761</v>
      </c>
      <c r="AN27" s="323">
        <v>78918.747999999978</v>
      </c>
      <c r="AO27" s="96">
        <v>1270.1685591276705</v>
      </c>
      <c r="AP27" s="323">
        <v>79745.850000000006</v>
      </c>
      <c r="AQ27" s="96">
        <v>1275.6682610017117</v>
      </c>
      <c r="AR27" s="323">
        <v>78590.081000000006</v>
      </c>
      <c r="AS27" s="96">
        <v>1249.4150536950629</v>
      </c>
      <c r="AT27" s="13">
        <v>81868.816999999995</v>
      </c>
      <c r="AU27" s="13">
        <v>1288.5421965499875</v>
      </c>
      <c r="AV27" s="323">
        <v>91837.127999999997</v>
      </c>
      <c r="AW27" s="96">
        <v>1431.3655286352196</v>
      </c>
      <c r="AX27" s="323">
        <v>97894.039999999979</v>
      </c>
      <c r="AY27" s="96">
        <v>1504.2339310683935</v>
      </c>
      <c r="AZ27" s="323">
        <v>106846.72700000003</v>
      </c>
      <c r="BA27" s="96">
        <v>1619.7487607064356</v>
      </c>
      <c r="BB27" s="323">
        <v>111313.56800000004</v>
      </c>
      <c r="BC27" s="96">
        <v>1664.900282684456</v>
      </c>
      <c r="BD27" s="323">
        <v>110452.817</v>
      </c>
      <c r="BE27" s="96">
        <v>1636.2774267619718</v>
      </c>
      <c r="BF27" s="323">
        <v>109439.33900000001</v>
      </c>
      <c r="BG27" s="96">
        <v>1611.5349580326904</v>
      </c>
      <c r="BH27" s="323">
        <v>111890.01500000001</v>
      </c>
      <c r="BI27" s="96">
        <v>1598.3032047481986</v>
      </c>
      <c r="BJ27" s="327">
        <f>'Table 3'!B26</f>
        <v>108287.202</v>
      </c>
      <c r="BK27" s="380">
        <f>'Table 3'!C26</f>
        <v>1539.5074289951938</v>
      </c>
      <c r="BL27" s="381">
        <f t="shared" si="0"/>
        <v>-3.6786371683630414E-2</v>
      </c>
      <c r="BM27" s="16"/>
      <c r="BN27" s="38"/>
    </row>
    <row r="28" spans="1:66" ht="15" customHeight="1" x14ac:dyDescent="0.25">
      <c r="A28" s="377" t="str">
        <f>'Table 4'!A28</f>
        <v>Malheur</v>
      </c>
      <c r="B28" s="322">
        <v>13815</v>
      </c>
      <c r="C28" s="324">
        <f>B28*2000/('Table 5'!B28*2000/'Table 5'!C28)</f>
        <v>996.39379733141004</v>
      </c>
      <c r="D28" s="13">
        <v>15163.3</v>
      </c>
      <c r="E28" s="324">
        <f>D28*2000/('Table 5'!D28*2000/'Table 5'!E28)</f>
        <v>1070.476526650194</v>
      </c>
      <c r="F28" s="13">
        <v>15948.3</v>
      </c>
      <c r="G28" s="324">
        <f>F28*2000/('Table 5'!F28*2000/'Table 5'!G28)</f>
        <v>1108.6757038581857</v>
      </c>
      <c r="H28" s="13">
        <v>16777</v>
      </c>
      <c r="I28" s="324">
        <f>H28*2000/('Table 5'!H28*2000/'Table 5'!I28)</f>
        <v>1137.8094269243811</v>
      </c>
      <c r="J28" s="13">
        <v>18775.599999999999</v>
      </c>
      <c r="K28" s="324">
        <f>J28*2000/('Table 5'!J28*2000/'Table 5'!K28)</f>
        <v>1245.8925016589251</v>
      </c>
      <c r="L28" s="13">
        <v>21772.9</v>
      </c>
      <c r="M28" s="324">
        <f>L28*2000/('Table 5'!L28*2000/'Table 5'!M28)</f>
        <v>1422.1358589157414</v>
      </c>
      <c r="N28" s="378">
        <v>20051.599999999999</v>
      </c>
      <c r="O28" s="324">
        <f>N28*2000/('Table 5'!N28*2000/'Table 5'!O28)</f>
        <v>1287.8355812459858</v>
      </c>
      <c r="P28" s="378">
        <v>20844.2</v>
      </c>
      <c r="Q28" s="324">
        <f>P28*2000/('Table 5'!P28*2000/'Table 5'!Q28)</f>
        <v>1330.1978302488833</v>
      </c>
      <c r="R28" s="379">
        <v>21338</v>
      </c>
      <c r="S28" s="314">
        <v>1344</v>
      </c>
      <c r="T28" s="379">
        <v>20995</v>
      </c>
      <c r="U28" s="13">
        <v>1312</v>
      </c>
      <c r="V28" s="323">
        <v>22078.5</v>
      </c>
      <c r="W28" s="13">
        <v>1379.90625</v>
      </c>
      <c r="X28" s="323">
        <v>21006.7</v>
      </c>
      <c r="Y28" s="13">
        <v>1312.91875</v>
      </c>
      <c r="Z28" s="323">
        <v>21655.53</v>
      </c>
      <c r="AA28" s="96">
        <v>1359.8448979591838</v>
      </c>
      <c r="AB28" s="13">
        <v>22733.8</v>
      </c>
      <c r="AC28" s="96">
        <v>1429.7987421383648</v>
      </c>
      <c r="AD28" s="13">
        <v>23292.172999999999</v>
      </c>
      <c r="AE28" s="96">
        <v>1468.3797005516155</v>
      </c>
      <c r="AF28" s="325">
        <v>24152.498</v>
      </c>
      <c r="AG28" s="326">
        <v>1527.6722327640734</v>
      </c>
      <c r="AH28" s="325">
        <v>23007.953000000001</v>
      </c>
      <c r="AI28" s="326">
        <v>1452.6838014634232</v>
      </c>
      <c r="AJ28" s="323">
        <v>21134.367999999999</v>
      </c>
      <c r="AK28" s="96">
        <v>1332.5578814627995</v>
      </c>
      <c r="AL28" s="323">
        <v>20713.307000000001</v>
      </c>
      <c r="AM28" s="96">
        <v>1321.6338810017546</v>
      </c>
      <c r="AN28" s="323">
        <v>20176.200000000008</v>
      </c>
      <c r="AO28" s="96">
        <v>1283.2692001908099</v>
      </c>
      <c r="AP28" s="323">
        <v>19919.919000000002</v>
      </c>
      <c r="AQ28" s="96">
        <v>1268.9867176301959</v>
      </c>
      <c r="AR28" s="323">
        <v>20042.913</v>
      </c>
      <c r="AS28" s="96">
        <v>1274.9944656488549</v>
      </c>
      <c r="AT28" s="13">
        <v>20200.541000000001</v>
      </c>
      <c r="AU28" s="13">
        <v>1283.7966952653321</v>
      </c>
      <c r="AV28" s="323">
        <v>20956.433000000001</v>
      </c>
      <c r="AW28" s="96">
        <v>1331.4125158831005</v>
      </c>
      <c r="AX28" s="323">
        <v>22204.624999999996</v>
      </c>
      <c r="AY28" s="96">
        <v>1400.7017820533038</v>
      </c>
      <c r="AZ28" s="323">
        <v>23261.814999999999</v>
      </c>
      <c r="BA28" s="96">
        <v>1460.9398649709531</v>
      </c>
      <c r="BB28" s="323">
        <v>26136.339999999997</v>
      </c>
      <c r="BC28" s="96">
        <v>1637.3588097102581</v>
      </c>
      <c r="BD28" s="323">
        <v>24073.936000000005</v>
      </c>
      <c r="BE28" s="96">
        <v>1503.2117389946927</v>
      </c>
      <c r="BF28" s="323">
        <v>26438.069999999996</v>
      </c>
      <c r="BG28" s="96">
        <v>1646.9752375019466</v>
      </c>
      <c r="BH28" s="323">
        <v>25095.829000000002</v>
      </c>
      <c r="BI28" s="96">
        <v>1568.7344272542584</v>
      </c>
      <c r="BJ28" s="327">
        <f>'Table 3'!B27</f>
        <v>24852.251000000007</v>
      </c>
      <c r="BK28" s="380">
        <f>'Table 3'!C27</f>
        <v>1548.683781069933</v>
      </c>
      <c r="BL28" s="381">
        <f t="shared" si="0"/>
        <v>-1.2781415283541597E-2</v>
      </c>
      <c r="BM28" s="16"/>
      <c r="BN28" s="38"/>
    </row>
    <row r="29" spans="1:66" ht="15" customHeight="1" x14ac:dyDescent="0.25">
      <c r="A29" s="377" t="str">
        <f>'Table 4'!A29</f>
        <v>Marion</v>
      </c>
      <c r="B29" s="322">
        <v>158109</v>
      </c>
      <c r="C29" s="324">
        <f>B29*2000/('Table 5'!B29*2000/'Table 5'!C29)</f>
        <v>1306.9235728810197</v>
      </c>
      <c r="D29" s="13">
        <v>170130.6</v>
      </c>
      <c r="E29" s="324">
        <f>D29*2000/('Table 5'!D29*2000/'Table 5'!E29)</f>
        <v>1366.7688278510402</v>
      </c>
      <c r="F29" s="13">
        <v>195989.6</v>
      </c>
      <c r="G29" s="324">
        <f>F29*2000/('Table 5'!F29*2000/'Table 5'!G29)</f>
        <v>1540.2538410153643</v>
      </c>
      <c r="H29" s="13">
        <v>198041</v>
      </c>
      <c r="I29" s="324">
        <f>H29*2000/('Table 5'!H29*2000/'Table 5'!I29)</f>
        <v>1520.7835789376684</v>
      </c>
      <c r="J29" s="13">
        <v>219182.4</v>
      </c>
      <c r="K29" s="324">
        <f>J29*2000/('Table 5'!J29*2000/'Table 5'!K29)</f>
        <v>1647.9322128198669</v>
      </c>
      <c r="L29" s="13">
        <v>228192</v>
      </c>
      <c r="M29" s="324">
        <f>L29*2000/('Table 5'!L29*2000/'Table 5'!M29)</f>
        <v>1679.864840491904</v>
      </c>
      <c r="N29" s="378">
        <v>237165.7</v>
      </c>
      <c r="O29" s="324">
        <f>N29*2000/('Table 5'!N29*2000/'Table 5'!O29)</f>
        <v>1713.8726694609047</v>
      </c>
      <c r="P29" s="378">
        <v>230271.4</v>
      </c>
      <c r="Q29" s="324">
        <f>P29*2000/('Table 5'!P29*2000/'Table 5'!Q29)</f>
        <v>1634.7536561124521</v>
      </c>
      <c r="R29" s="379">
        <v>222098</v>
      </c>
      <c r="S29" s="314">
        <v>1552</v>
      </c>
      <c r="T29" s="379">
        <v>194190</v>
      </c>
      <c r="U29" s="13">
        <v>1347</v>
      </c>
      <c r="V29" s="323">
        <v>197699.32</v>
      </c>
      <c r="W29" s="13">
        <v>1359.5290800625785</v>
      </c>
      <c r="X29" s="323">
        <v>211509.71</v>
      </c>
      <c r="Y29" s="13">
        <v>1430.4728121195726</v>
      </c>
      <c r="Z29" s="323">
        <v>225430.19499999998</v>
      </c>
      <c r="AA29" s="96">
        <v>1511.584772186274</v>
      </c>
      <c r="AB29" s="13">
        <v>242808.76</v>
      </c>
      <c r="AC29" s="96">
        <v>1608.2713031958933</v>
      </c>
      <c r="AD29" s="13">
        <v>245214.34</v>
      </c>
      <c r="AE29" s="96">
        <v>1600.2502039351323</v>
      </c>
      <c r="AF29" s="325">
        <v>247331.09</v>
      </c>
      <c r="AG29" s="326">
        <v>1591.2085359890887</v>
      </c>
      <c r="AH29" s="325">
        <v>217172.22400000002</v>
      </c>
      <c r="AI29" s="326">
        <v>1380.3106255367497</v>
      </c>
      <c r="AJ29" s="323">
        <v>200419.77299999999</v>
      </c>
      <c r="AK29" s="96">
        <v>1260.6008208192468</v>
      </c>
      <c r="AL29" s="323">
        <v>205923.367</v>
      </c>
      <c r="AM29" s="96">
        <v>1304.6542615031283</v>
      </c>
      <c r="AN29" s="323">
        <v>195332</v>
      </c>
      <c r="AO29" s="96">
        <v>1228.8006844424594</v>
      </c>
      <c r="AP29" s="323">
        <v>191946.98100000006</v>
      </c>
      <c r="AQ29" s="96">
        <v>1198.6647495222755</v>
      </c>
      <c r="AR29" s="323">
        <v>193571.06599999999</v>
      </c>
      <c r="AS29" s="96">
        <v>1199.8677592715417</v>
      </c>
      <c r="AT29" s="13">
        <v>204991.02100000001</v>
      </c>
      <c r="AU29" s="13">
        <v>1257.8875828784796</v>
      </c>
      <c r="AV29" s="323">
        <v>220236.606</v>
      </c>
      <c r="AW29" s="96">
        <v>1336.4844891618322</v>
      </c>
      <c r="AX29" s="323">
        <v>243107.43900000001</v>
      </c>
      <c r="AY29" s="96">
        <v>1456.8061446454574</v>
      </c>
      <c r="AZ29" s="323">
        <v>265976.64500000008</v>
      </c>
      <c r="BA29" s="96">
        <v>1569.1837463126849</v>
      </c>
      <c r="BB29" s="323">
        <v>266140.40299999993</v>
      </c>
      <c r="BC29" s="96">
        <v>1548.0614535375771</v>
      </c>
      <c r="BD29" s="323">
        <v>266817.45799999998</v>
      </c>
      <c r="BE29" s="96">
        <v>1535.3749453331798</v>
      </c>
      <c r="BF29" s="323">
        <v>287995.63699999981</v>
      </c>
      <c r="BG29" s="96">
        <v>1650.7831995872968</v>
      </c>
      <c r="BH29" s="323">
        <v>425319.70100000006</v>
      </c>
      <c r="BI29" s="96">
        <v>2451.8837988891232</v>
      </c>
      <c r="BJ29" s="327">
        <f>'Table 3'!B28</f>
        <v>333430.59400000004</v>
      </c>
      <c r="BK29" s="380">
        <f>'Table 3'!C28</f>
        <v>1914.3318240527531</v>
      </c>
      <c r="BL29" s="381">
        <f t="shared" si="0"/>
        <v>-0.21924039592737599</v>
      </c>
      <c r="BM29" s="16"/>
      <c r="BN29" s="38"/>
    </row>
    <row r="30" spans="1:66" ht="15" customHeight="1" x14ac:dyDescent="0.25">
      <c r="A30" s="377" t="str">
        <f>'Table 4'!A30</f>
        <v>Metro</v>
      </c>
      <c r="B30" s="322">
        <v>945634</v>
      </c>
      <c r="C30" s="324">
        <f>B30*2000/('Table 5'!B30*2000/'Table 5'!C30)</f>
        <v>1515.9128253220158</v>
      </c>
      <c r="D30" s="13">
        <v>960691.4</v>
      </c>
      <c r="E30" s="324">
        <f>D30*2000/('Table 5'!D30*2000/'Table 5'!E30)</f>
        <v>1503.6412014211705</v>
      </c>
      <c r="F30" s="13">
        <v>977730.1</v>
      </c>
      <c r="G30" s="324">
        <f>F30*2000/('Table 5'!F30*2000/'Table 5'!G30)</f>
        <v>1501.359120433641</v>
      </c>
      <c r="H30" s="13">
        <v>995034.8</v>
      </c>
      <c r="I30" s="324">
        <f>H30*2000/('Table 5'!H30*2000/'Table 5'!I30)</f>
        <v>1497.3174126658087</v>
      </c>
      <c r="J30" s="13">
        <v>1097246.1000000001</v>
      </c>
      <c r="K30" s="324">
        <f>J30*2000/('Table 5'!J30*2000/'Table 5'!K30)</f>
        <v>1612.9686225221051</v>
      </c>
      <c r="L30" s="13">
        <v>1173593.3</v>
      </c>
      <c r="M30" s="324">
        <f>L30*2000/('Table 5'!L30*2000/'Table 5'!M30)</f>
        <v>1691.5562954475024</v>
      </c>
      <c r="N30" s="378">
        <v>1196485.7</v>
      </c>
      <c r="O30" s="324">
        <f>N30*2000/('Table 5'!N30*2000/'Table 5'!O30)</f>
        <v>1697.2270963806714</v>
      </c>
      <c r="P30" s="378">
        <v>1240432.7</v>
      </c>
      <c r="Q30" s="324">
        <f>P30*2000/('Table 5'!P30*2000/'Table 5'!Q30)</f>
        <v>1734.0826896865062</v>
      </c>
      <c r="R30" s="379">
        <v>1207348</v>
      </c>
      <c r="S30" s="314">
        <v>1663</v>
      </c>
      <c r="T30" s="379">
        <v>1151339</v>
      </c>
      <c r="U30" s="13">
        <v>1569</v>
      </c>
      <c r="V30" s="323">
        <v>1165761.8999999999</v>
      </c>
      <c r="W30" s="13">
        <v>1570.9488933059326</v>
      </c>
      <c r="X30" s="323">
        <v>1185742.5</v>
      </c>
      <c r="Y30" s="13">
        <v>1576.89008577698</v>
      </c>
      <c r="Z30" s="323">
        <v>1234687.105</v>
      </c>
      <c r="AA30" s="96">
        <v>1622.0272004729375</v>
      </c>
      <c r="AB30" s="13">
        <v>1263720.6000000001</v>
      </c>
      <c r="AC30" s="96">
        <v>1637.0392056531794</v>
      </c>
      <c r="AD30" s="13">
        <v>1356954.6540000003</v>
      </c>
      <c r="AE30" s="96">
        <v>1729.5189864705549</v>
      </c>
      <c r="AF30" s="325">
        <v>1385869.966</v>
      </c>
      <c r="AG30" s="326">
        <v>1739.5456999943517</v>
      </c>
      <c r="AH30" s="325">
        <v>1223706.3049999999</v>
      </c>
      <c r="AI30" s="326">
        <v>1515.9251753816045</v>
      </c>
      <c r="AJ30" s="323">
        <v>1088580.2339999999</v>
      </c>
      <c r="AK30" s="96">
        <v>1334.3182994058216</v>
      </c>
      <c r="AL30" s="323">
        <v>1029314.027</v>
      </c>
      <c r="AM30" s="96">
        <v>1251.7233635426705</v>
      </c>
      <c r="AN30" s="323">
        <v>977769.41299999959</v>
      </c>
      <c r="AO30" s="96">
        <v>1180.3285455176467</v>
      </c>
      <c r="AP30" s="323">
        <v>946914.92299999995</v>
      </c>
      <c r="AQ30" s="96">
        <v>1132.0166207403599</v>
      </c>
      <c r="AR30" s="323">
        <v>963040.59299999999</v>
      </c>
      <c r="AS30" s="96">
        <v>1137.2704215871515</v>
      </c>
      <c r="AT30" s="13">
        <v>1022370.887</v>
      </c>
      <c r="AU30" s="13">
        <v>1190.3501200688104</v>
      </c>
      <c r="AV30" s="323">
        <v>1138552.4739999999</v>
      </c>
      <c r="AW30" s="96">
        <v>1304.6433583421422</v>
      </c>
      <c r="AX30" s="323">
        <v>1266282.5699999998</v>
      </c>
      <c r="AY30" s="96">
        <v>1423.3931470932894</v>
      </c>
      <c r="AZ30" s="323">
        <v>1306106.3400000008</v>
      </c>
      <c r="BA30" s="96">
        <v>1441.7298687536572</v>
      </c>
      <c r="BB30" s="323">
        <v>1331556.7859999998</v>
      </c>
      <c r="BC30" s="96">
        <v>1448.1274232533351</v>
      </c>
      <c r="BD30" s="323">
        <v>1323971.469</v>
      </c>
      <c r="BE30" s="96">
        <v>1424.7282509039255</v>
      </c>
      <c r="BF30" s="323">
        <v>1358069.698000001</v>
      </c>
      <c r="BG30" s="96">
        <v>1447.7158848815807</v>
      </c>
      <c r="BH30" s="323">
        <v>1433959.4170000001</v>
      </c>
      <c r="BI30" s="96">
        <v>1549.3688001884366</v>
      </c>
      <c r="BJ30" s="327">
        <f>'Table 3'!B29</f>
        <v>1457079.3590000002</v>
      </c>
      <c r="BK30" s="380">
        <f>'Table 3'!C29</f>
        <v>1575.321841659654</v>
      </c>
      <c r="BL30" s="381">
        <f t="shared" si="0"/>
        <v>1.6750719046402018E-2</v>
      </c>
      <c r="BM30" s="16"/>
      <c r="BN30" s="38"/>
    </row>
    <row r="31" spans="1:66" ht="15" customHeight="1" x14ac:dyDescent="0.25">
      <c r="A31" s="382" t="str">
        <f>'Table 4'!A31</f>
        <v>Milton Freewater</v>
      </c>
      <c r="B31" s="328">
        <v>4642</v>
      </c>
      <c r="C31" s="331">
        <f>B31*2000/('Table 5'!B31*2000/'Table 5'!C31)</f>
        <v>1649.0230905861456</v>
      </c>
      <c r="D31" s="332">
        <v>5040.8</v>
      </c>
      <c r="E31" s="331">
        <f>D31*2000/('Table 5'!D31*2000/'Table 5'!E31)</f>
        <v>1748.7597571552471</v>
      </c>
      <c r="F31" s="332">
        <v>5070.3</v>
      </c>
      <c r="G31" s="331">
        <f>F31*2000/('Table 5'!F31*2000/'Table 5'!G31)</f>
        <v>1729.0025575447571</v>
      </c>
      <c r="H31" s="332">
        <v>4987</v>
      </c>
      <c r="I31" s="331">
        <f>H31*2000/('Table 5'!H31*2000/'Table 5'!I31)</f>
        <v>1666.499582289056</v>
      </c>
      <c r="J31" s="332">
        <v>4332</v>
      </c>
      <c r="K31" s="331">
        <f>J31*2000/('Table 5'!J31*2000/'Table 5'!K31)</f>
        <v>1430.8835672997523</v>
      </c>
      <c r="L31" s="332">
        <v>5000.7</v>
      </c>
      <c r="M31" s="331">
        <f>L31*2000/('Table 5'!L31*2000/'Table 5'!M31)</f>
        <v>1613.1290322580646</v>
      </c>
      <c r="N31" s="383">
        <v>5586</v>
      </c>
      <c r="O31" s="331">
        <f>N31*2000/('Table 5'!N31*2000/'Table 5'!O31)</f>
        <v>1718.7692307692307</v>
      </c>
      <c r="P31" s="384">
        <v>5382.8</v>
      </c>
      <c r="Q31" s="331">
        <f>P31*2000/('Table 5'!P31*2000/'Table 5'!Q31)</f>
        <v>1762.2396426872035</v>
      </c>
      <c r="R31" s="384">
        <v>5029</v>
      </c>
      <c r="S31" s="329">
        <v>1549</v>
      </c>
      <c r="T31" s="384">
        <v>5024</v>
      </c>
      <c r="U31" s="332">
        <v>1532</v>
      </c>
      <c r="V31" s="330">
        <v>5235.1000000000004</v>
      </c>
      <c r="W31" s="332">
        <v>1623.2868217054263</v>
      </c>
      <c r="X31" s="330">
        <v>5279.8</v>
      </c>
      <c r="Y31" s="332">
        <v>1624.5538461538461</v>
      </c>
      <c r="Z31" s="330">
        <v>5888.44</v>
      </c>
      <c r="AA31" s="333">
        <v>1811.8276923076924</v>
      </c>
      <c r="AB31" s="332">
        <v>5168.2</v>
      </c>
      <c r="AC31" s="333">
        <v>1580.4892966360856</v>
      </c>
      <c r="AD31" s="332">
        <v>5349.34</v>
      </c>
      <c r="AE31" s="333">
        <v>1624.7046317388003</v>
      </c>
      <c r="AF31" s="338">
        <v>5279.85</v>
      </c>
      <c r="AG31" s="339">
        <v>1612.1679389312976</v>
      </c>
      <c r="AH31" s="338">
        <v>4769.9799999999996</v>
      </c>
      <c r="AI31" s="339">
        <v>1318.0719316862819</v>
      </c>
      <c r="AJ31" s="330">
        <v>4320.9679999999998</v>
      </c>
      <c r="AK31" s="333">
        <v>1193.1431727184868</v>
      </c>
      <c r="AL31" s="330">
        <v>4302.6279999999997</v>
      </c>
      <c r="AM31" s="333">
        <v>1132.2705263157895</v>
      </c>
      <c r="AN31" s="330">
        <v>4051.27</v>
      </c>
      <c r="AO31" s="333">
        <v>1058.0490989814573</v>
      </c>
      <c r="AP31" s="330">
        <v>4367.3940000000002</v>
      </c>
      <c r="AQ31" s="333">
        <v>1132.6229253112033</v>
      </c>
      <c r="AR31" s="330">
        <v>4429.4350000000004</v>
      </c>
      <c r="AS31" s="333">
        <v>1137.2835226908016</v>
      </c>
      <c r="AT31" s="332">
        <v>4188.8720000000003</v>
      </c>
      <c r="AU31" s="332">
        <v>1069.4082205769723</v>
      </c>
      <c r="AV31" s="330">
        <v>4242.3249999999998</v>
      </c>
      <c r="AW31" s="333">
        <v>1071.9032278441034</v>
      </c>
      <c r="AX31" s="330">
        <v>4670.1879999999992</v>
      </c>
      <c r="AY31" s="333">
        <v>1169.3009514271405</v>
      </c>
      <c r="AZ31" s="330">
        <v>2526.913</v>
      </c>
      <c r="BA31" s="333">
        <v>627.80447204968948</v>
      </c>
      <c r="BB31" s="330">
        <v>5365.6850000000004</v>
      </c>
      <c r="BC31" s="333">
        <v>1328.7154089023711</v>
      </c>
      <c r="BD31" s="330">
        <v>4818.8040000000001</v>
      </c>
      <c r="BE31" s="333">
        <v>1187.4825036964021</v>
      </c>
      <c r="BF31" s="330">
        <v>4984.7159999999994</v>
      </c>
      <c r="BG31" s="333">
        <v>1223.3182403828453</v>
      </c>
      <c r="BH31" s="330">
        <v>5297.2559999999994</v>
      </c>
      <c r="BI31" s="333">
        <v>1315.7125293394431</v>
      </c>
      <c r="BJ31" s="340">
        <f>'Table 3'!B30</f>
        <v>5395.0349999999999</v>
      </c>
      <c r="BK31" s="385">
        <f>'Table 3'!C30</f>
        <v>1342.0318155246825</v>
      </c>
      <c r="BL31" s="386">
        <f t="shared" si="0"/>
        <v>2.0003827278632924E-2</v>
      </c>
      <c r="BM31" s="16"/>
      <c r="BN31" s="38"/>
    </row>
    <row r="32" spans="1:66" ht="15" customHeight="1" x14ac:dyDescent="0.25">
      <c r="A32" s="377" t="str">
        <f>'Table 4'!A32</f>
        <v>Morrow</v>
      </c>
      <c r="B32" s="322">
        <v>7221</v>
      </c>
      <c r="C32" s="324">
        <f>B32*2000/('Table 5'!B32*2000/'Table 5'!C32)</f>
        <v>1763.3699633699634</v>
      </c>
      <c r="D32" s="13">
        <v>4955.3999999999996</v>
      </c>
      <c r="E32" s="324">
        <f>D32*2000/('Table 5'!D32*2000/'Table 5'!E32)</f>
        <v>1151.0801393728223</v>
      </c>
      <c r="F32" s="13">
        <v>5685.4</v>
      </c>
      <c r="G32" s="324">
        <f>F32*2000/('Table 5'!F32*2000/'Table 5'!G32)</f>
        <v>1298.0365296803652</v>
      </c>
      <c r="H32" s="13">
        <v>6617</v>
      </c>
      <c r="I32" s="324">
        <f>H32*2000/('Table 5'!H32*2000/'Table 5'!I32)</f>
        <v>1462.3204419889503</v>
      </c>
      <c r="J32" s="13">
        <v>5883.3</v>
      </c>
      <c r="K32" s="324">
        <f>J32*2000/('Table 5'!J32*2000/'Table 5'!K32)</f>
        <v>1263.8668098818475</v>
      </c>
      <c r="L32" s="13">
        <v>5986.3</v>
      </c>
      <c r="M32" s="324">
        <f>L32*2000/('Table 5'!L32*2000/'Table 5'!M32)</f>
        <v>1233.0175077239958</v>
      </c>
      <c r="N32" s="378">
        <v>5893.2</v>
      </c>
      <c r="O32" s="324">
        <f>N32*2000/('Table 5'!N32*2000/'Table 5'!O32)</f>
        <v>1163.5143139190523</v>
      </c>
      <c r="P32" s="378">
        <v>5929.9</v>
      </c>
      <c r="Q32" s="324">
        <f>P32*2000/('Table 5'!P32*2000/'Table 5'!Q32)</f>
        <v>1105.2935694315006</v>
      </c>
      <c r="R32" s="387">
        <v>8253</v>
      </c>
      <c r="S32" s="389">
        <v>1487</v>
      </c>
      <c r="T32" s="378">
        <v>7394</v>
      </c>
      <c r="U32" s="13">
        <v>1326</v>
      </c>
      <c r="V32" s="323">
        <v>8620.2999999999993</v>
      </c>
      <c r="W32" s="13">
        <v>1532.4977777777779</v>
      </c>
      <c r="X32" s="323">
        <v>7893.4</v>
      </c>
      <c r="Y32" s="13">
        <v>1343.5574468085106</v>
      </c>
      <c r="Z32" s="334">
        <v>9151.6200000000008</v>
      </c>
      <c r="AA32" s="96">
        <v>1557.7225531914894</v>
      </c>
      <c r="AB32" s="13">
        <v>9052.7999999999993</v>
      </c>
      <c r="AC32" s="96">
        <v>1515.7471745500209</v>
      </c>
      <c r="AD32" s="13">
        <v>10505.8</v>
      </c>
      <c r="AE32" s="96">
        <v>1732.9154639175258</v>
      </c>
      <c r="AF32" s="337">
        <v>11024.49</v>
      </c>
      <c r="AG32" s="326">
        <v>1787.5135792460478</v>
      </c>
      <c r="AH32" s="337">
        <v>11749.47</v>
      </c>
      <c r="AI32" s="326">
        <v>1882.3126855614071</v>
      </c>
      <c r="AJ32" s="334">
        <v>11776.78</v>
      </c>
      <c r="AK32" s="96">
        <v>1878.2743221690589</v>
      </c>
      <c r="AL32" s="334">
        <v>10734.18</v>
      </c>
      <c r="AM32" s="96">
        <v>1921.1060402684564</v>
      </c>
      <c r="AN32" s="323">
        <v>10885.33</v>
      </c>
      <c r="AO32" s="96">
        <v>1931.7355811889972</v>
      </c>
      <c r="AP32" s="323">
        <v>10976.206</v>
      </c>
      <c r="AQ32" s="96">
        <v>1942.6913274336284</v>
      </c>
      <c r="AR32" s="323">
        <v>13145.8</v>
      </c>
      <c r="AS32" s="96">
        <v>2301.234135667396</v>
      </c>
      <c r="AT32" s="13">
        <v>15285.37</v>
      </c>
      <c r="AU32" s="13">
        <v>2652.5587852494577</v>
      </c>
      <c r="AV32" s="323">
        <v>16660.829000000002</v>
      </c>
      <c r="AW32" s="96">
        <v>2865.1468615649187</v>
      </c>
      <c r="AX32" s="323">
        <v>17477.478000000003</v>
      </c>
      <c r="AY32" s="96">
        <v>2976.1563218390811</v>
      </c>
      <c r="AZ32" s="323">
        <v>22055.126</v>
      </c>
      <c r="BA32" s="96">
        <v>3709.8613961312026</v>
      </c>
      <c r="BB32" s="323">
        <v>19095.242000000002</v>
      </c>
      <c r="BC32" s="96">
        <v>3213.3347917543128</v>
      </c>
      <c r="BD32" s="323">
        <v>27959.9</v>
      </c>
      <c r="BE32" s="96">
        <v>4410.0788643533124</v>
      </c>
      <c r="BF32" s="323">
        <v>36963.678999999996</v>
      </c>
      <c r="BG32" s="96">
        <v>5764.3164132553602</v>
      </c>
      <c r="BH32" s="323">
        <v>28848.023999999998</v>
      </c>
      <c r="BI32" s="96">
        <v>4566.3670755836956</v>
      </c>
      <c r="BJ32" s="327">
        <f>'Table 3'!B31</f>
        <v>23151.800000000003</v>
      </c>
      <c r="BK32" s="380">
        <f>'Table 3'!C31</f>
        <v>3759.8420005922239</v>
      </c>
      <c r="BL32" s="381">
        <f t="shared" si="0"/>
        <v>-0.17662291743998215</v>
      </c>
      <c r="BM32" s="16"/>
      <c r="BN32" s="38"/>
    </row>
    <row r="33" spans="1:66" ht="15" customHeight="1" x14ac:dyDescent="0.25">
      <c r="A33" s="377" t="str">
        <f>'Table 4'!A33</f>
        <v>Polk</v>
      </c>
      <c r="B33" s="322">
        <v>19036</v>
      </c>
      <c r="C33" s="324">
        <f>B33*2000/('Table 5'!B33*2000/'Table 5'!C33)</f>
        <v>729.26483545952567</v>
      </c>
      <c r="D33" s="13">
        <v>24219.9</v>
      </c>
      <c r="E33" s="324">
        <f>D33*2000/('Table 5'!D33*2000/'Table 5'!E33)</f>
        <v>908.71196488200201</v>
      </c>
      <c r="F33" s="13">
        <v>24189.8</v>
      </c>
      <c r="G33" s="324">
        <f>F33*2000/('Table 5'!F33*2000/'Table 5'!G33)</f>
        <v>877.47528792962737</v>
      </c>
      <c r="H33" s="13">
        <v>25926</v>
      </c>
      <c r="I33" s="324">
        <f>H33*2000/('Table 5'!H33*2000/'Table 5'!I33)</f>
        <v>924.21217738485666</v>
      </c>
      <c r="J33" s="13">
        <v>28655</v>
      </c>
      <c r="K33" s="324">
        <f>J33*2000/('Table 5'!J33*2000/'Table 5'!K33)</f>
        <v>1000.2792613537194</v>
      </c>
      <c r="L33" s="13">
        <v>30404.799999999999</v>
      </c>
      <c r="M33" s="324">
        <f>L33*2000/('Table 5'!L33*2000/'Table 5'!M33)</f>
        <v>1033.9658573080324</v>
      </c>
      <c r="N33" s="378">
        <v>36789.9</v>
      </c>
      <c r="O33" s="324">
        <f>N33*2000/('Table 5'!N33*2000/'Table 5'!O33)</f>
        <v>1221.2414937759336</v>
      </c>
      <c r="P33" s="378">
        <v>38162.800000000003</v>
      </c>
      <c r="Q33" s="324">
        <f>P33*2000/('Table 5'!P33*2000/'Table 5'!Q33)</f>
        <v>1067.5985218857898</v>
      </c>
      <c r="R33" s="379">
        <v>37322</v>
      </c>
      <c r="S33" s="324">
        <v>1204</v>
      </c>
      <c r="T33" s="378">
        <v>34914</v>
      </c>
      <c r="U33" s="13">
        <v>1110</v>
      </c>
      <c r="V33" s="323">
        <v>38101.699999999997</v>
      </c>
      <c r="W33" s="13">
        <v>1214.5903729678037</v>
      </c>
      <c r="X33" s="323">
        <v>37402</v>
      </c>
      <c r="Y33" s="13">
        <v>1181.9244746405436</v>
      </c>
      <c r="Z33" s="323">
        <v>41300.436000000002</v>
      </c>
      <c r="AA33" s="96">
        <v>1285.8168119551681</v>
      </c>
      <c r="AB33" s="13">
        <v>39968.5</v>
      </c>
      <c r="AC33" s="96">
        <v>1230.5572660098521</v>
      </c>
      <c r="AD33" s="13">
        <v>41453.455999999998</v>
      </c>
      <c r="AE33" s="96">
        <v>1257.1367571911628</v>
      </c>
      <c r="AF33" s="325">
        <v>39129.050000000003</v>
      </c>
      <c r="AG33" s="326">
        <v>1171.7915699633152</v>
      </c>
      <c r="AH33" s="325">
        <v>39339.898000000001</v>
      </c>
      <c r="AI33" s="326">
        <v>1165.3676368214471</v>
      </c>
      <c r="AJ33" s="323">
        <v>37985.294999999998</v>
      </c>
      <c r="AK33" s="96">
        <v>1116.1476529787703</v>
      </c>
      <c r="AL33" s="323">
        <v>39552.023999999998</v>
      </c>
      <c r="AM33" s="96">
        <v>1059.6657468184862</v>
      </c>
      <c r="AN33" s="323">
        <v>37817.035999999986</v>
      </c>
      <c r="AO33" s="96">
        <v>1006.8433439829602</v>
      </c>
      <c r="AP33" s="323">
        <v>38563.625999999997</v>
      </c>
      <c r="AQ33" s="96">
        <v>1017.7784639746635</v>
      </c>
      <c r="AR33" s="323">
        <v>38773.597000000002</v>
      </c>
      <c r="AS33" s="96">
        <v>1017.4393712771262</v>
      </c>
      <c r="AT33" s="13">
        <v>40515.544000000002</v>
      </c>
      <c r="AU33" s="13">
        <v>1053.8984223600869</v>
      </c>
      <c r="AV33" s="323">
        <v>42734.360999999997</v>
      </c>
      <c r="AW33" s="96">
        <v>1099.6721906281361</v>
      </c>
      <c r="AX33" s="323">
        <v>46532.754000000008</v>
      </c>
      <c r="AY33" s="96">
        <v>1180.120820177274</v>
      </c>
      <c r="AZ33" s="323">
        <v>51176.631999999998</v>
      </c>
      <c r="BA33" s="96">
        <v>1277.3401223012604</v>
      </c>
      <c r="BB33" s="323">
        <v>50788.457000000002</v>
      </c>
      <c r="BC33" s="96">
        <v>1250.7161731207289</v>
      </c>
      <c r="BD33" s="323">
        <v>52102.103999999992</v>
      </c>
      <c r="BE33" s="96">
        <v>1270.0086288848261</v>
      </c>
      <c r="BF33" s="323">
        <v>51686.106999999996</v>
      </c>
      <c r="BG33" s="96">
        <v>1246.8003135930528</v>
      </c>
      <c r="BH33" s="323">
        <v>55921.276000000005</v>
      </c>
      <c r="BI33" s="96">
        <v>1271.0536412401129</v>
      </c>
      <c r="BJ33" s="327">
        <f>'Table 3'!B32</f>
        <v>55725.474000000002</v>
      </c>
      <c r="BK33" s="380">
        <f>'Table 3'!C32</f>
        <v>1242.8783338148478</v>
      </c>
      <c r="BL33" s="381">
        <f t="shared" si="0"/>
        <v>-2.2166890925056193E-2</v>
      </c>
      <c r="BM33" s="16"/>
      <c r="BN33" s="38"/>
    </row>
    <row r="34" spans="1:66" ht="15" customHeight="1" x14ac:dyDescent="0.25">
      <c r="A34" s="377" t="str">
        <f>'Table 4'!A34</f>
        <v>Sherman</v>
      </c>
      <c r="B34" s="322">
        <v>876</v>
      </c>
      <c r="C34" s="324">
        <f>B34*2000/('Table 5'!B34*2000/'Table 5'!C34)</f>
        <v>903.09278350515467</v>
      </c>
      <c r="D34" s="13">
        <v>850.9</v>
      </c>
      <c r="E34" s="324">
        <f>D34*2000/('Table 5'!D34*2000/'Table 5'!E34)</f>
        <v>863.85786802030452</v>
      </c>
      <c r="F34" s="13">
        <v>803.9</v>
      </c>
      <c r="G34" s="324">
        <f>F34*2000/('Table 5'!F34*2000/'Table 5'!G34)</f>
        <v>824.51282051282055</v>
      </c>
      <c r="H34" s="13">
        <v>884</v>
      </c>
      <c r="I34" s="324">
        <f>H34*2000/('Table 5'!H34*2000/'Table 5'!I34)</f>
        <v>892.92929292929296</v>
      </c>
      <c r="J34" s="13">
        <v>987.2</v>
      </c>
      <c r="K34" s="324">
        <f>J34*2000/('Table 5'!J34*2000/'Table 5'!K34)</f>
        <v>1028.3333333333335</v>
      </c>
      <c r="L34" s="13">
        <v>1294.9000000000001</v>
      </c>
      <c r="M34" s="324">
        <f>L34*2000/('Table 5'!L34*2000/'Table 5'!M34)</f>
        <v>1348.8541666666667</v>
      </c>
      <c r="N34" s="378">
        <v>1092.4000000000001</v>
      </c>
      <c r="O34" s="324">
        <f>N34*2000/('Table 5'!N34*2000/'Table 5'!O34)</f>
        <v>1137.9166666666667</v>
      </c>
      <c r="P34" s="378">
        <v>1108.5</v>
      </c>
      <c r="Q34" s="324">
        <f>P34*2000/('Table 5'!P34*2000/'Table 5'!Q34)</f>
        <v>1148.7046632124352</v>
      </c>
      <c r="R34" s="379">
        <v>1031</v>
      </c>
      <c r="S34" s="324">
        <v>1057</v>
      </c>
      <c r="T34" s="378">
        <v>1306</v>
      </c>
      <c r="U34" s="13">
        <v>1375</v>
      </c>
      <c r="V34" s="323">
        <v>1551.5</v>
      </c>
      <c r="W34" s="13">
        <v>1677.2972972972973</v>
      </c>
      <c r="X34" s="323">
        <v>1242.8</v>
      </c>
      <c r="Y34" s="13">
        <v>1308.2105263157894</v>
      </c>
      <c r="Z34" s="323">
        <v>1244.06</v>
      </c>
      <c r="AA34" s="96">
        <v>1309.5368421052631</v>
      </c>
      <c r="AB34" s="13">
        <v>960.6</v>
      </c>
      <c r="AC34" s="96">
        <v>1021.9148936170212</v>
      </c>
      <c r="AD34" s="13">
        <v>1021.33</v>
      </c>
      <c r="AE34" s="96">
        <v>1095.2600536193029</v>
      </c>
      <c r="AF34" s="325">
        <v>1218.6600000000001</v>
      </c>
      <c r="AG34" s="326">
        <v>1313.9191374663073</v>
      </c>
      <c r="AH34" s="325">
        <v>1478.29</v>
      </c>
      <c r="AI34" s="326">
        <v>1604.2213781877374</v>
      </c>
      <c r="AJ34" s="323">
        <v>1221.55</v>
      </c>
      <c r="AK34" s="96">
        <v>1335.0273224043715</v>
      </c>
      <c r="AL34" s="323">
        <v>1190.1599999999996</v>
      </c>
      <c r="AM34" s="96">
        <v>1348.623229461756</v>
      </c>
      <c r="AN34" s="323">
        <v>1202.71</v>
      </c>
      <c r="AO34" s="96">
        <v>1362.8441926345608</v>
      </c>
      <c r="AP34" s="323">
        <v>1134.855</v>
      </c>
      <c r="AQ34" s="96">
        <v>1285.9546742209632</v>
      </c>
      <c r="AR34" s="323">
        <v>1090.894</v>
      </c>
      <c r="AS34" s="96">
        <v>1225.7235955056181</v>
      </c>
      <c r="AT34" s="13">
        <v>1159.8710000000001</v>
      </c>
      <c r="AU34" s="13">
        <v>1299.5753501400561</v>
      </c>
      <c r="AV34" s="323">
        <v>1330.2560000000001</v>
      </c>
      <c r="AW34" s="96">
        <v>1486.3195530726257</v>
      </c>
      <c r="AX34" s="323">
        <v>1219.1620000000003</v>
      </c>
      <c r="AY34" s="96">
        <v>1358.397771587744</v>
      </c>
      <c r="AZ34" s="323">
        <v>1212.7260000000001</v>
      </c>
      <c r="BA34" s="96">
        <v>1347.4733333333334</v>
      </c>
      <c r="BB34" s="323">
        <v>1233.164</v>
      </c>
      <c r="BC34" s="96">
        <v>1381.6963585434173</v>
      </c>
      <c r="BD34" s="323">
        <v>1268.8599999999999</v>
      </c>
      <c r="BE34" s="96">
        <v>1433.7401129943503</v>
      </c>
      <c r="BF34" s="323">
        <v>1245.9840000000002</v>
      </c>
      <c r="BG34" s="96">
        <v>1388.2830083565461</v>
      </c>
      <c r="BH34" s="323">
        <v>1227.798</v>
      </c>
      <c r="BI34" s="96">
        <v>1287</v>
      </c>
      <c r="BJ34" s="327">
        <f>'Table 3'!B33</f>
        <v>1297.5640000000001</v>
      </c>
      <c r="BK34" s="380">
        <f>'Table 3'!C33</f>
        <v>1338.8819537562867</v>
      </c>
      <c r="BL34" s="381">
        <f t="shared" si="0"/>
        <v>4.0312318380953283E-2</v>
      </c>
      <c r="BM34" s="16"/>
      <c r="BN34" s="16"/>
    </row>
    <row r="35" spans="1:66" ht="15" customHeight="1" x14ac:dyDescent="0.25">
      <c r="A35" s="377" t="str">
        <f>'Table 4'!A35</f>
        <v>Tillamook</v>
      </c>
      <c r="B35" s="322">
        <v>9939.7999999999993</v>
      </c>
      <c r="C35" s="324">
        <f>B35*2000/('Table 5'!B35*2000/'Table 5'!C35)</f>
        <v>893.46516853932587</v>
      </c>
      <c r="D35" s="13">
        <v>11608.9</v>
      </c>
      <c r="E35" s="324">
        <f>D35*2000/('Table 5'!D35*2000/'Table 5'!E35)</f>
        <v>1020.5626373626374</v>
      </c>
      <c r="F35" s="13">
        <v>13487.6</v>
      </c>
      <c r="G35" s="324">
        <f>F35*2000/('Table 5'!F35*2000/'Table 5'!G35)</f>
        <v>1167.7575757575758</v>
      </c>
      <c r="H35" s="13">
        <v>13004</v>
      </c>
      <c r="I35" s="324">
        <f>H35*2000/('Table 5'!H35*2000/'Table 5'!I35)</f>
        <v>1104.3736730360934</v>
      </c>
      <c r="J35" s="13">
        <v>15212.4</v>
      </c>
      <c r="K35" s="324">
        <f>J35*2000/('Table 5'!J35*2000/'Table 5'!K35)</f>
        <v>1270.8771929824561</v>
      </c>
      <c r="L35" s="13">
        <v>14119.8</v>
      </c>
      <c r="M35" s="324">
        <f>L35*2000/('Table 5'!L35*2000/'Table 5'!M35)</f>
        <v>1168.3740173769136</v>
      </c>
      <c r="N35" s="378">
        <v>15062.6</v>
      </c>
      <c r="O35" s="324">
        <f>N35*2000/('Table 5'!N35*2000/'Table 5'!O35)</f>
        <v>1249.4898382413935</v>
      </c>
      <c r="P35" s="378">
        <v>17445.5</v>
      </c>
      <c r="Q35" s="324">
        <f>P35*2000/('Table 5'!P35*2000/'Table 5'!Q35)</f>
        <v>1440.5862923203963</v>
      </c>
      <c r="R35" s="379">
        <v>17807</v>
      </c>
      <c r="S35" s="324">
        <v>1466</v>
      </c>
      <c r="T35" s="378">
        <v>18324</v>
      </c>
      <c r="U35" s="13">
        <v>1490</v>
      </c>
      <c r="V35" s="323">
        <v>18405.400000000001</v>
      </c>
      <c r="W35" s="13">
        <v>1496.3739837398373</v>
      </c>
      <c r="X35" s="323">
        <v>19538.2</v>
      </c>
      <c r="Y35" s="13">
        <v>1569.3333333333333</v>
      </c>
      <c r="Z35" s="323">
        <v>20812.72</v>
      </c>
      <c r="AA35" s="96">
        <v>1668.3543086172344</v>
      </c>
      <c r="AB35" s="13">
        <v>21436.799999999999</v>
      </c>
      <c r="AC35" s="96">
        <v>1700.995834159889</v>
      </c>
      <c r="AD35" s="13">
        <v>24988.106</v>
      </c>
      <c r="AE35" s="96">
        <v>1957.5484528006268</v>
      </c>
      <c r="AF35" s="325">
        <v>25952.18</v>
      </c>
      <c r="AG35" s="326">
        <v>2008.2940607467594</v>
      </c>
      <c r="AH35" s="325">
        <v>26046.184000000001</v>
      </c>
      <c r="AI35" s="326">
        <v>1999.0931000076753</v>
      </c>
      <c r="AJ35" s="323">
        <v>22599.56</v>
      </c>
      <c r="AK35" s="96">
        <v>1729.7787983161118</v>
      </c>
      <c r="AL35" s="323">
        <v>22372.968000000001</v>
      </c>
      <c r="AM35" s="96">
        <v>1771.4147268408551</v>
      </c>
      <c r="AN35" s="323">
        <v>20559.490000000002</v>
      </c>
      <c r="AO35" s="96">
        <v>1628.1520490991884</v>
      </c>
      <c r="AP35" s="323">
        <v>21555.796999999999</v>
      </c>
      <c r="AQ35" s="96">
        <v>1703.6788776921558</v>
      </c>
      <c r="AR35" s="323">
        <v>20712.043000000001</v>
      </c>
      <c r="AS35" s="96">
        <v>1632.4762955665024</v>
      </c>
      <c r="AT35" s="13">
        <v>21590.476999999999</v>
      </c>
      <c r="AU35" s="13">
        <v>1694.6999215070643</v>
      </c>
      <c r="AV35" s="323">
        <v>23129.895</v>
      </c>
      <c r="AW35" s="96">
        <v>1800.692487349163</v>
      </c>
      <c r="AX35" s="323">
        <v>26403.425000000003</v>
      </c>
      <c r="AY35" s="96">
        <v>2037.3013117283954</v>
      </c>
      <c r="AZ35" s="323">
        <v>27325.454000000002</v>
      </c>
      <c r="BA35" s="96">
        <v>2087.9047946513847</v>
      </c>
      <c r="BB35" s="323">
        <v>28233.217999999993</v>
      </c>
      <c r="BC35" s="96">
        <v>2139.28531918924</v>
      </c>
      <c r="BD35" s="323">
        <v>29357.112999999998</v>
      </c>
      <c r="BE35" s="96">
        <v>2215.6311698113204</v>
      </c>
      <c r="BF35" s="323">
        <v>30550.064999999988</v>
      </c>
      <c r="BG35" s="96">
        <v>2303.0580474934027</v>
      </c>
      <c r="BH35" s="323">
        <v>32415.566999999999</v>
      </c>
      <c r="BI35" s="96">
        <v>2346.5735485739106</v>
      </c>
      <c r="BJ35" s="327">
        <f>'Table 3'!B34</f>
        <v>32496.035999999996</v>
      </c>
      <c r="BK35" s="380">
        <f>'Table 3'!C34</f>
        <v>2332.1534966208083</v>
      </c>
      <c r="BL35" s="381">
        <f t="shared" si="0"/>
        <v>-6.145152348566163E-3</v>
      </c>
      <c r="BM35" s="16"/>
      <c r="BN35" s="16"/>
    </row>
    <row r="36" spans="1:66" ht="15" customHeight="1" x14ac:dyDescent="0.25">
      <c r="A36" s="382" t="str">
        <f>'Table 4'!A36</f>
        <v>Umatilla</v>
      </c>
      <c r="B36" s="328">
        <v>41059</v>
      </c>
      <c r="C36" s="331">
        <f>B36*2000/('Table 5'!B36*2000/'Table 5'!C36)</f>
        <v>1461.1743772241994</v>
      </c>
      <c r="D36" s="332">
        <v>41662</v>
      </c>
      <c r="E36" s="331">
        <f>D36*2000/('Table 5'!D36*2000/'Table 5'!E36)</f>
        <v>1450.7530251588753</v>
      </c>
      <c r="F36" s="332">
        <v>47273.3</v>
      </c>
      <c r="G36" s="331">
        <f>F36*2000/('Table 5'!F36*2000/'Table 5'!G36)</f>
        <v>1616.3193435336354</v>
      </c>
      <c r="H36" s="332">
        <v>46770</v>
      </c>
      <c r="I36" s="331">
        <f>H36*2000/('Table 5'!H36*2000/'Table 5'!I36)</f>
        <v>1571.4405711885763</v>
      </c>
      <c r="J36" s="332">
        <v>51388.4</v>
      </c>
      <c r="K36" s="331">
        <f>J36*2000/('Table 5'!J36*2000/'Table 5'!K36)</f>
        <v>1709.1011889914359</v>
      </c>
      <c r="L36" s="332">
        <v>49011.4</v>
      </c>
      <c r="M36" s="331">
        <f>L36*2000/('Table 5'!L36*2000/'Table 5'!M36)</f>
        <v>1620.4794180856341</v>
      </c>
      <c r="N36" s="383">
        <v>52483.5</v>
      </c>
      <c r="O36" s="331">
        <f>N36*2000/('Table 5'!N36*2000/'Table 5'!O36)</f>
        <v>1699.8704453441294</v>
      </c>
      <c r="P36" s="384">
        <v>57419.5</v>
      </c>
      <c r="Q36" s="331">
        <f>P36*2000/('Table 5'!P36*2000/'Table 5'!Q36)</f>
        <v>1802.2171622043111</v>
      </c>
      <c r="R36" s="384">
        <v>57952</v>
      </c>
      <c r="S36" s="331">
        <v>1801</v>
      </c>
      <c r="T36" s="378">
        <v>59854</v>
      </c>
      <c r="U36" s="13">
        <v>1861</v>
      </c>
      <c r="V36" s="323">
        <v>61142.8</v>
      </c>
      <c r="W36" s="13">
        <v>1894.4322230828816</v>
      </c>
      <c r="X36" s="323">
        <v>62529.9</v>
      </c>
      <c r="Y36" s="13">
        <v>1935.9102167182662</v>
      </c>
      <c r="Z36" s="330">
        <v>64977.919999999998</v>
      </c>
      <c r="AA36" s="333">
        <v>1976.5146768060836</v>
      </c>
      <c r="AB36" s="13">
        <v>57621.9</v>
      </c>
      <c r="AC36" s="96">
        <v>1749.9627970541342</v>
      </c>
      <c r="AD36" s="13">
        <v>65979.63</v>
      </c>
      <c r="AE36" s="96">
        <v>2011.420775855499</v>
      </c>
      <c r="AF36" s="338">
        <v>66762.78</v>
      </c>
      <c r="AG36" s="339">
        <v>2032.5071923281832</v>
      </c>
      <c r="AH36" s="338">
        <v>66601.37</v>
      </c>
      <c r="AI36" s="339">
        <v>2044.8582455936869</v>
      </c>
      <c r="AJ36" s="330">
        <v>65259.500999999997</v>
      </c>
      <c r="AK36" s="333">
        <v>2002.2244005706659</v>
      </c>
      <c r="AL36" s="330">
        <v>66345.152000000002</v>
      </c>
      <c r="AM36" s="333">
        <v>1939.9167251461988</v>
      </c>
      <c r="AN36" s="330">
        <v>67354.226999999999</v>
      </c>
      <c r="AO36" s="333">
        <v>1954.5058762078872</v>
      </c>
      <c r="AP36" s="330">
        <v>64341.116000000002</v>
      </c>
      <c r="AQ36" s="333">
        <v>1853.9971184877825</v>
      </c>
      <c r="AR36" s="330">
        <v>65128.783000000003</v>
      </c>
      <c r="AS36" s="333">
        <v>1858.022066742267</v>
      </c>
      <c r="AT36" s="332">
        <v>69029.627999999997</v>
      </c>
      <c r="AU36" s="332">
        <v>1958.1206705812272</v>
      </c>
      <c r="AV36" s="330">
        <v>71373.543000000005</v>
      </c>
      <c r="AW36" s="333">
        <v>2003.7631650980145</v>
      </c>
      <c r="AX36" s="330">
        <v>72808.019</v>
      </c>
      <c r="AY36" s="333">
        <v>2025.4831970177488</v>
      </c>
      <c r="AZ36" s="330">
        <v>78725.445000000007</v>
      </c>
      <c r="BA36" s="333">
        <v>2173.2351966873707</v>
      </c>
      <c r="BB36" s="330">
        <v>79502.965999999986</v>
      </c>
      <c r="BC36" s="333">
        <v>2187.4977747511639</v>
      </c>
      <c r="BD36" s="330">
        <v>77489.842999999993</v>
      </c>
      <c r="BE36" s="333">
        <v>2121.7305459722907</v>
      </c>
      <c r="BF36" s="330">
        <v>92834.175999999992</v>
      </c>
      <c r="BG36" s="333">
        <v>2531.421177850038</v>
      </c>
      <c r="BH36" s="330">
        <v>91730.229000000021</v>
      </c>
      <c r="BI36" s="333">
        <v>2531.5121559471627</v>
      </c>
      <c r="BJ36" s="340">
        <f>'Table 3'!B35</f>
        <v>96225.254999999976</v>
      </c>
      <c r="BK36" s="385">
        <f>'Table 3'!C35</f>
        <v>2659.5925423813133</v>
      </c>
      <c r="BL36" s="386">
        <f t="shared" si="0"/>
        <v>5.059441888645777E-2</v>
      </c>
      <c r="BM36" s="16"/>
      <c r="BN36" s="16"/>
    </row>
    <row r="37" spans="1:66" ht="15" customHeight="1" x14ac:dyDescent="0.25">
      <c r="A37" s="377" t="str">
        <f>'Table 4'!A37</f>
        <v>Union</v>
      </c>
      <c r="B37" s="322">
        <v>12866</v>
      </c>
      <c r="C37" s="324">
        <f>B37*2000/('Table 5'!B37*2000/'Table 5'!C37)</f>
        <v>1069.4929343308395</v>
      </c>
      <c r="D37" s="13">
        <v>14417</v>
      </c>
      <c r="E37" s="324">
        <f>D37*2000/('Table 5'!D37*2000/'Table 5'!E37)</f>
        <v>1171.1616571892771</v>
      </c>
      <c r="F37" s="13">
        <v>16009.8</v>
      </c>
      <c r="G37" s="324">
        <f>F37*2000/('Table 5'!F37*2000/'Table 5'!G37)</f>
        <v>1286.961414790997</v>
      </c>
      <c r="H37" s="13">
        <v>14498</v>
      </c>
      <c r="I37" s="324">
        <f>H37*2000/('Table 5'!H37*2000/'Table 5'!I37)</f>
        <v>1165.9026940088461</v>
      </c>
      <c r="J37" s="13">
        <v>14676.3</v>
      </c>
      <c r="K37" s="324">
        <f>J37*2000/('Table 5'!J37*2000/'Table 5'!K37)</f>
        <v>1180.7160096540626</v>
      </c>
      <c r="L37" s="13">
        <v>14811.5</v>
      </c>
      <c r="M37" s="324">
        <f>L37*2000/('Table 5'!L37*2000/'Table 5'!M37)</f>
        <v>1192.0724346076458</v>
      </c>
      <c r="N37" s="378">
        <v>15610.3</v>
      </c>
      <c r="O37" s="324">
        <f>N37*2000/('Table 5'!N37*2000/'Table 5'!O37)</f>
        <v>1265.5289825699231</v>
      </c>
      <c r="P37" s="378">
        <v>16547.400000000001</v>
      </c>
      <c r="Q37" s="324">
        <f>P37*2000/('Table 5'!P37*2000/'Table 5'!Q37)</f>
        <v>1346.4117168429618</v>
      </c>
      <c r="R37" s="387">
        <v>18311</v>
      </c>
      <c r="S37" s="388">
        <v>1492</v>
      </c>
      <c r="T37" s="387">
        <v>20051</v>
      </c>
      <c r="U37" s="336">
        <v>1633</v>
      </c>
      <c r="V37" s="334">
        <v>19065</v>
      </c>
      <c r="W37" s="336">
        <v>1550</v>
      </c>
      <c r="X37" s="334">
        <v>19509.3</v>
      </c>
      <c r="Y37" s="336">
        <v>1582.9046653144017</v>
      </c>
      <c r="Z37" s="334">
        <v>19900.009999999998</v>
      </c>
      <c r="AA37" s="96">
        <v>1601.6104627766599</v>
      </c>
      <c r="AB37" s="336">
        <v>19400.900000000001</v>
      </c>
      <c r="AC37" s="335">
        <v>1555.1823647294589</v>
      </c>
      <c r="AD37" s="336">
        <v>14801.11</v>
      </c>
      <c r="AE37" s="335">
        <v>1178.9016328156113</v>
      </c>
      <c r="AF37" s="337">
        <v>19922.548999999999</v>
      </c>
      <c r="AG37" s="326">
        <v>1578.0236831683169</v>
      </c>
      <c r="AH37" s="337">
        <v>19055.433000000001</v>
      </c>
      <c r="AI37" s="326">
        <v>1502.735144513229</v>
      </c>
      <c r="AJ37" s="334">
        <v>17207.436000000002</v>
      </c>
      <c r="AK37" s="96">
        <v>1351.1924617196703</v>
      </c>
      <c r="AL37" s="334">
        <v>17841.079999999998</v>
      </c>
      <c r="AM37" s="96">
        <v>1382.4936071290194</v>
      </c>
      <c r="AN37" s="323">
        <v>17784.559999999994</v>
      </c>
      <c r="AO37" s="96">
        <v>1369.09622786759</v>
      </c>
      <c r="AP37" s="323">
        <v>18237.096000000001</v>
      </c>
      <c r="AQ37" s="96">
        <v>1393.4743839541547</v>
      </c>
      <c r="AR37" s="323">
        <v>18424.909</v>
      </c>
      <c r="AS37" s="96">
        <v>1399.8031528964862</v>
      </c>
      <c r="AT37" s="13">
        <v>18872.061000000002</v>
      </c>
      <c r="AU37" s="13">
        <v>1425.1131583915424</v>
      </c>
      <c r="AV37" s="323">
        <v>20288.632000000001</v>
      </c>
      <c r="AW37" s="96">
        <v>1524.0286948356807</v>
      </c>
      <c r="AX37" s="323">
        <v>20643.398000000001</v>
      </c>
      <c r="AY37" s="96">
        <v>1543.7201719947655</v>
      </c>
      <c r="AZ37" s="323">
        <v>22540.859999999997</v>
      </c>
      <c r="BA37" s="96">
        <v>1675.9003717472117</v>
      </c>
      <c r="BB37" s="323">
        <v>18993.065000000002</v>
      </c>
      <c r="BC37" s="96">
        <v>1412.9116607773854</v>
      </c>
      <c r="BD37" s="323">
        <v>18901.266000000003</v>
      </c>
      <c r="BE37" s="96">
        <v>1408.4400894187781</v>
      </c>
      <c r="BF37" s="323">
        <v>19299.660999999996</v>
      </c>
      <c r="BG37" s="96">
        <v>1438.1267511177346</v>
      </c>
      <c r="BH37" s="323">
        <v>20082.862000000005</v>
      </c>
      <c r="BI37" s="96">
        <v>1527.5042403498767</v>
      </c>
      <c r="BJ37" s="327">
        <f>'Table 3'!B36</f>
        <v>20956.054</v>
      </c>
      <c r="BK37" s="380">
        <f>'Table 3'!C36</f>
        <v>1571.3120219650934</v>
      </c>
      <c r="BL37" s="381">
        <f t="shared" si="0"/>
        <v>2.8679319152123961E-2</v>
      </c>
      <c r="BM37" s="16"/>
      <c r="BN37" s="16"/>
    </row>
    <row r="38" spans="1:66" ht="15" customHeight="1" x14ac:dyDescent="0.25">
      <c r="A38" s="377" t="str">
        <f>'Table 4'!A38</f>
        <v>Wallowa</v>
      </c>
      <c r="B38" s="322">
        <v>6801</v>
      </c>
      <c r="C38" s="324">
        <f>B38*2000/('Table 5'!B38*2000/'Table 5'!C38)</f>
        <v>1876.1379310344828</v>
      </c>
      <c r="D38" s="13">
        <v>7058.8</v>
      </c>
      <c r="E38" s="324">
        <f>D38*2000/('Table 5'!D38*2000/'Table 5'!E38)</f>
        <v>1897.5268817204301</v>
      </c>
      <c r="F38" s="13">
        <v>7104.3</v>
      </c>
      <c r="G38" s="324">
        <f>F38*2000/('Table 5'!F38*2000/'Table 5'!G38)</f>
        <v>1904.6380697050938</v>
      </c>
      <c r="H38" s="13">
        <v>4078</v>
      </c>
      <c r="I38" s="324">
        <f>H38*2000/('Table 5'!H38*2000/'Table 5'!I38)</f>
        <v>1090.374331550802</v>
      </c>
      <c r="J38" s="13">
        <v>4024.4</v>
      </c>
      <c r="K38" s="324">
        <f>J38*2000/('Table 5'!J38*2000/'Table 5'!K38)</f>
        <v>1076.0427807486631</v>
      </c>
      <c r="L38" s="13">
        <v>4094.4</v>
      </c>
      <c r="M38" s="324">
        <f>L38*2000/('Table 5'!L38*2000/'Table 5'!M38)</f>
        <v>1094.75935828877</v>
      </c>
      <c r="N38" s="378">
        <v>4525.7</v>
      </c>
      <c r="O38" s="324">
        <f>N38*2000/('Table 5'!N38*2000/'Table 5'!O38)</f>
        <v>1233.1607629427792</v>
      </c>
      <c r="P38" s="378">
        <v>4860.6000000000004</v>
      </c>
      <c r="Q38" s="324">
        <f>P38*2000/('Table 5'!P38*2000/'Table 5'!Q38)</f>
        <v>1339.0082644628098</v>
      </c>
      <c r="R38" s="379">
        <v>4655</v>
      </c>
      <c r="S38" s="314">
        <v>1284</v>
      </c>
      <c r="T38" s="379">
        <v>4393</v>
      </c>
      <c r="U38" s="13">
        <v>1237</v>
      </c>
      <c r="V38" s="323">
        <v>5541.8</v>
      </c>
      <c r="W38" s="13">
        <v>1550.1538461538462</v>
      </c>
      <c r="X38" s="323">
        <v>5456.3</v>
      </c>
      <c r="Y38" s="13">
        <v>1526.2377622377621</v>
      </c>
      <c r="Z38" s="323">
        <v>5134</v>
      </c>
      <c r="AA38" s="96">
        <v>1436.0839160839162</v>
      </c>
      <c r="AB38" s="13">
        <v>5322.7</v>
      </c>
      <c r="AC38" s="96">
        <v>1493.0434782608695</v>
      </c>
      <c r="AD38" s="13">
        <v>5008.8100000000004</v>
      </c>
      <c r="AE38" s="96">
        <v>1403.0280112044818</v>
      </c>
      <c r="AF38" s="325">
        <v>4692.3999999999996</v>
      </c>
      <c r="AG38" s="326">
        <v>1316.2412342215989</v>
      </c>
      <c r="AH38" s="325">
        <v>4220.53</v>
      </c>
      <c r="AI38" s="326">
        <v>1186.731298158945</v>
      </c>
      <c r="AJ38" s="323">
        <v>3953.1</v>
      </c>
      <c r="AK38" s="96">
        <v>1113.5492957746478</v>
      </c>
      <c r="AL38" s="323">
        <v>2990.02</v>
      </c>
      <c r="AM38" s="96">
        <v>853.68165596002859</v>
      </c>
      <c r="AN38" s="323">
        <v>3249.72</v>
      </c>
      <c r="AO38" s="96">
        <v>929.15511079342389</v>
      </c>
      <c r="AP38" s="323">
        <v>3197.3820000000001</v>
      </c>
      <c r="AQ38" s="96">
        <v>911.58431931575194</v>
      </c>
      <c r="AR38" s="323">
        <v>3401.6860000000001</v>
      </c>
      <c r="AS38" s="96">
        <v>965.70220014194467</v>
      </c>
      <c r="AT38" s="13">
        <v>2494.7159999999999</v>
      </c>
      <c r="AU38" s="13">
        <v>705.71881188118812</v>
      </c>
      <c r="AV38" s="323">
        <v>3881.3629999999998</v>
      </c>
      <c r="AW38" s="96">
        <v>1093.341690140845</v>
      </c>
      <c r="AX38" s="323">
        <v>4091.2859999999996</v>
      </c>
      <c r="AY38" s="96">
        <v>1146.0184873949579</v>
      </c>
      <c r="AZ38" s="323">
        <v>4433.5790000000015</v>
      </c>
      <c r="BA38" s="96">
        <v>1232.4055594162619</v>
      </c>
      <c r="BB38" s="323">
        <v>5104.8990000000003</v>
      </c>
      <c r="BC38" s="96">
        <v>1422.9683623693379</v>
      </c>
      <c r="BD38" s="323">
        <v>6445.5819999999994</v>
      </c>
      <c r="BE38" s="96">
        <v>1802.9599999999998</v>
      </c>
      <c r="BF38" s="323">
        <v>6149.8220000000001</v>
      </c>
      <c r="BG38" s="96">
        <v>1717.8273743016759</v>
      </c>
      <c r="BH38" s="323">
        <v>5340.05</v>
      </c>
      <c r="BI38" s="96">
        <v>1436.8491860621552</v>
      </c>
      <c r="BJ38" s="327">
        <f>'Table 3'!B37</f>
        <v>5092.6039999999994</v>
      </c>
      <c r="BK38" s="380">
        <f>'Table 3'!C37</f>
        <v>1350.5658966417475</v>
      </c>
      <c r="BL38" s="381">
        <f t="shared" si="0"/>
        <v>-6.0050345058743959E-2</v>
      </c>
      <c r="BM38" s="16"/>
      <c r="BN38" s="16"/>
    </row>
    <row r="39" spans="1:66" ht="15" customHeight="1" x14ac:dyDescent="0.25">
      <c r="A39" s="377" t="str">
        <f>'Table 4'!A39</f>
        <v>Wasco</v>
      </c>
      <c r="B39" s="322">
        <v>16760</v>
      </c>
      <c r="C39" s="324">
        <f>B39*2000/('Table 5'!B39*2000/'Table 5'!C39)</f>
        <v>1494.4271065537228</v>
      </c>
      <c r="D39" s="13">
        <v>16746</v>
      </c>
      <c r="E39" s="324">
        <f>D39*2000/('Table 5'!D39*2000/'Table 5'!E39)</f>
        <v>1492.5133689839572</v>
      </c>
      <c r="F39" s="13">
        <v>16145.3</v>
      </c>
      <c r="G39" s="324">
        <f>F39*2000/('Table 5'!F39*2000/'Table 5'!G39)</f>
        <v>1415.0131463628395</v>
      </c>
      <c r="H39" s="13">
        <v>16106</v>
      </c>
      <c r="I39" s="324">
        <f>H39*2000/('Table 5'!H39*2000/'Table 5'!I39)</f>
        <v>1398.6973512809379</v>
      </c>
      <c r="J39" s="13">
        <v>17479.7</v>
      </c>
      <c r="K39" s="324">
        <f>J39*2000/('Table 5'!J39*2000/'Table 5'!K39)</f>
        <v>1507.520482966796</v>
      </c>
      <c r="L39" s="13">
        <v>18855.2</v>
      </c>
      <c r="M39" s="324">
        <f>L39*2000/('Table 5'!L39*2000/'Table 5'!M39)</f>
        <v>1612.934131736527</v>
      </c>
      <c r="N39" s="378">
        <v>17997.3</v>
      </c>
      <c r="O39" s="324">
        <f>N39*2000/('Table 5'!N39*2000/'Table 5'!O39)</f>
        <v>1537.5736864587784</v>
      </c>
      <c r="P39" s="378">
        <v>18727.2</v>
      </c>
      <c r="Q39" s="324">
        <f>P39*2000/('Table 5'!P39*2000/'Table 5'!Q39)</f>
        <v>1580.3544303797469</v>
      </c>
      <c r="R39" s="379">
        <v>18118</v>
      </c>
      <c r="S39" s="314">
        <v>1519</v>
      </c>
      <c r="T39" s="379">
        <v>17884</v>
      </c>
      <c r="U39" s="13">
        <v>1481</v>
      </c>
      <c r="V39" s="323">
        <v>18386.599999999999</v>
      </c>
      <c r="W39" s="13">
        <v>1548.3452631578948</v>
      </c>
      <c r="X39" s="323">
        <v>18119.599999999999</v>
      </c>
      <c r="Y39" s="13">
        <v>1538.8195329087048</v>
      </c>
      <c r="Z39" s="323">
        <v>18982.651999999998</v>
      </c>
      <c r="AA39" s="96">
        <v>1588.5064435146444</v>
      </c>
      <c r="AB39" s="13">
        <v>21353.7</v>
      </c>
      <c r="AC39" s="96">
        <v>1784.3074994777523</v>
      </c>
      <c r="AD39" s="13">
        <v>22089.07</v>
      </c>
      <c r="AE39" s="96">
        <v>1835.4025758205235</v>
      </c>
      <c r="AF39" s="325">
        <v>22250.138999999999</v>
      </c>
      <c r="AG39" s="326">
        <v>1844.5711088082901</v>
      </c>
      <c r="AH39" s="325">
        <v>21387.439999999999</v>
      </c>
      <c r="AI39" s="326">
        <v>1769.8203181556942</v>
      </c>
      <c r="AJ39" s="323">
        <v>19033.401999999998</v>
      </c>
      <c r="AK39" s="96">
        <v>1571.0608336772596</v>
      </c>
      <c r="AL39" s="323">
        <v>18196.32</v>
      </c>
      <c r="AM39" s="96">
        <v>1442.1493956806023</v>
      </c>
      <c r="AN39" s="323">
        <v>17004.799999999992</v>
      </c>
      <c r="AO39" s="96">
        <v>1344.2529644268768</v>
      </c>
      <c r="AP39" s="323">
        <v>17368.339</v>
      </c>
      <c r="AQ39" s="96">
        <v>1363.0244457524034</v>
      </c>
      <c r="AR39" s="323">
        <v>17324.09</v>
      </c>
      <c r="AS39" s="96">
        <v>1342.4323905463</v>
      </c>
      <c r="AT39" s="13">
        <v>18175.123</v>
      </c>
      <c r="AU39" s="13">
        <v>1392.4629764412948</v>
      </c>
      <c r="AV39" s="323">
        <v>17527.447</v>
      </c>
      <c r="AW39" s="96">
        <v>1329.3475161167994</v>
      </c>
      <c r="AX39" s="323">
        <v>19418.521000000001</v>
      </c>
      <c r="AY39" s="96">
        <v>1454.570861423221</v>
      </c>
      <c r="AZ39" s="323">
        <v>22232.696000000004</v>
      </c>
      <c r="BA39" s="96">
        <v>1640.7893726937273</v>
      </c>
      <c r="BB39" s="323">
        <v>22910.438999999998</v>
      </c>
      <c r="BC39" s="96">
        <v>1684.5911029411764</v>
      </c>
      <c r="BD39" s="323">
        <v>24084.525999999987</v>
      </c>
      <c r="BE39" s="96">
        <v>1768.320558002936</v>
      </c>
      <c r="BF39" s="323">
        <v>28878.296999999995</v>
      </c>
      <c r="BG39" s="96">
        <v>2116.0137021432492</v>
      </c>
      <c r="BH39" s="323">
        <v>22128.252999999997</v>
      </c>
      <c r="BI39" s="96">
        <v>1664.9676836838341</v>
      </c>
      <c r="BJ39" s="327">
        <f>'Table 3'!B38</f>
        <v>22400.855000000003</v>
      </c>
      <c r="BK39" s="380">
        <f>'Table 3'!C38</f>
        <v>1672.0575643830691</v>
      </c>
      <c r="BL39" s="381">
        <f t="shared" si="0"/>
        <v>4.2582692557420199E-3</v>
      </c>
      <c r="BM39" s="16"/>
      <c r="BN39" s="16"/>
    </row>
    <row r="40" spans="1:66" ht="15" customHeight="1" x14ac:dyDescent="0.25">
      <c r="A40" s="377" t="str">
        <f>'Table 4'!A40</f>
        <v>Wheeler</v>
      </c>
      <c r="B40" s="322">
        <v>758</v>
      </c>
      <c r="C40" s="324">
        <f>B40*2000/('Table 5'!B40*2000/'Table 5'!C40)</f>
        <v>1052.7777777777778</v>
      </c>
      <c r="D40" s="13">
        <v>767</v>
      </c>
      <c r="E40" s="324">
        <f>D40*2000/('Table 5'!D40*2000/'Table 5'!E40)</f>
        <v>1022.6666666666666</v>
      </c>
      <c r="F40" s="13">
        <v>763</v>
      </c>
      <c r="G40" s="324">
        <f>F40*2000/('Table 5'!F40*2000/'Table 5'!G40)</f>
        <v>971.97452229299358</v>
      </c>
      <c r="H40" s="13">
        <v>764</v>
      </c>
      <c r="I40" s="324">
        <f>H40*2000/('Table 5'!H40*2000/'Table 5'!I40)</f>
        <v>973.24840764331213</v>
      </c>
      <c r="J40" s="13">
        <v>763</v>
      </c>
      <c r="K40" s="324">
        <f>J40*2000/('Table 5'!J40*2000/'Table 5'!K40)</f>
        <v>930.48780487804879</v>
      </c>
      <c r="L40" s="13">
        <v>590.6</v>
      </c>
      <c r="M40" s="324">
        <f>L40*2000/('Table 5'!L40*2000/'Table 5'!M40)</f>
        <v>733.66459627329198</v>
      </c>
      <c r="N40" s="378">
        <v>359.4</v>
      </c>
      <c r="O40" s="324">
        <f>N40*2000/('Table 5'!N40*2000/'Table 5'!O40)</f>
        <v>457.83439490445852</v>
      </c>
      <c r="P40" s="378">
        <v>359.7</v>
      </c>
      <c r="Q40" s="324">
        <f>P40*2000/('Table 5'!P40*2000/'Table 5'!Q40)</f>
        <v>461.15384615384613</v>
      </c>
      <c r="R40" s="379">
        <v>596</v>
      </c>
      <c r="S40" s="314">
        <v>769</v>
      </c>
      <c r="T40" s="379">
        <v>461</v>
      </c>
      <c r="U40" s="13">
        <v>595</v>
      </c>
      <c r="V40" s="323">
        <v>497.1</v>
      </c>
      <c r="W40" s="13">
        <v>641.41935483870964</v>
      </c>
      <c r="X40" s="323">
        <v>509.1</v>
      </c>
      <c r="Y40" s="13">
        <v>656.90322580645159</v>
      </c>
      <c r="Z40" s="323">
        <v>583.16</v>
      </c>
      <c r="AA40" s="96">
        <v>752.46451612903229</v>
      </c>
      <c r="AB40" s="13">
        <v>452.5</v>
      </c>
      <c r="AC40" s="96">
        <v>583.87096774193549</v>
      </c>
      <c r="AD40" s="13">
        <v>512.19000000000005</v>
      </c>
      <c r="AE40" s="96">
        <v>654.55591054313106</v>
      </c>
      <c r="AF40" s="325">
        <v>554.94000000000005</v>
      </c>
      <c r="AG40" s="326">
        <v>706.92993630573244</v>
      </c>
      <c r="AH40" s="325">
        <v>445.64</v>
      </c>
      <c r="AI40" s="326">
        <v>566.70064073677179</v>
      </c>
      <c r="AJ40" s="323">
        <v>409.46</v>
      </c>
      <c r="AK40" s="96">
        <v>516.66876971608838</v>
      </c>
      <c r="AL40" s="323">
        <v>427.31000000000006</v>
      </c>
      <c r="AM40" s="96">
        <v>593.4861111111112</v>
      </c>
      <c r="AN40" s="323">
        <v>417.40999999999991</v>
      </c>
      <c r="AO40" s="96">
        <v>581.75609756097549</v>
      </c>
      <c r="AP40" s="323">
        <v>384.40699999999998</v>
      </c>
      <c r="AQ40" s="96">
        <v>539.5185964912281</v>
      </c>
      <c r="AR40" s="323">
        <v>468.46899999999999</v>
      </c>
      <c r="AS40" s="96">
        <v>655.20139860139864</v>
      </c>
      <c r="AT40" s="13">
        <v>367.79</v>
      </c>
      <c r="AU40" s="13">
        <v>510.81944444444446</v>
      </c>
      <c r="AV40" s="323">
        <v>418.00700000000001</v>
      </c>
      <c r="AW40" s="96">
        <v>578.55640138408307</v>
      </c>
      <c r="AX40" s="323">
        <v>371.416</v>
      </c>
      <c r="AY40" s="96">
        <v>507.05255972696244</v>
      </c>
      <c r="AZ40" s="323">
        <v>378.40100000000001</v>
      </c>
      <c r="BA40" s="96">
        <v>511.35270270270269</v>
      </c>
      <c r="BB40" s="323">
        <v>376.08999999999992</v>
      </c>
      <c r="BC40" s="96">
        <v>518.74482758620684</v>
      </c>
      <c r="BD40" s="323">
        <v>384.92599999999999</v>
      </c>
      <c r="BE40" s="96">
        <v>534.61944444444441</v>
      </c>
      <c r="BF40" s="323">
        <v>386.51000000000005</v>
      </c>
      <c r="BG40" s="96">
        <v>536.81944444444457</v>
      </c>
      <c r="BH40" s="323">
        <v>440.19400000000002</v>
      </c>
      <c r="BI40" s="96">
        <v>604.66208791208794</v>
      </c>
      <c r="BJ40" s="327">
        <f>'Table 3'!B39</f>
        <v>461.24000000000007</v>
      </c>
      <c r="BK40" s="380">
        <f>'Table 3'!C39</f>
        <v>642.26754163317707</v>
      </c>
      <c r="BL40" s="381">
        <f t="shared" si="0"/>
        <v>6.2192511276739193E-2</v>
      </c>
      <c r="BM40" s="16"/>
      <c r="BN40" s="16"/>
    </row>
    <row r="41" spans="1:66" ht="15" customHeight="1" x14ac:dyDescent="0.25">
      <c r="A41" s="382" t="str">
        <f>'Table 4'!A41</f>
        <v>Yamhill</v>
      </c>
      <c r="B41" s="328">
        <v>52199</v>
      </c>
      <c r="C41" s="331">
        <f>B41*2000/('Table 5'!B41*2000/'Table 5'!C41)</f>
        <v>1490.463137456456</v>
      </c>
      <c r="D41" s="332">
        <v>55685.1</v>
      </c>
      <c r="E41" s="331">
        <f>D41*2000/('Table 5'!D41*2000/'Table 5'!E41)</f>
        <v>1550.3828270735307</v>
      </c>
      <c r="F41" s="332">
        <v>57129.8</v>
      </c>
      <c r="G41" s="331">
        <f>F41*2000/('Table 5'!F41*2000/'Table 5'!G41)</f>
        <v>1545.6151504903619</v>
      </c>
      <c r="H41" s="332">
        <v>53418</v>
      </c>
      <c r="I41" s="331">
        <f>H41*2000/('Table 5'!H41*2000/'Table 5'!I41)</f>
        <v>1397.5355152656778</v>
      </c>
      <c r="J41" s="332">
        <v>48908.5</v>
      </c>
      <c r="K41" s="331">
        <f>J41*2000/('Table 5'!J41*2000/'Table 5'!K41)</f>
        <v>1240.9230456955827</v>
      </c>
      <c r="L41" s="332">
        <v>67118.100000000006</v>
      </c>
      <c r="M41" s="331">
        <f>L41*2000/('Table 5'!L41*2000/'Table 5'!M41)</f>
        <v>1661.1746361746361</v>
      </c>
      <c r="N41" s="383">
        <v>68900.600000000006</v>
      </c>
      <c r="O41" s="331">
        <f>N41*2000/('Table 5'!N41*2000/'Table 5'!O41)</f>
        <v>1659.0561040211894</v>
      </c>
      <c r="P41" s="384">
        <v>69993.899999999994</v>
      </c>
      <c r="Q41" s="331">
        <f>P41*2000/('Table 5'!P41*2000/'Table 5'!Q41)</f>
        <v>1655.6806623299822</v>
      </c>
      <c r="R41" s="384">
        <v>67141</v>
      </c>
      <c r="S41" s="329">
        <v>1558</v>
      </c>
      <c r="T41" s="384">
        <v>65022</v>
      </c>
      <c r="U41" s="332">
        <v>1493</v>
      </c>
      <c r="V41" s="330">
        <v>67617.399999999994</v>
      </c>
      <c r="W41" s="332">
        <v>1533.1005554925746</v>
      </c>
      <c r="X41" s="330">
        <v>67009.7</v>
      </c>
      <c r="Y41" s="332">
        <v>1508.2084177357642</v>
      </c>
      <c r="Z41" s="330">
        <v>71183.460000000006</v>
      </c>
      <c r="AA41" s="333">
        <v>1583.438104771438</v>
      </c>
      <c r="AB41" s="332">
        <v>77313.399999999994</v>
      </c>
      <c r="AC41" s="333">
        <v>1698.8222368710174</v>
      </c>
      <c r="AD41" s="332">
        <v>99934.312000000005</v>
      </c>
      <c r="AE41" s="333">
        <v>2163.1739902160266</v>
      </c>
      <c r="AF41" s="338">
        <v>104149.73499999997</v>
      </c>
      <c r="AG41" s="339">
        <v>2220.55828580566</v>
      </c>
      <c r="AH41" s="338">
        <v>90789.547999999995</v>
      </c>
      <c r="AI41" s="339">
        <v>1910.4995764272685</v>
      </c>
      <c r="AJ41" s="330">
        <v>71663.115999999995</v>
      </c>
      <c r="AK41" s="333">
        <v>1493.4482859226841</v>
      </c>
      <c r="AL41" s="330">
        <v>95662.473000000013</v>
      </c>
      <c r="AM41" s="333">
        <v>1908.4782643391525</v>
      </c>
      <c r="AN41" s="330">
        <v>64513.015500000001</v>
      </c>
      <c r="AO41" s="333">
        <v>1281.3548934902428</v>
      </c>
      <c r="AP41" s="330">
        <v>89805.051000000007</v>
      </c>
      <c r="AQ41" s="333">
        <v>1771.3901277183293</v>
      </c>
      <c r="AR41" s="330">
        <v>83240.553</v>
      </c>
      <c r="AS41" s="333">
        <v>1628.2248476727923</v>
      </c>
      <c r="AT41" s="332">
        <v>73472.561000000002</v>
      </c>
      <c r="AU41" s="332">
        <v>1421.5038936666247</v>
      </c>
      <c r="AV41" s="330">
        <v>76900.108999999997</v>
      </c>
      <c r="AW41" s="333">
        <v>1472.0823331227627</v>
      </c>
      <c r="AX41" s="330">
        <v>96487.984999999971</v>
      </c>
      <c r="AY41" s="333">
        <v>1822.9528901652193</v>
      </c>
      <c r="AZ41" s="330">
        <v>102067.27399999998</v>
      </c>
      <c r="BA41" s="333">
        <v>1904.7732387795086</v>
      </c>
      <c r="BB41" s="330">
        <v>90547.152000000002</v>
      </c>
      <c r="BC41" s="333">
        <v>1672.1542382271468</v>
      </c>
      <c r="BD41" s="330">
        <v>98589.937999999995</v>
      </c>
      <c r="BE41" s="333">
        <v>1809.8198806792107</v>
      </c>
      <c r="BF41" s="330">
        <v>86950.236999999994</v>
      </c>
      <c r="BG41" s="333">
        <v>1588.1321826484018</v>
      </c>
      <c r="BH41" s="330">
        <v>121752.17599999996</v>
      </c>
      <c r="BI41" s="333">
        <v>2230.1996794431466</v>
      </c>
      <c r="BJ41" s="340">
        <f>'Table 3'!B40</f>
        <v>120328.704</v>
      </c>
      <c r="BK41" s="385">
        <f>'Table 3'!C40</f>
        <v>2189.5112599033682</v>
      </c>
      <c r="BL41" s="386">
        <f t="shared" si="0"/>
        <v>-1.824429440772668E-2</v>
      </c>
      <c r="BM41" s="16"/>
      <c r="BN41" s="16"/>
    </row>
    <row r="42" spans="1:66" ht="15" thickBot="1" x14ac:dyDescent="0.3">
      <c r="A42" s="377" t="s">
        <v>40</v>
      </c>
      <c r="B42" s="322"/>
      <c r="C42" s="96"/>
      <c r="D42" s="13"/>
      <c r="E42" s="324"/>
      <c r="F42" s="13"/>
      <c r="G42" s="324"/>
      <c r="H42" s="13"/>
      <c r="I42" s="96"/>
      <c r="J42" s="13"/>
      <c r="K42" s="96"/>
      <c r="L42" s="13"/>
      <c r="M42" s="96"/>
      <c r="N42" s="16"/>
      <c r="O42" s="214"/>
      <c r="P42" s="378"/>
      <c r="Q42" s="251"/>
      <c r="R42" s="378"/>
      <c r="S42" s="251"/>
      <c r="T42" s="378"/>
      <c r="U42" s="13"/>
      <c r="V42" s="390"/>
      <c r="W42" s="13"/>
      <c r="X42" s="390"/>
      <c r="Y42" s="13"/>
      <c r="Z42" s="390"/>
      <c r="AA42" s="391"/>
      <c r="AB42" s="344"/>
      <c r="AC42" s="391"/>
      <c r="AD42" s="344"/>
      <c r="AE42" s="391"/>
      <c r="AF42" s="392"/>
      <c r="AG42" s="393"/>
      <c r="AH42" s="392"/>
      <c r="AI42" s="393"/>
      <c r="AJ42" s="390"/>
      <c r="AK42" s="394"/>
      <c r="AL42" s="390"/>
      <c r="AM42" s="394"/>
      <c r="AN42" s="330"/>
      <c r="AO42" s="333"/>
      <c r="AP42" s="330"/>
      <c r="AQ42" s="333"/>
      <c r="AR42" s="330"/>
      <c r="AS42" s="333"/>
      <c r="AT42" s="332"/>
      <c r="AU42" s="332"/>
      <c r="AV42" s="330"/>
      <c r="AW42" s="333"/>
      <c r="AX42" s="330"/>
      <c r="AY42" s="333"/>
      <c r="AZ42" s="330"/>
      <c r="BA42" s="333"/>
      <c r="BB42" s="330"/>
      <c r="BC42" s="333"/>
      <c r="BD42" s="330"/>
      <c r="BE42" s="333"/>
      <c r="BF42" s="330"/>
      <c r="BG42" s="333"/>
      <c r="BH42" s="330"/>
      <c r="BI42" s="333"/>
      <c r="BJ42" s="340"/>
      <c r="BK42" s="385"/>
      <c r="BL42" s="395"/>
      <c r="BM42" s="16"/>
      <c r="BN42" s="16"/>
    </row>
    <row r="43" spans="1:66" ht="15.95" customHeight="1" thickBot="1" x14ac:dyDescent="0.3">
      <c r="A43" s="142" t="s">
        <v>41</v>
      </c>
      <c r="B43" s="353">
        <f>SUM(B7:B41)</f>
        <v>2263099.2999999998</v>
      </c>
      <c r="C43" s="354">
        <f>B43*2000/2990610</f>
        <v>1513.4700278538492</v>
      </c>
      <c r="D43" s="59">
        <f>SUM(D7:D41)</f>
        <v>2280513.3999999994</v>
      </c>
      <c r="E43" s="396">
        <f>D43*2000/3059110</f>
        <v>1490.9652807515909</v>
      </c>
      <c r="F43" s="59">
        <f>SUM(F7:F41)</f>
        <v>2312668.7999999989</v>
      </c>
      <c r="G43" s="355">
        <f>F43*2000/3119940</f>
        <v>1482.5085097790336</v>
      </c>
      <c r="H43" s="357">
        <f>SUM(H7:H42)</f>
        <v>2362147.7999999998</v>
      </c>
      <c r="I43" s="354">
        <f>H43*2000/3182690</f>
        <v>1484.3718992424647</v>
      </c>
      <c r="J43" s="357">
        <f>SUM(J7:J42)</f>
        <v>2497169.9</v>
      </c>
      <c r="K43" s="354">
        <f>J43*2000/3245100</f>
        <v>1539.0403377399773</v>
      </c>
      <c r="L43" s="357">
        <f>SUM(L7:L42)</f>
        <v>2633017.2999999998</v>
      </c>
      <c r="M43" s="354">
        <f>L43*2000/3302140</f>
        <v>1594.7338998346527</v>
      </c>
      <c r="N43" s="357">
        <f>SUM(N7:N42)</f>
        <v>2695902.9999999995</v>
      </c>
      <c r="O43" s="354">
        <f>N43*2000/3350080</f>
        <v>1609.4558935906005</v>
      </c>
      <c r="P43" s="357">
        <f>SUM(P7:P42)</f>
        <v>2788698.6999999997</v>
      </c>
      <c r="Q43" s="354">
        <f>P43*2000/3393410</f>
        <v>1643.5966770888278</v>
      </c>
      <c r="R43" s="357">
        <f>SUM(R7:R42)</f>
        <v>2778463</v>
      </c>
      <c r="S43" s="354">
        <v>1617</v>
      </c>
      <c r="T43" s="357">
        <f>SUM(T7:T42)</f>
        <v>2635072</v>
      </c>
      <c r="U43" s="354">
        <v>1518</v>
      </c>
      <c r="V43" s="357">
        <f>SUM(V7:V42)</f>
        <v>2723365.32</v>
      </c>
      <c r="W43" s="355">
        <v>1554</v>
      </c>
      <c r="X43" s="357">
        <f>SUM(X7:X42)</f>
        <v>2796786.6099999994</v>
      </c>
      <c r="Y43" s="354">
        <v>1579.4</v>
      </c>
      <c r="Z43" s="357">
        <v>2923461.6290000002</v>
      </c>
      <c r="AA43" s="354">
        <v>1632.0335114162899</v>
      </c>
      <c r="AB43" s="355">
        <v>3026457.26</v>
      </c>
      <c r="AC43" s="354">
        <v>1666.808351507942</v>
      </c>
      <c r="AD43" s="355">
        <v>3235828.2559999991</v>
      </c>
      <c r="AE43" s="354">
        <v>1753.5964622727779</v>
      </c>
      <c r="AF43" s="360">
        <v>3248125.9920000001</v>
      </c>
      <c r="AG43" s="361">
        <v>1734.4359988305828</v>
      </c>
      <c r="AH43" s="360">
        <v>2890502.929</v>
      </c>
      <c r="AI43" s="361">
        <v>1524.9047740743642</v>
      </c>
      <c r="AJ43" s="357">
        <v>2586720.9869999997</v>
      </c>
      <c r="AK43" s="354">
        <v>1353.0768488792232</v>
      </c>
      <c r="AL43" s="357">
        <v>2550509.3590000006</v>
      </c>
      <c r="AM43" s="354">
        <v>1329.3249727673106</v>
      </c>
      <c r="AN43" s="357">
        <v>2437767.3145000003</v>
      </c>
      <c r="AO43" s="354">
        <v>1263.8695127183178</v>
      </c>
      <c r="AP43" s="357">
        <f>SUM(AP7:AP41)</f>
        <v>2424832.7519999999</v>
      </c>
      <c r="AQ43" s="354">
        <v>1249</v>
      </c>
      <c r="AR43" s="357">
        <f>SUM(AR7:AR41)</f>
        <v>2442827.3609999996</v>
      </c>
      <c r="AS43" s="354">
        <v>1247</v>
      </c>
      <c r="AT43" s="355">
        <f>SUM(AT7:AT41)</f>
        <v>2580933.2030000007</v>
      </c>
      <c r="AU43" s="355">
        <v>1303</v>
      </c>
      <c r="AV43" s="357">
        <f>SUM(AV7:AV41)</f>
        <v>2784466.6100000003</v>
      </c>
      <c r="AW43" s="354">
        <v>1387.4310592461843</v>
      </c>
      <c r="AX43" s="357">
        <f>SUM(AX7:AX41)</f>
        <v>3059744.5970000001</v>
      </c>
      <c r="AY43" s="354">
        <v>1501.2178036724031</v>
      </c>
      <c r="AZ43" s="357">
        <f>SUM(AZ7:AZ41)</f>
        <v>3237213.7240000004</v>
      </c>
      <c r="BA43" s="354">
        <v>1563.4559532491369</v>
      </c>
      <c r="BB43" s="357">
        <f>SUM(BB7:BB41)</f>
        <v>3295468.0139999995</v>
      </c>
      <c r="BC43" s="354">
        <v>1571.0285386027219</v>
      </c>
      <c r="BD43" s="357">
        <f>SUM(BD7:BD41)</f>
        <v>3322349.0309999995</v>
      </c>
      <c r="BE43" s="354">
        <v>1568.4774955150597</v>
      </c>
      <c r="BF43" s="357">
        <f>SUM(BF7:BF41)</f>
        <v>3453570.1880000005</v>
      </c>
      <c r="BG43" s="354">
        <v>1618.3344347718107</v>
      </c>
      <c r="BH43" s="357">
        <f>SUM(BH7:BH41)</f>
        <v>4046936.3249999997</v>
      </c>
      <c r="BI43" s="354">
        <v>1897.0221510235267</v>
      </c>
      <c r="BJ43" s="363">
        <f>SUM(BJ7:BJ41)</f>
        <v>3690945.8539999994</v>
      </c>
      <c r="BK43" s="397">
        <f>'Table 3'!C43</f>
        <v>1723.9954550324014</v>
      </c>
      <c r="BL43" s="398">
        <f>(BK43/BI43)-1</f>
        <v>-9.1209633950647184E-2</v>
      </c>
      <c r="BM43" s="16"/>
      <c r="BN43" s="16"/>
    </row>
    <row r="44" spans="1:66" x14ac:dyDescent="0.25">
      <c r="A44" s="48" t="s">
        <v>107</v>
      </c>
      <c r="D44" s="153"/>
      <c r="F44" s="153">
        <f>(F43/D43)-1</f>
        <v>1.4100070624447847E-2</v>
      </c>
      <c r="H44" s="153">
        <f>(H43/F43)-1</f>
        <v>2.1394762622300778E-2</v>
      </c>
      <c r="J44" s="153">
        <f>(J43/H43)-1</f>
        <v>5.7160733126013552E-2</v>
      </c>
      <c r="L44" s="153">
        <f>(L43/J43)-1</f>
        <v>5.4400543591367034E-2</v>
      </c>
      <c r="N44" s="153">
        <f>(N43/L43)-1</f>
        <v>2.3883511893370235E-2</v>
      </c>
      <c r="P44" s="153">
        <f>(P43/N43)-1</f>
        <v>3.4421008471002157E-2</v>
      </c>
      <c r="R44" s="153">
        <f>(R43/P43)-1</f>
        <v>-3.6704216199475725E-3</v>
      </c>
      <c r="T44" s="153">
        <f>(T43/R43)-1</f>
        <v>-5.1608029331324579E-2</v>
      </c>
      <c r="U44" s="39"/>
      <c r="V44" s="153">
        <f>(V43/T43)-1</f>
        <v>3.3506985767371766E-2</v>
      </c>
      <c r="W44" s="39"/>
      <c r="X44" s="153">
        <f>(X43/V43)-1</f>
        <v>2.6959765353845144E-2</v>
      </c>
      <c r="Y44" s="39"/>
      <c r="Z44" s="153">
        <f>(Z43/X43)-1</f>
        <v>4.5293058307369627E-2</v>
      </c>
      <c r="AA44" s="153"/>
      <c r="AB44" s="153">
        <f>(AB43/Z43)-1</f>
        <v>3.5230710736309678E-2</v>
      </c>
      <c r="AC44" s="153"/>
      <c r="AD44" s="153">
        <f>(AD43/AB43)-1</f>
        <v>6.9180225594859257E-2</v>
      </c>
      <c r="AE44" s="153"/>
      <c r="AF44" s="153">
        <f>(AF43/AD43)-1</f>
        <v>3.8004909491713423E-3</v>
      </c>
      <c r="AG44" s="153"/>
      <c r="AH44" s="153">
        <f t="shared" ref="AH44" si="1">(AH43/AF43)-1</f>
        <v>-0.11010135194287751</v>
      </c>
      <c r="AI44" s="171"/>
      <c r="AJ44" s="153">
        <f>(AJ43/AH43)-1</f>
        <v>-0.10509656951120849</v>
      </c>
      <c r="AK44" s="171"/>
      <c r="AL44" s="153">
        <f>(AL43/AJ43)-1</f>
        <v>-1.399904673986363E-2</v>
      </c>
      <c r="AM44" s="39"/>
      <c r="AN44" s="153">
        <f>(AN43/AL43)-1</f>
        <v>-4.4203736834827367E-2</v>
      </c>
      <c r="AO44" s="39"/>
      <c r="AP44" s="153">
        <f>(AP43/AN43)-1</f>
        <v>-5.3059052941865081E-3</v>
      </c>
      <c r="AQ44" s="39"/>
      <c r="AR44" s="153">
        <f>(AR43/AP43)-1</f>
        <v>7.4209691308226855E-3</v>
      </c>
      <c r="AS44" s="39"/>
      <c r="AT44" s="153">
        <f>(AT43/AR43)-1</f>
        <v>5.653524444865643E-2</v>
      </c>
      <c r="AU44" s="39"/>
      <c r="AV44" s="153">
        <f>(AV43/AT43)-1</f>
        <v>7.8860393118046712E-2</v>
      </c>
      <c r="AW44" s="39"/>
      <c r="AX44" s="153">
        <f>(AX43/AV43)-1</f>
        <v>9.886201759840807E-2</v>
      </c>
      <c r="AY44" s="39"/>
      <c r="AZ44" s="153">
        <f>(AZ43/AX43)-1</f>
        <v>5.8001287811408897E-2</v>
      </c>
      <c r="BA44" s="39"/>
      <c r="BB44" s="153">
        <f>(BB43/AZ43)-1</f>
        <v>1.7995194314207374E-2</v>
      </c>
      <c r="BC44" s="39"/>
      <c r="BD44" s="153">
        <f>(BD43/BB43)-1</f>
        <v>8.1569649244970233E-3</v>
      </c>
      <c r="BE44" s="39"/>
      <c r="BF44" s="153">
        <f>(BF43/BD43)-1</f>
        <v>3.9496499547642117E-2</v>
      </c>
      <c r="BG44" s="39"/>
      <c r="BH44" s="153">
        <f>(BH43/BF43)-1</f>
        <v>0.17181238680532629</v>
      </c>
      <c r="BI44" s="39"/>
      <c r="BJ44" s="153">
        <f>(BJ43/BH43)-1</f>
        <v>-8.7965424313909968E-2</v>
      </c>
      <c r="BK44" s="39"/>
      <c r="BL44" s="39"/>
      <c r="BM44" s="39"/>
    </row>
    <row r="45" spans="1:66" x14ac:dyDescent="0.25">
      <c r="A45" s="48" t="s">
        <v>108</v>
      </c>
      <c r="E45" s="153"/>
      <c r="G45" s="153">
        <f>(G43/E43)-1</f>
        <v>-5.6720106643222135E-3</v>
      </c>
      <c r="I45" s="153">
        <f>(I43/G43)-1</f>
        <v>1.2569165378408798E-3</v>
      </c>
      <c r="K45" s="153">
        <f>(K43/I43)-1</f>
        <v>3.6829340763869345E-2</v>
      </c>
      <c r="M45" s="153">
        <f>(M43/K43)-1</f>
        <v>3.6187201029739935E-2</v>
      </c>
      <c r="O45" s="153">
        <f>(O43/M43)-1</f>
        <v>9.2316302785524496E-3</v>
      </c>
      <c r="Q45" s="153">
        <f>(Q43/O43)-1</f>
        <v>2.1212624486441456E-2</v>
      </c>
      <c r="R45" s="153"/>
      <c r="S45" s="153">
        <f>(S43/Q43)-1</f>
        <v>-1.6181997359556832E-2</v>
      </c>
      <c r="T45" s="152"/>
      <c r="U45" s="153">
        <f>(U43/S43)-1</f>
        <v>-6.1224489795918324E-2</v>
      </c>
      <c r="V45" s="153"/>
      <c r="W45" s="153">
        <f>(W43/U43)-1</f>
        <v>2.3715415019762931E-2</v>
      </c>
      <c r="X45" s="153"/>
      <c r="Y45" s="153">
        <f>(Y43/W43)-1</f>
        <v>1.6344916344916305E-2</v>
      </c>
      <c r="Z45" s="153"/>
      <c r="AA45" s="153">
        <f>(AA43/Y43)-1</f>
        <v>3.332500406248573E-2</v>
      </c>
      <c r="AB45" s="153"/>
      <c r="AC45" s="153">
        <f>(AC43/AA43)-1</f>
        <v>2.130767527038957E-2</v>
      </c>
      <c r="AD45" s="153"/>
      <c r="AE45" s="153">
        <f>(AE43/AC43)-1</f>
        <v>5.2068440073701261E-2</v>
      </c>
      <c r="AF45" s="153"/>
      <c r="AG45" s="153">
        <f>(AG43/AE43)-1</f>
        <v>-1.0926381213932079E-2</v>
      </c>
      <c r="AH45" s="153"/>
      <c r="AI45" s="153">
        <f t="shared" ref="AI45" si="2">(AI43/AG43)-1</f>
        <v>-0.12080654742953434</v>
      </c>
      <c r="AJ45" s="153"/>
      <c r="AK45" s="153">
        <f>(AK43/AI43)-1</f>
        <v>-0.11268108547921796</v>
      </c>
      <c r="AL45" s="153"/>
      <c r="AM45" s="153">
        <f>(AM43/AK43)-1</f>
        <v>-1.7553974211876211E-2</v>
      </c>
      <c r="AN45" s="153"/>
      <c r="AO45" s="153">
        <f>(AO43/AM43)-1</f>
        <v>-4.9239622658055926E-2</v>
      </c>
      <c r="AP45" s="153"/>
      <c r="AQ45" s="153">
        <f>(AQ43/AO43)-1</f>
        <v>-1.1765069549257934E-2</v>
      </c>
      <c r="AR45" s="153"/>
      <c r="AS45" s="153">
        <f>(AS43/AQ43)-1</f>
        <v>-1.6012810248198228E-3</v>
      </c>
      <c r="AT45" s="153"/>
      <c r="AU45" s="153">
        <f>(AU43/AS43)-1</f>
        <v>4.4907778668805243E-2</v>
      </c>
      <c r="AV45" s="153"/>
      <c r="AW45" s="153">
        <f>(AW43/AU43)-1</f>
        <v>6.4797436106050821E-2</v>
      </c>
      <c r="AX45" s="153"/>
      <c r="AY45" s="153">
        <f>(AY43/AW43)-1</f>
        <v>8.2012539410816654E-2</v>
      </c>
      <c r="AZ45" s="153"/>
      <c r="BA45" s="153">
        <f>(BA43/AY43)-1</f>
        <v>4.1458440890110415E-2</v>
      </c>
      <c r="BB45" s="153"/>
      <c r="BC45" s="153">
        <f>(BC43/BA43)-1</f>
        <v>4.8434913294792548E-3</v>
      </c>
      <c r="BD45" s="153"/>
      <c r="BE45" s="153">
        <f>(BE43/BC43)-1</f>
        <v>-1.6238044217395942E-3</v>
      </c>
      <c r="BF45" s="153"/>
      <c r="BG45" s="153">
        <f>(BG43/BE43)-1</f>
        <v>3.1786837490058506E-2</v>
      </c>
      <c r="BH45" s="153"/>
      <c r="BI45" s="153">
        <f>(BI43/BG43)-1</f>
        <v>0.17220650457889541</v>
      </c>
      <c r="BJ45" s="153"/>
      <c r="BK45" s="153">
        <f>(BK43/BI43)-1</f>
        <v>-9.1209633950647184E-2</v>
      </c>
      <c r="BL45" s="153"/>
      <c r="BM45" s="153"/>
    </row>
    <row r="46" spans="1:66" x14ac:dyDescent="0.25">
      <c r="A46" s="48" t="s">
        <v>120</v>
      </c>
      <c r="AF46" s="16"/>
      <c r="AG46" s="16"/>
      <c r="AL46" s="152"/>
    </row>
    <row r="47" spans="1:66" x14ac:dyDescent="0.25">
      <c r="A47" s="48" t="s">
        <v>139</v>
      </c>
      <c r="T47" s="175"/>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row>
    <row r="48" spans="1:66" x14ac:dyDescent="0.25">
      <c r="A48" s="48" t="s">
        <v>116</v>
      </c>
      <c r="W48" s="13"/>
      <c r="X48" s="13"/>
      <c r="Y48" s="13"/>
      <c r="Z48" s="13"/>
      <c r="AA48" s="13"/>
      <c r="AB48" s="13"/>
      <c r="AC48" s="13"/>
      <c r="AD48" s="13"/>
      <c r="AE48" s="13"/>
      <c r="AF48" s="13"/>
      <c r="AG48" s="16"/>
      <c r="AH48" s="13"/>
      <c r="AI48" s="13"/>
      <c r="AJ48" s="13"/>
      <c r="AK48" s="13"/>
    </row>
    <row r="50" spans="31:37" x14ac:dyDescent="0.25">
      <c r="AE50" s="152"/>
      <c r="AF50" s="152"/>
      <c r="AG50" s="152"/>
      <c r="AH50" s="152"/>
      <c r="AI50" s="152"/>
      <c r="AJ50" s="152"/>
      <c r="AK50" s="152"/>
    </row>
  </sheetData>
  <sheetProtection algorithmName="SHA-512" hashValue="EYxqBeYto5D0JPte4ONlmq3ApPwiz+9Bt99JASXwOvN90w7Ek7BnfGg8AmpeM6pPSTwKo4g43mgTa8OZTAzl/A==" saltValue="VgXCT57g6wxd33M9iyy+Tw==" spinCount="100000" sheet="1" objects="1" scenarios="1"/>
  <phoneticPr fontId="3" type="noConversion"/>
  <pageMargins left="1" right="1" top="1" bottom="1" header="0.5" footer="0.5"/>
  <pageSetup scale="28" orientation="portrait" r:id="rId1"/>
  <headerFooter>
    <oddHeader xml:space="preserve">&amp;L&amp;"Segoe UI,Bold"2022 Material Recovery and Waste Generation Rates Report&amp;R&amp;"Times New Roman,Bold"&amp;14 </oddHeader>
    <oddFooter>&amp;L&amp;"Segoe UI,Regular"&amp;9Oregon Department of Environmental Quality&amp;C
&amp;R&amp;"Segoe UI,Regular"&amp;9 2022 Material Recovery and Waste Generation Rates</oddFooter>
  </headerFooter>
  <ignoredErrors>
    <ignoredError sqref="Q43 C4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pageSetUpPr fitToPage="1"/>
  </sheetPr>
  <dimension ref="A1:BN47"/>
  <sheetViews>
    <sheetView zoomScaleNormal="100" zoomScaleSheetLayoutView="75" workbookViewId="0">
      <pane xSplit="1" ySplit="5" topLeftCell="B6" activePane="bottomRight" state="frozen"/>
      <selection activeCell="Q1" sqref="Q1"/>
      <selection pane="topRight" activeCell="Q1" sqref="Q1"/>
      <selection pane="bottomLeft" activeCell="Q1" sqref="Q1"/>
      <selection pane="bottomRight"/>
    </sheetView>
  </sheetViews>
  <sheetFormatPr defaultRowHeight="14.25" x14ac:dyDescent="0.25"/>
  <cols>
    <col min="1" max="1" width="17.7109375" style="16" customWidth="1"/>
    <col min="2" max="4" width="10.7109375" style="16" customWidth="1"/>
    <col min="5" max="5" width="10.7109375" style="13" customWidth="1"/>
    <col min="6" max="6" width="10.7109375" style="16" customWidth="1"/>
    <col min="7" max="7" width="10.7109375" style="13" customWidth="1"/>
    <col min="8" max="8" width="10.7109375" style="16" customWidth="1"/>
    <col min="9" max="13" width="10.7109375" style="13" customWidth="1"/>
    <col min="14" max="14" width="10.7109375" style="152" customWidth="1"/>
    <col min="15" max="15" width="10.7109375" style="13" customWidth="1"/>
    <col min="16" max="16" width="10.7109375" style="152" customWidth="1"/>
    <col min="17" max="63" width="10.7109375" style="13" customWidth="1"/>
    <col min="64" max="64" width="10.7109375" style="153" customWidth="1"/>
    <col min="65" max="65" width="9" style="16" bestFit="1" customWidth="1"/>
    <col min="66" max="66" width="10.28515625" style="16" bestFit="1" customWidth="1"/>
    <col min="67" max="16384" width="9.140625" style="16"/>
  </cols>
  <sheetData>
    <row r="1" spans="1:66" ht="20.25" x14ac:dyDescent="0.35">
      <c r="A1" s="64" t="s">
        <v>146</v>
      </c>
    </row>
    <row r="2" spans="1:66" ht="13.5" customHeight="1" thickBot="1" x14ac:dyDescent="0.4">
      <c r="A2" s="176"/>
    </row>
    <row r="3" spans="1:66" s="11" customFormat="1" x14ac:dyDescent="0.25">
      <c r="A3" s="290"/>
      <c r="B3" s="406">
        <v>1992</v>
      </c>
      <c r="C3" s="371" t="s">
        <v>85</v>
      </c>
      <c r="D3" s="293">
        <v>1993</v>
      </c>
      <c r="E3" s="407" t="s">
        <v>85</v>
      </c>
      <c r="F3" s="408">
        <v>1994</v>
      </c>
      <c r="G3" s="407" t="s">
        <v>85</v>
      </c>
      <c r="H3" s="409">
        <v>1995</v>
      </c>
      <c r="I3" s="407" t="s">
        <v>85</v>
      </c>
      <c r="J3" s="293">
        <v>1996</v>
      </c>
      <c r="K3" s="407" t="s">
        <v>85</v>
      </c>
      <c r="L3" s="408">
        <v>1997</v>
      </c>
      <c r="M3" s="407" t="s">
        <v>85</v>
      </c>
      <c r="N3" s="408">
        <v>1998</v>
      </c>
      <c r="O3" s="407" t="s">
        <v>85</v>
      </c>
      <c r="P3" s="408">
        <v>1999</v>
      </c>
      <c r="Q3" s="407" t="s">
        <v>85</v>
      </c>
      <c r="R3" s="408">
        <v>2000</v>
      </c>
      <c r="S3" s="407" t="s">
        <v>85</v>
      </c>
      <c r="T3" s="408">
        <v>2001</v>
      </c>
      <c r="U3" s="407" t="s">
        <v>85</v>
      </c>
      <c r="V3" s="408">
        <v>2002</v>
      </c>
      <c r="W3" s="407" t="s">
        <v>85</v>
      </c>
      <c r="X3" s="408">
        <v>2003</v>
      </c>
      <c r="Y3" s="407" t="s">
        <v>85</v>
      </c>
      <c r="Z3" s="408">
        <v>2004</v>
      </c>
      <c r="AA3" s="407" t="s">
        <v>85</v>
      </c>
      <c r="AB3" s="408">
        <v>2005</v>
      </c>
      <c r="AC3" s="407" t="s">
        <v>85</v>
      </c>
      <c r="AD3" s="408">
        <v>2006</v>
      </c>
      <c r="AE3" s="407" t="s">
        <v>85</v>
      </c>
      <c r="AF3" s="408">
        <v>2007</v>
      </c>
      <c r="AG3" s="407" t="s">
        <v>85</v>
      </c>
      <c r="AH3" s="408">
        <v>2008</v>
      </c>
      <c r="AI3" s="407" t="s">
        <v>85</v>
      </c>
      <c r="AJ3" s="408">
        <v>2009</v>
      </c>
      <c r="AK3" s="407" t="s">
        <v>85</v>
      </c>
      <c r="AL3" s="408">
        <v>2010</v>
      </c>
      <c r="AM3" s="407" t="s">
        <v>85</v>
      </c>
      <c r="AN3" s="408">
        <v>2011</v>
      </c>
      <c r="AO3" s="407" t="s">
        <v>85</v>
      </c>
      <c r="AP3" s="408">
        <v>2012</v>
      </c>
      <c r="AQ3" s="407" t="s">
        <v>85</v>
      </c>
      <c r="AR3" s="408">
        <v>2013</v>
      </c>
      <c r="AS3" s="407" t="s">
        <v>85</v>
      </c>
      <c r="AT3" s="293">
        <v>2014</v>
      </c>
      <c r="AU3" s="410" t="s">
        <v>85</v>
      </c>
      <c r="AV3" s="408">
        <v>2015</v>
      </c>
      <c r="AW3" s="407" t="s">
        <v>85</v>
      </c>
      <c r="AX3" s="408">
        <v>2016</v>
      </c>
      <c r="AY3" s="410" t="s">
        <v>85</v>
      </c>
      <c r="AZ3" s="408">
        <v>2017</v>
      </c>
      <c r="BA3" s="410" t="s">
        <v>85</v>
      </c>
      <c r="BB3" s="408">
        <v>2018</v>
      </c>
      <c r="BC3" s="410" t="s">
        <v>85</v>
      </c>
      <c r="BD3" s="408">
        <v>2019</v>
      </c>
      <c r="BE3" s="410" t="s">
        <v>85</v>
      </c>
      <c r="BF3" s="408">
        <v>2020</v>
      </c>
      <c r="BG3" s="410" t="s">
        <v>85</v>
      </c>
      <c r="BH3" s="408">
        <v>2021</v>
      </c>
      <c r="BI3" s="410" t="s">
        <v>85</v>
      </c>
      <c r="BJ3" s="411">
        <v>2022</v>
      </c>
      <c r="BK3" s="412" t="s">
        <v>85</v>
      </c>
      <c r="BL3" s="297" t="s">
        <v>46</v>
      </c>
      <c r="BN3" s="39"/>
    </row>
    <row r="4" spans="1:66" s="11" customFormat="1" x14ac:dyDescent="0.25">
      <c r="A4" s="373"/>
      <c r="B4" s="413" t="s">
        <v>4</v>
      </c>
      <c r="C4" s="194" t="s">
        <v>86</v>
      </c>
      <c r="D4" s="299" t="s">
        <v>4</v>
      </c>
      <c r="E4" s="414" t="s">
        <v>86</v>
      </c>
      <c r="F4" s="415" t="s">
        <v>4</v>
      </c>
      <c r="G4" s="414" t="s">
        <v>86</v>
      </c>
      <c r="H4" s="415" t="s">
        <v>4</v>
      </c>
      <c r="I4" s="414" t="s">
        <v>86</v>
      </c>
      <c r="J4" s="299" t="s">
        <v>4</v>
      </c>
      <c r="K4" s="414" t="s">
        <v>86</v>
      </c>
      <c r="L4" s="415" t="s">
        <v>4</v>
      </c>
      <c r="M4" s="414" t="s">
        <v>86</v>
      </c>
      <c r="N4" s="415" t="s">
        <v>4</v>
      </c>
      <c r="O4" s="414" t="s">
        <v>86</v>
      </c>
      <c r="P4" s="415" t="s">
        <v>4</v>
      </c>
      <c r="Q4" s="414" t="s">
        <v>86</v>
      </c>
      <c r="R4" s="415" t="s">
        <v>4</v>
      </c>
      <c r="S4" s="414" t="s">
        <v>86</v>
      </c>
      <c r="T4" s="415" t="s">
        <v>4</v>
      </c>
      <c r="U4" s="414" t="s">
        <v>86</v>
      </c>
      <c r="V4" s="415" t="s">
        <v>4</v>
      </c>
      <c r="W4" s="414" t="s">
        <v>86</v>
      </c>
      <c r="X4" s="415" t="s">
        <v>4</v>
      </c>
      <c r="Y4" s="414" t="s">
        <v>86</v>
      </c>
      <c r="Z4" s="415" t="s">
        <v>4</v>
      </c>
      <c r="AA4" s="414" t="s">
        <v>86</v>
      </c>
      <c r="AB4" s="415" t="s">
        <v>4</v>
      </c>
      <c r="AC4" s="414" t="s">
        <v>86</v>
      </c>
      <c r="AD4" s="415" t="s">
        <v>4</v>
      </c>
      <c r="AE4" s="414" t="s">
        <v>86</v>
      </c>
      <c r="AF4" s="415" t="s">
        <v>4</v>
      </c>
      <c r="AG4" s="414" t="s">
        <v>86</v>
      </c>
      <c r="AH4" s="415" t="s">
        <v>4</v>
      </c>
      <c r="AI4" s="414" t="s">
        <v>86</v>
      </c>
      <c r="AJ4" s="415" t="s">
        <v>4</v>
      </c>
      <c r="AK4" s="414" t="s">
        <v>86</v>
      </c>
      <c r="AL4" s="415" t="s">
        <v>4</v>
      </c>
      <c r="AM4" s="414" t="s">
        <v>86</v>
      </c>
      <c r="AN4" s="415" t="s">
        <v>4</v>
      </c>
      <c r="AO4" s="414" t="s">
        <v>86</v>
      </c>
      <c r="AP4" s="415" t="s">
        <v>4</v>
      </c>
      <c r="AQ4" s="414" t="s">
        <v>86</v>
      </c>
      <c r="AR4" s="415" t="s">
        <v>4</v>
      </c>
      <c r="AS4" s="414" t="s">
        <v>86</v>
      </c>
      <c r="AT4" s="299" t="s">
        <v>4</v>
      </c>
      <c r="AU4" s="299" t="s">
        <v>86</v>
      </c>
      <c r="AV4" s="415" t="s">
        <v>4</v>
      </c>
      <c r="AW4" s="414" t="s">
        <v>86</v>
      </c>
      <c r="AX4" s="415" t="s">
        <v>4</v>
      </c>
      <c r="AY4" s="299" t="s">
        <v>86</v>
      </c>
      <c r="AZ4" s="415" t="s">
        <v>4</v>
      </c>
      <c r="BA4" s="299" t="s">
        <v>86</v>
      </c>
      <c r="BB4" s="415" t="s">
        <v>4</v>
      </c>
      <c r="BC4" s="299" t="s">
        <v>86</v>
      </c>
      <c r="BD4" s="415" t="s">
        <v>4</v>
      </c>
      <c r="BE4" s="299" t="s">
        <v>86</v>
      </c>
      <c r="BF4" s="415" t="s">
        <v>4</v>
      </c>
      <c r="BG4" s="299" t="s">
        <v>86</v>
      </c>
      <c r="BH4" s="415" t="s">
        <v>4</v>
      </c>
      <c r="BI4" s="299" t="s">
        <v>86</v>
      </c>
      <c r="BJ4" s="416" t="s">
        <v>4</v>
      </c>
      <c r="BK4" s="302" t="s">
        <v>86</v>
      </c>
      <c r="BL4" s="303" t="s">
        <v>42</v>
      </c>
      <c r="BN4" s="39"/>
    </row>
    <row r="5" spans="1:66" s="11" customFormat="1" ht="15" thickBot="1" x14ac:dyDescent="0.3">
      <c r="A5" s="417" t="s">
        <v>1</v>
      </c>
      <c r="B5" s="418" t="s">
        <v>44</v>
      </c>
      <c r="C5" s="306" t="s">
        <v>45</v>
      </c>
      <c r="D5" s="305" t="s">
        <v>44</v>
      </c>
      <c r="E5" s="419" t="s">
        <v>45</v>
      </c>
      <c r="F5" s="420" t="s">
        <v>44</v>
      </c>
      <c r="G5" s="419" t="s">
        <v>45</v>
      </c>
      <c r="H5" s="421" t="s">
        <v>44</v>
      </c>
      <c r="I5" s="419" t="s">
        <v>45</v>
      </c>
      <c r="J5" s="307" t="s">
        <v>44</v>
      </c>
      <c r="K5" s="419" t="s">
        <v>45</v>
      </c>
      <c r="L5" s="421" t="s">
        <v>44</v>
      </c>
      <c r="M5" s="419" t="s">
        <v>45</v>
      </c>
      <c r="N5" s="421" t="s">
        <v>44</v>
      </c>
      <c r="O5" s="419" t="s">
        <v>45</v>
      </c>
      <c r="P5" s="421" t="s">
        <v>44</v>
      </c>
      <c r="Q5" s="419" t="s">
        <v>45</v>
      </c>
      <c r="R5" s="421" t="s">
        <v>44</v>
      </c>
      <c r="S5" s="419" t="s">
        <v>45</v>
      </c>
      <c r="T5" s="421" t="s">
        <v>44</v>
      </c>
      <c r="U5" s="419" t="s">
        <v>45</v>
      </c>
      <c r="V5" s="421" t="s">
        <v>44</v>
      </c>
      <c r="W5" s="419" t="s">
        <v>45</v>
      </c>
      <c r="X5" s="421" t="s">
        <v>44</v>
      </c>
      <c r="Y5" s="419" t="s">
        <v>45</v>
      </c>
      <c r="Z5" s="421" t="s">
        <v>44</v>
      </c>
      <c r="AA5" s="419" t="s">
        <v>45</v>
      </c>
      <c r="AB5" s="307" t="s">
        <v>44</v>
      </c>
      <c r="AC5" s="419" t="s">
        <v>45</v>
      </c>
      <c r="AD5" s="307" t="s">
        <v>44</v>
      </c>
      <c r="AE5" s="419" t="s">
        <v>45</v>
      </c>
      <c r="AF5" s="307" t="s">
        <v>44</v>
      </c>
      <c r="AG5" s="419" t="s">
        <v>45</v>
      </c>
      <c r="AH5" s="307" t="s">
        <v>44</v>
      </c>
      <c r="AI5" s="419" t="s">
        <v>45</v>
      </c>
      <c r="AJ5" s="307" t="s">
        <v>44</v>
      </c>
      <c r="AK5" s="419" t="s">
        <v>45</v>
      </c>
      <c r="AL5" s="307" t="s">
        <v>44</v>
      </c>
      <c r="AM5" s="419" t="s">
        <v>45</v>
      </c>
      <c r="AN5" s="307" t="s">
        <v>44</v>
      </c>
      <c r="AO5" s="419" t="s">
        <v>45</v>
      </c>
      <c r="AP5" s="307" t="s">
        <v>44</v>
      </c>
      <c r="AQ5" s="419" t="s">
        <v>45</v>
      </c>
      <c r="AR5" s="307" t="s">
        <v>44</v>
      </c>
      <c r="AS5" s="419" t="s">
        <v>45</v>
      </c>
      <c r="AT5" s="307" t="s">
        <v>44</v>
      </c>
      <c r="AU5" s="419" t="s">
        <v>45</v>
      </c>
      <c r="AV5" s="307" t="s">
        <v>44</v>
      </c>
      <c r="AW5" s="419" t="s">
        <v>45</v>
      </c>
      <c r="AX5" s="307" t="s">
        <v>44</v>
      </c>
      <c r="AY5" s="419" t="s">
        <v>45</v>
      </c>
      <c r="AZ5" s="307" t="s">
        <v>44</v>
      </c>
      <c r="BA5" s="419" t="s">
        <v>45</v>
      </c>
      <c r="BB5" s="307" t="s">
        <v>44</v>
      </c>
      <c r="BC5" s="419" t="s">
        <v>45</v>
      </c>
      <c r="BD5" s="307" t="s">
        <v>44</v>
      </c>
      <c r="BE5" s="419" t="s">
        <v>45</v>
      </c>
      <c r="BF5" s="307" t="s">
        <v>44</v>
      </c>
      <c r="BG5" s="419" t="s">
        <v>45</v>
      </c>
      <c r="BH5" s="307" t="s">
        <v>44</v>
      </c>
      <c r="BI5" s="419" t="s">
        <v>45</v>
      </c>
      <c r="BJ5" s="422" t="s">
        <v>44</v>
      </c>
      <c r="BK5" s="422" t="s">
        <v>45</v>
      </c>
      <c r="BL5" s="310" t="s">
        <v>144</v>
      </c>
      <c r="BN5" s="39"/>
    </row>
    <row r="6" spans="1:66" s="11" customFormat="1" ht="15" thickTop="1" x14ac:dyDescent="0.25">
      <c r="A6" s="399"/>
      <c r="B6" s="423"/>
      <c r="C6" s="299"/>
      <c r="D6" s="403"/>
      <c r="E6" s="194"/>
      <c r="F6" s="403"/>
      <c r="G6" s="194"/>
      <c r="H6" s="403"/>
      <c r="I6" s="194"/>
      <c r="J6" s="403"/>
      <c r="K6" s="194"/>
      <c r="L6" s="403"/>
      <c r="M6" s="194"/>
      <c r="N6" s="403"/>
      <c r="O6" s="194"/>
      <c r="P6" s="403"/>
      <c r="Q6" s="194"/>
      <c r="R6" s="403"/>
      <c r="S6" s="194"/>
      <c r="T6" s="403"/>
      <c r="U6" s="194"/>
      <c r="V6" s="403"/>
      <c r="W6" s="194"/>
      <c r="X6" s="403"/>
      <c r="Y6" s="194"/>
      <c r="Z6" s="403"/>
      <c r="AA6" s="194"/>
      <c r="AB6" s="403"/>
      <c r="AC6" s="194"/>
      <c r="AD6" s="403"/>
      <c r="AE6" s="194"/>
      <c r="AF6" s="403"/>
      <c r="AG6" s="194"/>
      <c r="AH6" s="403"/>
      <c r="AI6" s="194"/>
      <c r="AJ6" s="403"/>
      <c r="AK6" s="194"/>
      <c r="AL6" s="403"/>
      <c r="AM6" s="194"/>
      <c r="AN6" s="403"/>
      <c r="AO6" s="194"/>
      <c r="AP6" s="403"/>
      <c r="AQ6" s="194"/>
      <c r="AR6" s="403"/>
      <c r="AS6" s="194"/>
      <c r="AT6" s="403"/>
      <c r="AU6" s="194"/>
      <c r="AV6" s="403"/>
      <c r="AW6" s="194"/>
      <c r="AX6" s="403"/>
      <c r="AY6" s="194"/>
      <c r="AZ6" s="403"/>
      <c r="BA6" s="194"/>
      <c r="BB6" s="403"/>
      <c r="BC6" s="194"/>
      <c r="BD6" s="403"/>
      <c r="BE6" s="194"/>
      <c r="BF6" s="403"/>
      <c r="BG6" s="194"/>
      <c r="BH6" s="403"/>
      <c r="BI6" s="194"/>
      <c r="BJ6" s="302"/>
      <c r="BK6" s="302"/>
      <c r="BL6" s="303"/>
      <c r="BN6" s="39"/>
    </row>
    <row r="7" spans="1:66" ht="15" customHeight="1" x14ac:dyDescent="0.25">
      <c r="A7" s="377" t="str">
        <f>'Table 4'!A7</f>
        <v>Baker</v>
      </c>
      <c r="B7" s="322">
        <v>9401</v>
      </c>
      <c r="C7" s="324">
        <f>B7*2000/('Table 5'!B7*2000/'Table 5'!C7)</f>
        <v>1186.2460567823343</v>
      </c>
      <c r="D7" s="13">
        <v>9028</v>
      </c>
      <c r="E7" s="324">
        <f>D7*2000/('Table 5'!D7*2000/'Table 5'!E7)</f>
        <v>1116.6357452071738</v>
      </c>
      <c r="F7" s="13">
        <v>9911</v>
      </c>
      <c r="G7" s="324">
        <f>F7*2000/('Table 5'!F7*2000/'Table 5'!G7)</f>
        <v>1207.1863580998781</v>
      </c>
      <c r="H7" s="13">
        <v>12644</v>
      </c>
      <c r="I7" s="324">
        <f>H7*2000/('Table 5'!H7*2000/'Table 5'!I7)</f>
        <v>1516.0671462829737</v>
      </c>
      <c r="J7" s="13">
        <v>14540</v>
      </c>
      <c r="K7" s="324">
        <f>J7*2000/('Table 5'!J7*2000/'Table 5'!K7)</f>
        <v>1747.5961538461538</v>
      </c>
      <c r="L7" s="13">
        <v>15379.4</v>
      </c>
      <c r="M7" s="324">
        <f>L7*2000/('Table 5'!L7*2000/'Table 5'!M7)</f>
        <v>1838.5415421398684</v>
      </c>
      <c r="N7" s="13">
        <v>15310</v>
      </c>
      <c r="O7" s="324">
        <f>N7*2000/('Table 5'!N7*2000/'Table 5'!O7)</f>
        <v>1820.4518430439953</v>
      </c>
      <c r="P7" s="378">
        <v>15394.5</v>
      </c>
      <c r="Q7" s="324">
        <f>P7*2000/('Table 5'!P7*2000/'Table 5'!Q7)</f>
        <v>1841.4473684210527</v>
      </c>
      <c r="R7" s="314">
        <v>15466</v>
      </c>
      <c r="S7" s="324">
        <v>1847</v>
      </c>
      <c r="T7" s="424">
        <v>14805</v>
      </c>
      <c r="U7" s="324">
        <v>1773</v>
      </c>
      <c r="V7" s="314">
        <v>16421.5</v>
      </c>
      <c r="W7" s="324">
        <v>1966.6467065868262</v>
      </c>
      <c r="X7" s="314">
        <v>16122.636</v>
      </c>
      <c r="Y7" s="324">
        <v>1954.2589090909091</v>
      </c>
      <c r="Z7" s="314">
        <v>15138.031999999999</v>
      </c>
      <c r="AA7" s="324">
        <v>1829.3694259818731</v>
      </c>
      <c r="AB7" s="13">
        <v>16490.027000000002</v>
      </c>
      <c r="AC7" s="96">
        <v>1998.7911515151516</v>
      </c>
      <c r="AD7" s="13">
        <v>16551.652999999998</v>
      </c>
      <c r="AE7" s="96">
        <v>2009.915361262902</v>
      </c>
      <c r="AF7" s="425">
        <v>16295.268</v>
      </c>
      <c r="AG7" s="426">
        <v>1982.9958016428354</v>
      </c>
      <c r="AH7" s="425">
        <v>16338.686</v>
      </c>
      <c r="AI7" s="426">
        <v>1985.6005691903438</v>
      </c>
      <c r="AJ7" s="314">
        <v>15457.445</v>
      </c>
      <c r="AK7" s="324">
        <v>1879.3246200607903</v>
      </c>
      <c r="AL7" s="314">
        <f>'Table 5'!AL7+'Table 6'!AL7</f>
        <v>17485.958999999995</v>
      </c>
      <c r="AM7" s="324">
        <f>'Table 5'!AM7+'Table 6'!AM7</f>
        <v>2160.7610750695085</v>
      </c>
      <c r="AN7" s="427">
        <f>'Table 5'!AN7+'Table 6'!AN7</f>
        <v>15328.489000000001</v>
      </c>
      <c r="AO7" s="324">
        <f>'Table 5'!AO7+'Table 6'!AO7</f>
        <v>1890.6554424915203</v>
      </c>
      <c r="AP7" s="427">
        <f>'Table 5'!AP7+'Table 6'!AP7</f>
        <v>13810.01</v>
      </c>
      <c r="AQ7" s="324">
        <f>'Table 5'!AQ7+'Table 6'!AQ7</f>
        <v>1703.8877236273904</v>
      </c>
      <c r="AR7" s="427">
        <f>'Table 5'!AR7+'Table 6'!AR7</f>
        <v>14634.163</v>
      </c>
      <c r="AS7" s="324">
        <f>'Table 5'!AS7+'Table 6'!AS7</f>
        <v>1797.8087223587224</v>
      </c>
      <c r="AT7" s="314">
        <f>'Table 5'!AT7+'Table 6'!AT7</f>
        <v>14321.703000000001</v>
      </c>
      <c r="AU7" s="314">
        <f>'Table 5'!AU7+'Table 6'!AU7</f>
        <v>1754.5731087289435</v>
      </c>
      <c r="AV7" s="427">
        <f>'Table 5'!AV7+'Table 6'!AV7</f>
        <v>15706.933000000001</v>
      </c>
      <c r="AW7" s="324">
        <f>'Table 5'!AW7+'Table 6'!AW7</f>
        <v>1912.5641400304414</v>
      </c>
      <c r="AX7" s="427">
        <f>'Table 5'!AX7+'Table 6'!AX7</f>
        <v>15543.102999999999</v>
      </c>
      <c r="AY7" s="314">
        <f>'Table 5'!AY7+'Table 6'!AY7</f>
        <v>1882.8713506965473</v>
      </c>
      <c r="AZ7" s="427">
        <f>'Table 5'!AZ7+'Table 6'!AZ7</f>
        <v>17035.035</v>
      </c>
      <c r="BA7" s="314">
        <f>'Table 5'!BA7+'Table 6'!BA7</f>
        <v>2034.0340298507463</v>
      </c>
      <c r="BB7" s="427">
        <f>'Table 5'!BB7+'Table 6'!BB7</f>
        <v>16043.691000000001</v>
      </c>
      <c r="BC7" s="314">
        <f>'Table 5'!BC7+'Table 6'!BC7</f>
        <v>1913.9506113927828</v>
      </c>
      <c r="BD7" s="427">
        <f>'Table 5'!BD7+'Table 6'!BD7</f>
        <v>16184.154</v>
      </c>
      <c r="BE7" s="314">
        <f>'Table 5'!BE7+'Table 6'!BE7</f>
        <v>1924.3940546967897</v>
      </c>
      <c r="BF7" s="427">
        <f>'Table 5'!BF7+'Table 6'!BF7</f>
        <v>17325.656999999999</v>
      </c>
      <c r="BG7" s="314">
        <f>'Table 5'!BG7+'Table 6'!BG7</f>
        <v>2049.1610881135421</v>
      </c>
      <c r="BH7" s="427">
        <f>'Table 5'!BH7+'Table 6'!BH7</f>
        <v>17462.393</v>
      </c>
      <c r="BI7" s="314">
        <f>'Table 5'!BI7+'Table 6'!BI7</f>
        <v>2071.4582443653617</v>
      </c>
      <c r="BJ7" s="428">
        <f>'Table 5'!BJ7+'Table 6'!BJ7</f>
        <v>17258.279000000002</v>
      </c>
      <c r="BK7" s="429">
        <f>'Table 5'!BK7+'Table 6'!BK7</f>
        <v>2012.8467041961126</v>
      </c>
      <c r="BL7" s="430">
        <f>(BK7/BI7)-1</f>
        <v>-2.829482096908309E-2</v>
      </c>
      <c r="BM7" s="431"/>
      <c r="BN7" s="13"/>
    </row>
    <row r="8" spans="1:66" ht="15" customHeight="1" x14ac:dyDescent="0.25">
      <c r="A8" s="377" t="str">
        <f>'Table 4'!A8</f>
        <v>Benton</v>
      </c>
      <c r="B8" s="322">
        <v>80241</v>
      </c>
      <c r="C8" s="324">
        <f>B8*2000/('Table 5'!B8*2000/'Table 5'!C8)</f>
        <v>2339.387755102041</v>
      </c>
      <c r="D8" s="13">
        <v>73729</v>
      </c>
      <c r="E8" s="324">
        <f>D8*2000/('Table 5'!D8*2000/'Table 5'!E8)</f>
        <v>2110.6133256995636</v>
      </c>
      <c r="F8" s="13">
        <v>67640</v>
      </c>
      <c r="G8" s="324">
        <f>F8*2000/('Table 5'!F8*2000/'Table 5'!G8)</f>
        <v>1899.5998034122024</v>
      </c>
      <c r="H8" s="13">
        <v>73395</v>
      </c>
      <c r="I8" s="324">
        <f>H8*2000/('Table 5'!H8*2000/'Table 5'!I8)</f>
        <v>2036.7698071319551</v>
      </c>
      <c r="J8" s="13">
        <v>81192</v>
      </c>
      <c r="K8" s="324">
        <f>J8*2000/('Table 5'!J8*2000/'Table 5'!K8)</f>
        <v>2220.1804757998361</v>
      </c>
      <c r="L8" s="13">
        <v>77722.399999999994</v>
      </c>
      <c r="M8" s="324">
        <f>L8*2000/('Table 5'!L8*2000/'Table 5'!M8)</f>
        <v>2110.0149314510654</v>
      </c>
      <c r="N8" s="13">
        <v>77508.100000000006</v>
      </c>
      <c r="O8" s="324">
        <f>N8*2000/('Table 5'!N8*2000/'Table 5'!O8)</f>
        <v>2099.0683818551115</v>
      </c>
      <c r="P8" s="378">
        <v>84668.2</v>
      </c>
      <c r="Q8" s="324">
        <f>P8*2000/('Table 5'!P8*2000/'Table 5'!Q8)</f>
        <v>2317.7716944976733</v>
      </c>
      <c r="R8" s="314">
        <v>82323</v>
      </c>
      <c r="S8" s="324">
        <v>2250</v>
      </c>
      <c r="T8" s="424">
        <v>87186</v>
      </c>
      <c r="U8" s="324">
        <v>2365</v>
      </c>
      <c r="V8" s="314">
        <v>88803.1</v>
      </c>
      <c r="W8" s="324">
        <v>2383.4959404146816</v>
      </c>
      <c r="X8" s="314">
        <v>88226.800999999992</v>
      </c>
      <c r="Y8" s="324">
        <v>2369.6179681729673</v>
      </c>
      <c r="Z8" s="314">
        <v>97940.948999999993</v>
      </c>
      <c r="AA8" s="324">
        <v>2593.2600516316934</v>
      </c>
      <c r="AB8" s="13">
        <v>97173.724000000002</v>
      </c>
      <c r="AC8" s="96">
        <v>2544.4808588635769</v>
      </c>
      <c r="AD8" s="13">
        <v>98668.364000000001</v>
      </c>
      <c r="AE8" s="96">
        <v>2543.3923802649892</v>
      </c>
      <c r="AF8" s="425">
        <v>93400.421999999991</v>
      </c>
      <c r="AG8" s="426">
        <v>2373.5510857549461</v>
      </c>
      <c r="AH8" s="425">
        <v>92885.017999999996</v>
      </c>
      <c r="AI8" s="426">
        <v>2347.3819945919445</v>
      </c>
      <c r="AJ8" s="314">
        <v>82907.850000000006</v>
      </c>
      <c r="AK8" s="324">
        <v>2081.4905475634555</v>
      </c>
      <c r="AL8" s="314">
        <f>'Table 5'!AL8+'Table 6'!AL8</f>
        <v>85883.258999999991</v>
      </c>
      <c r="AM8" s="324">
        <f>'Table 5'!AM8+'Table 6'!AM8</f>
        <v>2170.1940415424269</v>
      </c>
      <c r="AN8" s="427">
        <f>'Table 5'!AN8+'Table 6'!AN8</f>
        <v>88299.905999999988</v>
      </c>
      <c r="AO8" s="324">
        <f>'Table 5'!AO8+'Table 6'!AO8</f>
        <v>2227.0680101390972</v>
      </c>
      <c r="AP8" s="427">
        <f>'Table 5'!AP8+'Table 6'!AP8</f>
        <v>92288.05</v>
      </c>
      <c r="AQ8" s="324">
        <f>'Table 5'!AQ8+'Table 6'!AQ8</f>
        <v>2306.5957686107395</v>
      </c>
      <c r="AR8" s="427">
        <f>'Table 5'!AR8+'Table 6'!AR8</f>
        <v>91469.296999999991</v>
      </c>
      <c r="AS8" s="324">
        <f>'Table 5'!AS8+'Table 6'!AS8</f>
        <v>2263.7272963508349</v>
      </c>
      <c r="AT8" s="314">
        <f>'Table 5'!AT8+'Table 6'!AT8</f>
        <v>91009.441999999995</v>
      </c>
      <c r="AU8" s="314">
        <f>'Table 5'!AU8+'Table 6'!AU8</f>
        <v>2230.7876069318822</v>
      </c>
      <c r="AV8" s="427">
        <f>'Table 5'!AV8+'Table 6'!AV8</f>
        <v>94724.290000000008</v>
      </c>
      <c r="AW8" s="324">
        <f>'Table 5'!AW8+'Table 6'!AW8</f>
        <v>2289.7408687664674</v>
      </c>
      <c r="AX8" s="427">
        <f>'Table 5'!AX8+'Table 6'!AX8</f>
        <v>96751.263999999996</v>
      </c>
      <c r="AY8" s="314">
        <f>'Table 5'!AY8+'Table 6'!AY8</f>
        <v>2312.6041614379787</v>
      </c>
      <c r="AZ8" s="427">
        <f>'Table 5'!AZ8+'Table 6'!AZ8</f>
        <v>95804.228000000003</v>
      </c>
      <c r="BA8" s="314">
        <f>'Table 5'!BA8+'Table 6'!BA8</f>
        <v>2258.0691296918271</v>
      </c>
      <c r="BB8" s="427">
        <f>'Table 5'!BB8+'Table 6'!BB8</f>
        <v>99919.054000000004</v>
      </c>
      <c r="BC8" s="314">
        <f>'Table 5'!BC8+'Table 6'!BC8</f>
        <v>2333.3307023177067</v>
      </c>
      <c r="BD8" s="427">
        <f>'Table 5'!BD8+'Table 6'!BD8</f>
        <v>102450.45799999997</v>
      </c>
      <c r="BE8" s="314">
        <f>'Table 5'!BE8+'Table 6'!BE8</f>
        <v>2379.6633877242894</v>
      </c>
      <c r="BF8" s="427">
        <f>'Table 5'!BF8+'Table 6'!BF8</f>
        <v>100440.17</v>
      </c>
      <c r="BG8" s="314">
        <f>'Table 5'!BG8+'Table 6'!BG8</f>
        <v>2325.9461587448618</v>
      </c>
      <c r="BH8" s="427">
        <f>'Table 5'!BH8+'Table 6'!BH8</f>
        <v>102281.15699999999</v>
      </c>
      <c r="BI8" s="314">
        <f>'Table 5'!BI8+'Table 6'!BI8</f>
        <v>2416.4518392515415</v>
      </c>
      <c r="BJ8" s="428">
        <f>'Table 5'!BJ8+'Table 6'!BJ8</f>
        <v>104779.21100000001</v>
      </c>
      <c r="BK8" s="429">
        <f>'Table 5'!BK8+'Table 6'!BK8</f>
        <v>2426.1607561513702</v>
      </c>
      <c r="BL8" s="430">
        <f>(BK8/BI8)-1</f>
        <v>4.0178400173851436E-3</v>
      </c>
      <c r="BM8" s="432"/>
      <c r="BN8" s="13"/>
    </row>
    <row r="9" spans="1:66" ht="15" customHeight="1" x14ac:dyDescent="0.25">
      <c r="A9" s="377" t="str">
        <f>'Table 4'!A9</f>
        <v>Clatsop</v>
      </c>
      <c r="B9" s="322">
        <v>27411</v>
      </c>
      <c r="C9" s="324">
        <f>B9*2000/('Table 5'!B9*2000/'Table 5'!C9)</f>
        <v>1599.7081995914793</v>
      </c>
      <c r="D9" s="13">
        <v>32503</v>
      </c>
      <c r="E9" s="324">
        <f>D9*2000/('Table 5'!D9*2000/'Table 5'!E9)</f>
        <v>1875.5337564916331</v>
      </c>
      <c r="F9" s="13">
        <v>35063</v>
      </c>
      <c r="G9" s="324">
        <f>F9*2000/('Table 5'!F9*2000/'Table 5'!G9)</f>
        <v>1991.6500994035785</v>
      </c>
      <c r="H9" s="13">
        <v>36312</v>
      </c>
      <c r="I9" s="324">
        <f>H9*2000/('Table 5'!H9*2000/'Table 5'!I9)</f>
        <v>2049.7883149872987</v>
      </c>
      <c r="J9" s="13">
        <v>35789</v>
      </c>
      <c r="K9" s="324">
        <f>J9*2000/('Table 5'!J9*2000/'Table 5'!K9)</f>
        <v>2026.5571913929784</v>
      </c>
      <c r="L9" s="13">
        <v>38882</v>
      </c>
      <c r="M9" s="324">
        <f>L9*2000/('Table 5'!L9*2000/'Table 5'!M9)</f>
        <v>2182.5428010103847</v>
      </c>
      <c r="N9" s="13">
        <v>39227.9</v>
      </c>
      <c r="O9" s="324">
        <f>N9*2000/('Table 5'!N9*2000/'Table 5'!O9)</f>
        <v>2204.4338297274517</v>
      </c>
      <c r="P9" s="378">
        <v>42379.8</v>
      </c>
      <c r="Q9" s="324">
        <f>P9*2000/('Table 5'!P9*2000/'Table 5'!Q9)</f>
        <v>2382.2259696458686</v>
      </c>
      <c r="R9" s="314">
        <v>42075</v>
      </c>
      <c r="S9" s="324">
        <v>2357</v>
      </c>
      <c r="T9" s="424">
        <v>43317</v>
      </c>
      <c r="U9" s="324">
        <v>2416</v>
      </c>
      <c r="V9" s="314">
        <v>45114.6</v>
      </c>
      <c r="W9" s="324">
        <v>2499.4238227146816</v>
      </c>
      <c r="X9" s="314">
        <v>46825.233</v>
      </c>
      <c r="Y9" s="324">
        <v>2579.9026446280996</v>
      </c>
      <c r="Z9" s="314">
        <v>48230.328999999991</v>
      </c>
      <c r="AA9" s="324">
        <v>2650.0180769230765</v>
      </c>
      <c r="AB9" s="13">
        <v>58423.056000000004</v>
      </c>
      <c r="AC9" s="96">
        <v>3189.031441048035</v>
      </c>
      <c r="AD9" s="13">
        <v>57700.993999999999</v>
      </c>
      <c r="AE9" s="96">
        <v>3115.1839114590366</v>
      </c>
      <c r="AF9" s="425">
        <v>55902.887000000002</v>
      </c>
      <c r="AG9" s="426">
        <v>2986.2653311965814</v>
      </c>
      <c r="AH9" s="425">
        <v>57513.34</v>
      </c>
      <c r="AI9" s="426">
        <v>3051.4553617338238</v>
      </c>
      <c r="AJ9" s="314">
        <v>48876.950000000004</v>
      </c>
      <c r="AK9" s="324">
        <v>2583.3483086680762</v>
      </c>
      <c r="AL9" s="314">
        <f>'Table 5'!AL9+'Table 6'!AL9</f>
        <v>48476.133000000002</v>
      </c>
      <c r="AM9" s="324">
        <f>'Table 5'!AM9+'Table 6'!AM9</f>
        <v>2615.3834906932825</v>
      </c>
      <c r="AN9" s="427">
        <f>'Table 5'!AN9+'Table 6'!AN9</f>
        <v>47631.86099999999</v>
      </c>
      <c r="AO9" s="324">
        <f>'Table 5'!AO9+'Table 6'!AO9</f>
        <v>2564.6445551218198</v>
      </c>
      <c r="AP9" s="427">
        <f>'Table 5'!AP9+'Table 6'!AP9</f>
        <v>48756.627999999997</v>
      </c>
      <c r="AQ9" s="324">
        <f>'Table 5'!AQ9+'Table 6'!AQ9</f>
        <v>2622.0289325087388</v>
      </c>
      <c r="AR9" s="427">
        <f>'Table 5'!AR9+'Table 6'!AR9</f>
        <v>51981.506999999998</v>
      </c>
      <c r="AS9" s="324">
        <f>'Table 5'!AS9+'Table 6'!AS9</f>
        <v>2789.4557016367053</v>
      </c>
      <c r="AT9" s="314">
        <f>'Table 5'!AT9+'Table 6'!AT9</f>
        <v>50338.858999999997</v>
      </c>
      <c r="AU9" s="314">
        <f>'Table 5'!AU9+'Table 6'!AU9</f>
        <v>2685.097159621283</v>
      </c>
      <c r="AV9" s="427">
        <f>'Table 5'!AV9+'Table 6'!AV9</f>
        <v>53142.703999999998</v>
      </c>
      <c r="AW9" s="324">
        <f>'Table 5'!AW9+'Table 6'!AW9</f>
        <v>2815.5074966887419</v>
      </c>
      <c r="AX9" s="427">
        <f>'Table 5'!AX9+'Table 6'!AX9</f>
        <v>54747.170999999988</v>
      </c>
      <c r="AY9" s="314">
        <f>'Table 5'!AY9+'Table 6'!AY9</f>
        <v>2864.4693786788748</v>
      </c>
      <c r="AZ9" s="427">
        <f>'Table 5'!AZ9+'Table 6'!AZ9</f>
        <v>57343.351999999999</v>
      </c>
      <c r="BA9" s="314">
        <f>'Table 5'!BA9+'Table 6'!BA9</f>
        <v>2954.3200412158681</v>
      </c>
      <c r="BB9" s="427">
        <f>'Table 5'!BB9+'Table 6'!BB9</f>
        <v>58889.425999999999</v>
      </c>
      <c r="BC9" s="314">
        <f>'Table 5'!BC9+'Table 6'!BC9</f>
        <v>3004.5625510204081</v>
      </c>
      <c r="BD9" s="427">
        <f>'Table 5'!BD9+'Table 6'!BD9</f>
        <v>54635.56200000002</v>
      </c>
      <c r="BE9" s="314">
        <f>'Table 5'!BE9+'Table 6'!BE9</f>
        <v>2778.3148741418772</v>
      </c>
      <c r="BF9" s="427">
        <f>'Table 5'!BF9+'Table 6'!BF9</f>
        <v>55928.766000000003</v>
      </c>
      <c r="BG9" s="314">
        <f>'Table 5'!BG9+'Table 6'!BG9</f>
        <v>2835.0660752756303</v>
      </c>
      <c r="BH9" s="427">
        <f>'Table 5'!BH9+'Table 6'!BH9</f>
        <v>62242.528999999995</v>
      </c>
      <c r="BI9" s="314">
        <f>'Table 5'!BI9+'Table 6'!BI9</f>
        <v>3004.8531910784973</v>
      </c>
      <c r="BJ9" s="428">
        <f>'Table 5'!BJ9+'Table 6'!BJ9</f>
        <v>61794.572</v>
      </c>
      <c r="BK9" s="429">
        <f>'Table 5'!BK9+'Table 6'!BK9</f>
        <v>2944.6034557299113</v>
      </c>
      <c r="BL9" s="430">
        <f t="shared" ref="BL9:BL41" si="0">(BK9/BI9)-1</f>
        <v>-2.0050808314851953E-2</v>
      </c>
      <c r="BM9" s="432"/>
      <c r="BN9" s="13"/>
    </row>
    <row r="10" spans="1:66" ht="15" customHeight="1" x14ac:dyDescent="0.25">
      <c r="A10" s="377" t="str">
        <f>'Table 4'!A10</f>
        <v>Columbia</v>
      </c>
      <c r="B10" s="322">
        <v>23025</v>
      </c>
      <c r="C10" s="324">
        <f>B10*2000/('Table 5'!B10*2000/'Table 5'!C10)</f>
        <v>1186.5498582839475</v>
      </c>
      <c r="D10" s="13">
        <v>21167</v>
      </c>
      <c r="E10" s="324">
        <f>D10*2000/('Table 5'!D10*2000/'Table 5'!E10)</f>
        <v>1073.3772819472617</v>
      </c>
      <c r="F10" s="13">
        <v>23547</v>
      </c>
      <c r="G10" s="324">
        <f>F10*2000/('Table 5'!F10*2000/'Table 5'!G10)</f>
        <v>1180.8926780341023</v>
      </c>
      <c r="H10" s="13">
        <v>25904</v>
      </c>
      <c r="I10" s="324">
        <f>H10*2000/('Table 5'!H10*2000/'Table 5'!I10)</f>
        <v>1278.5784797630799</v>
      </c>
      <c r="J10" s="13">
        <v>28908</v>
      </c>
      <c r="K10" s="324">
        <f>J10*2000/('Table 5'!J10*2000/'Table 5'!K10)</f>
        <v>1397.1967133881103</v>
      </c>
      <c r="L10" s="13">
        <v>26780.3</v>
      </c>
      <c r="M10" s="324">
        <f>L10*2000/('Table 5'!L10*2000/'Table 5'!M10)</f>
        <v>1276.4680648236415</v>
      </c>
      <c r="N10" s="13">
        <v>32256.400000000001</v>
      </c>
      <c r="O10" s="324">
        <f>N10*2000/('Table 5'!N10*2000/'Table 5'!O10)</f>
        <v>1511.1923167018037</v>
      </c>
      <c r="P10" s="378">
        <v>31250.6</v>
      </c>
      <c r="Q10" s="324">
        <f>P10*2000/('Table 5'!P10*2000/'Table 5'!Q10)</f>
        <v>1444.1127541589649</v>
      </c>
      <c r="R10" s="314">
        <v>33562</v>
      </c>
      <c r="S10" s="324">
        <v>1536</v>
      </c>
      <c r="T10" s="424">
        <v>37247</v>
      </c>
      <c r="U10" s="324">
        <v>1681</v>
      </c>
      <c r="V10" s="314">
        <v>34960.800000000003</v>
      </c>
      <c r="W10" s="324">
        <v>1567.7488789237668</v>
      </c>
      <c r="X10" s="314">
        <v>38890.790999999997</v>
      </c>
      <c r="Y10" s="324">
        <v>1728.4795999999997</v>
      </c>
      <c r="Z10" s="314">
        <v>36779.293999999994</v>
      </c>
      <c r="AA10" s="324">
        <v>1611.3600876232199</v>
      </c>
      <c r="AB10" s="13">
        <v>41290.877999999997</v>
      </c>
      <c r="AC10" s="96">
        <v>1786.7104283859801</v>
      </c>
      <c r="AD10" s="13">
        <v>42481.642</v>
      </c>
      <c r="AE10" s="96">
        <v>1809.0766315341211</v>
      </c>
      <c r="AF10" s="425">
        <v>47963.968999999997</v>
      </c>
      <c r="AG10" s="426">
        <v>2016.7757384631557</v>
      </c>
      <c r="AH10" s="425">
        <v>43380.845000000001</v>
      </c>
      <c r="AI10" s="426">
        <v>1804.0195601473304</v>
      </c>
      <c r="AJ10" s="314">
        <v>37365.588000000003</v>
      </c>
      <c r="AK10" s="324">
        <v>1543.7136128898987</v>
      </c>
      <c r="AL10" s="314">
        <f>'Table 5'!AL10+'Table 6'!AL10</f>
        <v>38344.654999999999</v>
      </c>
      <c r="AM10" s="324">
        <f>'Table 5'!AM10+'Table 6'!AM10</f>
        <v>1551.4729921100547</v>
      </c>
      <c r="AN10" s="427">
        <f>'Table 5'!AN10+'Table 6'!AN10</f>
        <v>37999.874000000003</v>
      </c>
      <c r="AO10" s="324">
        <f>'Table 5'!AO10+'Table 6'!AO10</f>
        <v>1531.4810680100759</v>
      </c>
      <c r="AP10" s="427">
        <f>'Table 5'!AP10+'Table 6'!AP10</f>
        <v>38102.76</v>
      </c>
      <c r="AQ10" s="324">
        <f>'Table 5'!AQ10+'Table 6'!AQ10</f>
        <v>1533.927536231884</v>
      </c>
      <c r="AR10" s="427">
        <f>'Table 5'!AR10+'Table 6'!AR10</f>
        <v>38223.713000000003</v>
      </c>
      <c r="AS10" s="324">
        <f>'Table 5'!AS10+'Table 6'!AS10</f>
        <v>1533.5491675025075</v>
      </c>
      <c r="AT10" s="314">
        <f>'Table 5'!AT10+'Table 6'!AT10</f>
        <v>35969.705000000002</v>
      </c>
      <c r="AU10" s="314">
        <f>'Table 5'!AU10+'Table 6'!AU10</f>
        <v>1436.6332501248128</v>
      </c>
      <c r="AV10" s="427">
        <f>'Table 5'!AV10+'Table 6'!AV10</f>
        <v>37859.688999999998</v>
      </c>
      <c r="AW10" s="324">
        <f>'Table 5'!AW10+'Table 6'!AW10</f>
        <v>1502.6667592776346</v>
      </c>
      <c r="AX10" s="427">
        <f>'Table 5'!AX10+'Table 6'!AX10</f>
        <v>42437.650999999998</v>
      </c>
      <c r="AY10" s="314">
        <f>'Table 5'!AY10+'Table 6'!AY10</f>
        <v>1670.9381238310857</v>
      </c>
      <c r="AZ10" s="427">
        <f>'Table 5'!AZ10+'Table 6'!AZ10</f>
        <v>42093.864000000001</v>
      </c>
      <c r="BA10" s="314">
        <f>'Table 5'!BA10+'Table 6'!BA10</f>
        <v>1639.6480280455742</v>
      </c>
      <c r="BB10" s="427">
        <f>'Table 5'!BB10+'Table 6'!BB10</f>
        <v>42824.964</v>
      </c>
      <c r="BC10" s="314">
        <f>'Table 5'!BC10+'Table 6'!BC10</f>
        <v>1650.2876300578034</v>
      </c>
      <c r="BD10" s="427">
        <f>'Table 5'!BD10+'Table 6'!BD10</f>
        <v>45468.865999999995</v>
      </c>
      <c r="BE10" s="314">
        <f>'Table 5'!BE10+'Table 6'!BE10</f>
        <v>1723.9380473933647</v>
      </c>
      <c r="BF10" s="427">
        <f>'Table 5'!BF10+'Table 6'!BF10</f>
        <v>45234.424999999996</v>
      </c>
      <c r="BG10" s="314">
        <f>'Table 5'!BG10+'Table 6'!BG10</f>
        <v>1697.9889264264266</v>
      </c>
      <c r="BH10" s="427">
        <f>'Table 5'!BH10+'Table 6'!BH10</f>
        <v>47242.868999999999</v>
      </c>
      <c r="BI10" s="314">
        <f>'Table 5'!BI10+'Table 6'!BI10</f>
        <v>1782.2789829101746</v>
      </c>
      <c r="BJ10" s="428">
        <f>'Table 5'!BJ10+'Table 6'!BJ10</f>
        <v>42139.630000000012</v>
      </c>
      <c r="BK10" s="429">
        <f>'Table 5'!BK10+'Table 6'!BK10</f>
        <v>1585.5199181408791</v>
      </c>
      <c r="BL10" s="430">
        <f t="shared" si="0"/>
        <v>-0.11039745553640523</v>
      </c>
      <c r="BM10" s="432"/>
      <c r="BN10" s="13"/>
    </row>
    <row r="11" spans="1:66" ht="15" customHeight="1" x14ac:dyDescent="0.25">
      <c r="A11" s="382" t="str">
        <f>'Table 4'!A11</f>
        <v>Coos</v>
      </c>
      <c r="B11" s="328">
        <v>47631</v>
      </c>
      <c r="C11" s="331">
        <f>B11*2000/('Table 5'!B11*2000/'Table 5'!C11)</f>
        <v>1533.7626791176945</v>
      </c>
      <c r="D11" s="332">
        <v>44663</v>
      </c>
      <c r="E11" s="331">
        <f>D11*2000/('Table 5'!D11*2000/'Table 5'!E11)</f>
        <v>1418.9992057188244</v>
      </c>
      <c r="F11" s="332">
        <v>50536</v>
      </c>
      <c r="G11" s="331">
        <f>F11*2000/('Table 5'!F11*2000/'Table 5'!G11)</f>
        <v>1597.9762845849802</v>
      </c>
      <c r="H11" s="332">
        <v>49861</v>
      </c>
      <c r="I11" s="331">
        <f>H11*2000/('Table 5'!H11*2000/'Table 5'!I11)</f>
        <v>1570.1779247362622</v>
      </c>
      <c r="J11" s="332">
        <v>51409</v>
      </c>
      <c r="K11" s="331">
        <f>J11*2000/('Table 5'!J11*2000/'Table 5'!K11)</f>
        <v>1620.201701859439</v>
      </c>
      <c r="L11" s="332">
        <v>53254.9</v>
      </c>
      <c r="M11" s="331">
        <f>L11*2000/('Table 5'!L11*2000/'Table 5'!M11)</f>
        <v>1678.3769303498266</v>
      </c>
      <c r="N11" s="332">
        <v>51338.6</v>
      </c>
      <c r="O11" s="331">
        <f>N11*2000/('Table 5'!N11*2000/'Table 5'!O11)</f>
        <v>1624.1252768111358</v>
      </c>
      <c r="P11" s="383">
        <v>50369.9</v>
      </c>
      <c r="Q11" s="331">
        <f>P11*2000/('Table 5'!P11*2000/'Table 5'!Q11)</f>
        <v>1602.6057906458798</v>
      </c>
      <c r="R11" s="329">
        <v>51083</v>
      </c>
      <c r="S11" s="331">
        <v>1627</v>
      </c>
      <c r="T11" s="433">
        <v>48786</v>
      </c>
      <c r="U11" s="331">
        <v>1550</v>
      </c>
      <c r="V11" s="329">
        <v>54174.1</v>
      </c>
      <c r="W11" s="331">
        <v>1729.4205905826018</v>
      </c>
      <c r="X11" s="329">
        <v>55133.226999999999</v>
      </c>
      <c r="Y11" s="331">
        <v>1750.2611746031746</v>
      </c>
      <c r="Z11" s="329">
        <v>58824.819000000003</v>
      </c>
      <c r="AA11" s="331">
        <v>1876.3897607655504</v>
      </c>
      <c r="AB11" s="332">
        <v>60258.846999999994</v>
      </c>
      <c r="AC11" s="333">
        <v>1922.2855730122019</v>
      </c>
      <c r="AD11" s="332">
        <v>64231.667999999998</v>
      </c>
      <c r="AE11" s="333">
        <v>2042.1800492806615</v>
      </c>
      <c r="AF11" s="434">
        <v>61621.076000000001</v>
      </c>
      <c r="AG11" s="435">
        <v>1954.6733068992862</v>
      </c>
      <c r="AH11" s="434">
        <v>60794.260999999999</v>
      </c>
      <c r="AI11" s="435">
        <v>1923.5737722142162</v>
      </c>
      <c r="AJ11" s="329">
        <v>54970.654999999999</v>
      </c>
      <c r="AK11" s="331">
        <v>1743.301514310632</v>
      </c>
      <c r="AL11" s="329">
        <f>'Table 5'!AL11+'Table 6'!AL11</f>
        <v>64413.665999999997</v>
      </c>
      <c r="AM11" s="331">
        <f>'Table 5'!AM11+'Table 6'!AM11</f>
        <v>2043.7428730070592</v>
      </c>
      <c r="AN11" s="436">
        <f>'Table 5'!AN11+'Table 6'!AN11</f>
        <v>76354.243999999977</v>
      </c>
      <c r="AO11" s="331">
        <f>'Table 5'!AO11+'Table 6'!AO11</f>
        <v>2425.4842439644217</v>
      </c>
      <c r="AP11" s="436">
        <f>'Table 5'!AP11+'Table 6'!AP11</f>
        <v>72345.937000000005</v>
      </c>
      <c r="AQ11" s="331">
        <f>'Table 5'!AQ11+'Table 6'!AQ11</f>
        <v>2300.7135315630467</v>
      </c>
      <c r="AR11" s="436">
        <f>'Table 5'!AR11+'Table 6'!AR11</f>
        <v>67432.456000000006</v>
      </c>
      <c r="AS11" s="331">
        <f>'Table 5'!AS11+'Table 6'!AS11</f>
        <v>2145.4806236080176</v>
      </c>
      <c r="AT11" s="329">
        <f>'Table 5'!AT11+'Table 6'!AT11</f>
        <v>68411.918000000005</v>
      </c>
      <c r="AU11" s="329">
        <f>'Table 5'!AU11+'Table 6'!AU11</f>
        <v>2175.2597138314786</v>
      </c>
      <c r="AV11" s="436">
        <f>'Table 5'!AV11+'Table 6'!AV11</f>
        <v>55385.724999999999</v>
      </c>
      <c r="AW11" s="331">
        <f>'Table 5'!AW11+'Table 6'!AW11</f>
        <v>1758.5561200190507</v>
      </c>
      <c r="AX11" s="436">
        <f>'Table 5'!AX11+'Table 6'!AX11</f>
        <v>58682.248999999996</v>
      </c>
      <c r="AY11" s="329">
        <f>'Table 5'!AY11+'Table 6'!AY11</f>
        <v>1857.3270770691563</v>
      </c>
      <c r="AZ11" s="436">
        <f>'Table 5'!AZ11+'Table 6'!AZ11</f>
        <v>62757.178</v>
      </c>
      <c r="BA11" s="329">
        <f>'Table 5'!BA11+'Table 6'!BA11</f>
        <v>1982.5360290633391</v>
      </c>
      <c r="BB11" s="436">
        <f>'Table 5'!BB11+'Table 6'!BB11</f>
        <v>63777.722000000009</v>
      </c>
      <c r="BC11" s="329">
        <f>'Table 5'!BC11+'Table 6'!BC11</f>
        <v>2015.8900671671279</v>
      </c>
      <c r="BD11" s="436">
        <f>'Table 5'!BD11+'Table 6'!BD11</f>
        <v>69447.990999999995</v>
      </c>
      <c r="BE11" s="329">
        <f>'Table 5'!BE11+'Table 6'!BE11</f>
        <v>2194.5960183283296</v>
      </c>
      <c r="BF11" s="436">
        <f>'Table 5'!BF11+'Table 6'!BF11</f>
        <v>69980.23</v>
      </c>
      <c r="BG11" s="329">
        <f>'Table 5'!BG11+'Table 6'!BG11</f>
        <v>2210.5418937060726</v>
      </c>
      <c r="BH11" s="436">
        <f>'Table 5'!BH11+'Table 6'!BH11</f>
        <v>73864.662000000011</v>
      </c>
      <c r="BI11" s="329">
        <f>'Table 5'!BI11+'Table 6'!BI11</f>
        <v>2267.3868680357309</v>
      </c>
      <c r="BJ11" s="437">
        <f>'Table 5'!BJ11+'Table 6'!BJ11</f>
        <v>77072.593999999997</v>
      </c>
      <c r="BK11" s="438">
        <f>'Table 5'!BK11+'Table 6'!BK11</f>
        <v>2367.3990292946719</v>
      </c>
      <c r="BL11" s="439">
        <f t="shared" si="0"/>
        <v>4.4108997308246245E-2</v>
      </c>
      <c r="BM11" s="432"/>
      <c r="BN11" s="13"/>
    </row>
    <row r="12" spans="1:66" ht="15" customHeight="1" x14ac:dyDescent="0.25">
      <c r="A12" s="377" t="str">
        <f>'Table 4'!A12</f>
        <v>Crook</v>
      </c>
      <c r="B12" s="322">
        <v>9959</v>
      </c>
      <c r="C12" s="324">
        <f>B12*2000/('Table 5'!B12*2000/'Table 5'!C12)</f>
        <v>1296.7447916666667</v>
      </c>
      <c r="D12" s="13">
        <v>8160</v>
      </c>
      <c r="E12" s="324">
        <f>D12*2000/('Table 5'!D12*2000/'Table 5'!E12)</f>
        <v>1021.2765957446809</v>
      </c>
      <c r="F12" s="13">
        <v>8175</v>
      </c>
      <c r="G12" s="324">
        <f>F12*2000/('Table 5'!F12*2000/'Table 5'!G12)</f>
        <v>993.31713244228433</v>
      </c>
      <c r="H12" s="13">
        <v>10404</v>
      </c>
      <c r="I12" s="324">
        <f>H12*2000/('Table 5'!H12*2000/'Table 5'!I12)</f>
        <v>1224.7204237786934</v>
      </c>
      <c r="J12" s="13">
        <v>13802</v>
      </c>
      <c r="K12" s="324">
        <f>J12*2000/('Table 5'!J12*2000/'Table 5'!K12)</f>
        <v>1586.4367816091954</v>
      </c>
      <c r="L12" s="13">
        <v>14856.1</v>
      </c>
      <c r="M12" s="324">
        <f>L12*2000/('Table 5'!L12*2000/'Table 5'!M12)</f>
        <v>1666.4161525518789</v>
      </c>
      <c r="N12" s="13">
        <v>16499.099999999999</v>
      </c>
      <c r="O12" s="324">
        <f>N12*2000/('Table 5'!N12*2000/'Table 5'!O12)</f>
        <v>1799.2475463467829</v>
      </c>
      <c r="P12" s="378">
        <v>18210.900000000001</v>
      </c>
      <c r="Q12" s="324">
        <f>P12*2000/('Table 5'!P12*2000/'Table 5'!Q12)</f>
        <v>1928.0995235574378</v>
      </c>
      <c r="R12" s="388">
        <v>19056</v>
      </c>
      <c r="S12" s="389">
        <v>1975</v>
      </c>
      <c r="T12" s="440">
        <v>18912</v>
      </c>
      <c r="U12" s="389">
        <v>1905</v>
      </c>
      <c r="V12" s="388">
        <v>23081.7</v>
      </c>
      <c r="W12" s="389">
        <v>2285.3168316831684</v>
      </c>
      <c r="X12" s="388">
        <v>19705.259000000002</v>
      </c>
      <c r="Y12" s="389">
        <v>1941.4048275862069</v>
      </c>
      <c r="Z12" s="388">
        <v>21537.439999999999</v>
      </c>
      <c r="AA12" s="389">
        <v>2085.9506053268765</v>
      </c>
      <c r="AB12" s="336">
        <v>23454.972000000002</v>
      </c>
      <c r="AC12" s="335">
        <v>2059.7121405049397</v>
      </c>
      <c r="AD12" s="13">
        <v>27641.512999999999</v>
      </c>
      <c r="AE12" s="96">
        <v>2254.1498878695206</v>
      </c>
      <c r="AF12" s="441">
        <v>27870.687999999998</v>
      </c>
      <c r="AG12" s="442">
        <v>2153.4238361985708</v>
      </c>
      <c r="AH12" s="441">
        <v>23697.439999999999</v>
      </c>
      <c r="AI12" s="442">
        <v>1765.491864051211</v>
      </c>
      <c r="AJ12" s="388">
        <v>19838.906000000003</v>
      </c>
      <c r="AK12" s="389">
        <v>1459.5479860217031</v>
      </c>
      <c r="AL12" s="388">
        <f>'Table 5'!AL12+'Table 6'!AL12</f>
        <v>20866.406999999999</v>
      </c>
      <c r="AM12" s="389">
        <f>'Table 5'!AM12+'Table 6'!AM12</f>
        <v>1985.3860133206472</v>
      </c>
      <c r="AN12" s="443">
        <f>'Table 5'!AN12+'Table 6'!AN12</f>
        <v>23949.98</v>
      </c>
      <c r="AO12" s="389">
        <f>'Table 5'!AO12+'Table 6'!AO12</f>
        <v>2296.8093982258451</v>
      </c>
      <c r="AP12" s="443">
        <f>'Table 5'!AP12+'Table 6'!AP12</f>
        <v>18305.370999999999</v>
      </c>
      <c r="AQ12" s="389">
        <f>'Table 5'!AQ12+'Table 6'!AQ12</f>
        <v>1772.9172881355933</v>
      </c>
      <c r="AR12" s="443">
        <f>'Table 5'!AR12+'Table 6'!AR12</f>
        <v>20263.282999999999</v>
      </c>
      <c r="AS12" s="389">
        <f>'Table 5'!AS12+'Table 6'!AS12</f>
        <v>1958.7513774770421</v>
      </c>
      <c r="AT12" s="388">
        <f>'Table 5'!AT12+'Table 6'!AT12</f>
        <v>19944.763999999999</v>
      </c>
      <c r="AU12" s="388">
        <f>'Table 5'!AU12+'Table 6'!AU12</f>
        <v>1919.6115495668914</v>
      </c>
      <c r="AV12" s="443">
        <f>'Table 5'!AV12+'Table 6'!AV12</f>
        <v>21360.959999999999</v>
      </c>
      <c r="AW12" s="389">
        <f>'Table 5'!AW12+'Table 6'!AW12</f>
        <v>2026.1759544700026</v>
      </c>
      <c r="AX12" s="443">
        <f>'Table 5'!AX12+'Table 6'!AX12</f>
        <v>25711.033000000003</v>
      </c>
      <c r="AY12" s="388">
        <f>'Table 5'!AY12+'Table 6'!AY12</f>
        <v>2382.8575532900836</v>
      </c>
      <c r="AZ12" s="443">
        <f>'Table 5'!AZ12+'Table 6'!AZ12</f>
        <v>26825.442999999999</v>
      </c>
      <c r="BA12" s="388">
        <f>'Table 5'!BA12+'Table 6'!BA12</f>
        <v>2427.0927844379098</v>
      </c>
      <c r="BB12" s="443">
        <f>'Table 5'!BB12+'Table 6'!BB12</f>
        <v>28583.221000000005</v>
      </c>
      <c r="BC12" s="388">
        <f>'Table 5'!BC12+'Table 6'!BC12</f>
        <v>2517.2365477763101</v>
      </c>
      <c r="BD12" s="443">
        <f>'Table 5'!BD12+'Table 6'!BD12</f>
        <v>32399.807000000008</v>
      </c>
      <c r="BE12" s="388">
        <f>'Table 5'!BE12+'Table 6'!BE12</f>
        <v>2764.4886518771336</v>
      </c>
      <c r="BF12" s="443">
        <f>'Table 5'!BF12+'Table 6'!BF12</f>
        <v>33142.811999999998</v>
      </c>
      <c r="BG12" s="388">
        <f>'Table 5'!BG12+'Table 6'!BG12</f>
        <v>2827.8849829351529</v>
      </c>
      <c r="BH12" s="443">
        <f>'Table 5'!BH12+'Table 6'!BH12</f>
        <v>33705.255999999994</v>
      </c>
      <c r="BI12" s="388">
        <f>'Table 5'!BI12+'Table 6'!BI12</f>
        <v>2645.4168432619099</v>
      </c>
      <c r="BJ12" s="444">
        <f>'Table 5'!BJ12+'Table 6'!BJ12</f>
        <v>39097.125</v>
      </c>
      <c r="BK12" s="445">
        <f>'Table 5'!BK12+'Table 6'!BK12</f>
        <v>2988.8735278350741</v>
      </c>
      <c r="BL12" s="430">
        <f t="shared" si="0"/>
        <v>0.12983083760428005</v>
      </c>
      <c r="BM12" s="432"/>
      <c r="BN12" s="13"/>
    </row>
    <row r="13" spans="1:66" ht="15" customHeight="1" x14ac:dyDescent="0.25">
      <c r="A13" s="377" t="str">
        <f>'Table 4'!A13</f>
        <v>Curry</v>
      </c>
      <c r="B13" s="322">
        <v>13418</v>
      </c>
      <c r="C13" s="324">
        <f>B13*2000/('Table 5'!B13*2000/'Table 5'!C13)</f>
        <v>1349.8993963782696</v>
      </c>
      <c r="D13" s="13">
        <v>14287</v>
      </c>
      <c r="E13" s="324">
        <f>D13*2000/('Table 5'!D13*2000/'Table 5'!E13)</f>
        <v>1402.7491408934709</v>
      </c>
      <c r="F13" s="13">
        <v>15490</v>
      </c>
      <c r="G13" s="324">
        <f>F13*2000/('Table 5'!F13*2000/'Table 5'!G13)</f>
        <v>1495.8957025591501</v>
      </c>
      <c r="H13" s="13">
        <v>16970</v>
      </c>
      <c r="I13" s="324">
        <f>H13*2000/('Table 5'!H13*2000/'Table 5'!I13)</f>
        <v>1616.960457360648</v>
      </c>
      <c r="J13" s="13">
        <v>17132</v>
      </c>
      <c r="K13" s="324">
        <f>J13*2000/('Table 5'!J13*2000/'Table 5'!K13)</f>
        <v>1631.6190476190477</v>
      </c>
      <c r="L13" s="13">
        <v>17672.400000000001</v>
      </c>
      <c r="M13" s="324">
        <f>L13*2000/('Table 5'!L13*2000/'Table 5'!M13)</f>
        <v>1680.6847360912982</v>
      </c>
      <c r="N13" s="13">
        <v>17168.8</v>
      </c>
      <c r="O13" s="324">
        <f>N13*2000/('Table 5'!N13*2000/'Table 5'!O13)</f>
        <v>1632.7912505943889</v>
      </c>
      <c r="P13" s="378">
        <v>20929.900000000001</v>
      </c>
      <c r="Q13" s="324">
        <f>P13*2000/('Table 5'!P13*2000/'Table 5'!Q13)</f>
        <v>1981.998106060606</v>
      </c>
      <c r="R13" s="314">
        <v>25031</v>
      </c>
      <c r="S13" s="324">
        <v>2361</v>
      </c>
      <c r="T13" s="424">
        <v>24460</v>
      </c>
      <c r="U13" s="324">
        <v>2270</v>
      </c>
      <c r="V13" s="314">
        <v>28085.5</v>
      </c>
      <c r="W13" s="324">
        <v>2643.3411764705879</v>
      </c>
      <c r="X13" s="314">
        <v>27209.514999999999</v>
      </c>
      <c r="Y13" s="324">
        <v>2579.1009478672986</v>
      </c>
      <c r="Z13" s="314">
        <v>27794.025999999998</v>
      </c>
      <c r="AA13" s="324">
        <v>2628.2766903073284</v>
      </c>
      <c r="AB13" s="13">
        <v>26574.242000000002</v>
      </c>
      <c r="AC13" s="96">
        <v>2508.1870693723458</v>
      </c>
      <c r="AD13" s="13">
        <v>26663.257999999998</v>
      </c>
      <c r="AE13" s="96">
        <v>2495.9754739059208</v>
      </c>
      <c r="AF13" s="425">
        <v>28036.129000000001</v>
      </c>
      <c r="AG13" s="426">
        <v>2611.0481024447031</v>
      </c>
      <c r="AH13" s="425">
        <v>24630.932000000001</v>
      </c>
      <c r="AI13" s="426">
        <v>2290.14916033384</v>
      </c>
      <c r="AJ13" s="314">
        <v>21316.512000000002</v>
      </c>
      <c r="AK13" s="324">
        <v>1997.7986879100281</v>
      </c>
      <c r="AL13" s="314">
        <f>'Table 5'!AL13+'Table 6'!AL13</f>
        <v>21331.633999999995</v>
      </c>
      <c r="AM13" s="324">
        <f>'Table 5'!AM13+'Table 6'!AM13</f>
        <v>1908.4441064638779</v>
      </c>
      <c r="AN13" s="427">
        <f>'Table 5'!AN13+'Table 6'!AN13</f>
        <v>22895.504999999997</v>
      </c>
      <c r="AO13" s="324">
        <f>'Table 5'!AO13+'Table 6'!AO13</f>
        <v>2050.1907320349228</v>
      </c>
      <c r="AP13" s="427">
        <f>'Table 5'!AP13+'Table 6'!AP13</f>
        <v>21976.537</v>
      </c>
      <c r="AQ13" s="324">
        <f>'Table 5'!AQ13+'Table 6'!AQ13</f>
        <v>1971.4318905584214</v>
      </c>
      <c r="AR13" s="427">
        <f>'Table 5'!AR13+'Table 6'!AR13</f>
        <v>21087.021000000001</v>
      </c>
      <c r="AS13" s="324">
        <f>'Table 5'!AS13+'Table 6'!AS13</f>
        <v>1891.2126457399104</v>
      </c>
      <c r="AT13" s="314">
        <f>'Table 5'!AT13+'Table 6'!AT13</f>
        <v>21633.186000000002</v>
      </c>
      <c r="AU13" s="314">
        <f>'Table 5'!AU13+'Table 6'!AU13</f>
        <v>1935.4225900246029</v>
      </c>
      <c r="AV13" s="427">
        <f>'Table 5'!AV13+'Table 6'!AV13</f>
        <v>22526.394</v>
      </c>
      <c r="AW13" s="324">
        <f>'Table 5'!AW13+'Table 6'!AW13</f>
        <v>2005.0194926568759</v>
      </c>
      <c r="AX13" s="427">
        <f>'Table 5'!AX13+'Table 6'!AX13</f>
        <v>26267.523000000001</v>
      </c>
      <c r="AY13" s="314">
        <f>'Table 5'!AY13+'Table 6'!AY13</f>
        <v>2324.5595575221241</v>
      </c>
      <c r="AZ13" s="427">
        <f>'Table 5'!AZ13+'Table 6'!AZ13</f>
        <v>25907.956000000002</v>
      </c>
      <c r="BA13" s="314">
        <f>'Table 5'!BA13+'Table 6'!BA13</f>
        <v>2272.1294452970837</v>
      </c>
      <c r="BB13" s="427">
        <f>'Table 5'!BB13+'Table 6'!BB13</f>
        <v>26656.202999999994</v>
      </c>
      <c r="BC13" s="314">
        <f>'Table 5'!BC13+'Table 6'!BC13</f>
        <v>2326.5287366353914</v>
      </c>
      <c r="BD13" s="427">
        <f>'Table 5'!BD13+'Table 6'!BD13</f>
        <v>26221.248000000003</v>
      </c>
      <c r="BE13" s="314">
        <f>'Table 5'!BE13+'Table 6'!BE13</f>
        <v>2280.1085217391305</v>
      </c>
      <c r="BF13" s="427">
        <f>'Table 5'!BF13+'Table 6'!BF13</f>
        <v>26654.563000000006</v>
      </c>
      <c r="BG13" s="314">
        <f>'Table 5'!BG13+'Table 6'!BG13</f>
        <v>2317.2843294935892</v>
      </c>
      <c r="BH13" s="427">
        <f>'Table 5'!BH13+'Table 6'!BH13</f>
        <v>27785.466999999997</v>
      </c>
      <c r="BI13" s="314">
        <f>'Table 5'!BI13+'Table 6'!BI13</f>
        <v>2348.530724368185</v>
      </c>
      <c r="BJ13" s="428">
        <f>'Table 5'!BJ13+'Table 6'!BJ13</f>
        <v>28035.638999999999</v>
      </c>
      <c r="BK13" s="429">
        <f>'Table 5'!BK13+'Table 6'!BK13</f>
        <v>2346.3284011522201</v>
      </c>
      <c r="BL13" s="430">
        <f t="shared" si="0"/>
        <v>-9.37745115749955E-4</v>
      </c>
      <c r="BM13" s="432"/>
      <c r="BN13" s="13"/>
    </row>
    <row r="14" spans="1:66" ht="15" customHeight="1" x14ac:dyDescent="0.25">
      <c r="A14" s="377" t="str">
        <f>'Table 4'!A14</f>
        <v>Deschutes</v>
      </c>
      <c r="B14" s="322">
        <v>85387</v>
      </c>
      <c r="C14" s="324">
        <f>B14*2000/('Table 5'!B14*2000/'Table 5'!C14)</f>
        <v>2024.5880260818021</v>
      </c>
      <c r="D14" s="13">
        <v>127407</v>
      </c>
      <c r="E14" s="324">
        <f>D14*2000/('Table 5'!D14*2000/'Table 5'!E14)</f>
        <v>2886.4295423652015</v>
      </c>
      <c r="F14" s="13">
        <v>129210</v>
      </c>
      <c r="G14" s="324">
        <f>F14*2000/('Table 5'!F14*2000/'Table 5'!G14)</f>
        <v>2818.1025081788439</v>
      </c>
      <c r="H14" s="13">
        <v>138823</v>
      </c>
      <c r="I14" s="324">
        <f>H14*2000/('Table 5'!H14*2000/'Table 5'!I14)</f>
        <v>2895.1616266944734</v>
      </c>
      <c r="J14" s="13">
        <v>133618</v>
      </c>
      <c r="K14" s="324">
        <f>J14*2000/('Table 5'!J14*2000/'Table 5'!K14)</f>
        <v>2675.570684821786</v>
      </c>
      <c r="L14" s="13">
        <v>124574.3</v>
      </c>
      <c r="M14" s="324">
        <f>L14*2000/('Table 5'!L14*2000/'Table 5'!M14)</f>
        <v>2414.6985849970924</v>
      </c>
      <c r="N14" s="13">
        <v>149621.9</v>
      </c>
      <c r="O14" s="324">
        <f>N14*2000/('Table 5'!N14*2000/'Table 5'!O14)</f>
        <v>2782.6278594011533</v>
      </c>
      <c r="P14" s="378">
        <v>147677.79999999999</v>
      </c>
      <c r="Q14" s="324">
        <f>P14*2000/('Table 5'!P14*2000/'Table 5'!Q14)</f>
        <v>2615.3865226246348</v>
      </c>
      <c r="R14" s="314">
        <v>161006</v>
      </c>
      <c r="S14" s="324">
        <v>2762</v>
      </c>
      <c r="T14" s="424">
        <v>169793</v>
      </c>
      <c r="U14" s="324">
        <v>2782</v>
      </c>
      <c r="V14" s="314">
        <v>176463.8</v>
      </c>
      <c r="W14" s="324">
        <v>2789.9415019762846</v>
      </c>
      <c r="X14" s="314">
        <v>188784.89199999999</v>
      </c>
      <c r="Y14" s="324">
        <v>2893.2550498084292</v>
      </c>
      <c r="Z14" s="314">
        <v>206889.30699999997</v>
      </c>
      <c r="AA14" s="324">
        <v>3054.8439571797708</v>
      </c>
      <c r="AB14" s="13">
        <v>223210.63800000001</v>
      </c>
      <c r="AC14" s="96">
        <v>3111.1664645619903</v>
      </c>
      <c r="AD14" s="13">
        <v>257588.69200000001</v>
      </c>
      <c r="AE14" s="96">
        <v>3375.6667693214954</v>
      </c>
      <c r="AF14" s="425">
        <v>252889.08299999998</v>
      </c>
      <c r="AG14" s="426">
        <v>3145.1910080218895</v>
      </c>
      <c r="AH14" s="425">
        <v>206675.75099999999</v>
      </c>
      <c r="AI14" s="426">
        <v>2474.900108618428</v>
      </c>
      <c r="AJ14" s="314">
        <v>192654.144</v>
      </c>
      <c r="AK14" s="324">
        <v>2257.1587709791747</v>
      </c>
      <c r="AL14" s="314">
        <f>'Table 5'!AL14+'Table 6'!AL14</f>
        <v>177106.99</v>
      </c>
      <c r="AM14" s="324">
        <f>'Table 5'!AM14+'Table 6'!AM14</f>
        <v>2243.2093980557929</v>
      </c>
      <c r="AN14" s="427">
        <f>'Table 5'!AN14+'Table 6'!AN14</f>
        <v>185386.25800000003</v>
      </c>
      <c r="AO14" s="324">
        <f>'Table 5'!AO14+'Table 6'!AO14</f>
        <v>2333.7373154996071</v>
      </c>
      <c r="AP14" s="427">
        <f>'Table 5'!AP14+'Table 6'!AP14</f>
        <v>185675.74099999998</v>
      </c>
      <c r="AQ14" s="324">
        <f>'Table 5'!AQ14+'Table 6'!AQ14</f>
        <v>2318.9177095041837</v>
      </c>
      <c r="AR14" s="427">
        <f>'Table 5'!AR14+'Table 6'!AR14</f>
        <v>193743.889</v>
      </c>
      <c r="AS14" s="324">
        <f>'Table 5'!AS14+'Table 6'!AS14</f>
        <v>2384.1733764036303</v>
      </c>
      <c r="AT14" s="314">
        <f>'Table 5'!AT14+'Table 6'!AT14</f>
        <v>203920.79700000002</v>
      </c>
      <c r="AU14" s="314">
        <f>'Table 5'!AU14+'Table 6'!AU14</f>
        <v>2450.9711177884615</v>
      </c>
      <c r="AV14" s="427">
        <f>'Table 5'!AV14+'Table 6'!AV14</f>
        <v>227337.785</v>
      </c>
      <c r="AW14" s="324">
        <f>'Table 5'!AW14+'Table 6'!AW14</f>
        <v>2662.9704228651754</v>
      </c>
      <c r="AX14" s="427">
        <f>'Table 5'!AX14+'Table 6'!AX14</f>
        <v>241399.50900000005</v>
      </c>
      <c r="AY14" s="314">
        <f>'Table 5'!AY14+'Table 6'!AY14</f>
        <v>2733.3145639312716</v>
      </c>
      <c r="AZ14" s="427">
        <f>'Table 5'!AZ14+'Table 6'!AZ14</f>
        <v>267457.99</v>
      </c>
      <c r="BA14" s="314">
        <f>'Table 5'!BA14+'Table 6'!BA14</f>
        <v>2924.1566719510192</v>
      </c>
      <c r="BB14" s="427">
        <f>'Table 5'!BB14+'Table 6'!BB14</f>
        <v>264141.70199999993</v>
      </c>
      <c r="BC14" s="314">
        <f>'Table 5'!BC14+'Table 6'!BC14</f>
        <v>2795.4461001164141</v>
      </c>
      <c r="BD14" s="427">
        <f>'Table 5'!BD14+'Table 6'!BD14</f>
        <v>267843.74000000005</v>
      </c>
      <c r="BE14" s="314">
        <f>'Table 5'!BE14+'Table 6'!BE14</f>
        <v>2775.5827979274613</v>
      </c>
      <c r="BF14" s="427">
        <f>'Table 5'!BF14+'Table 6'!BF14</f>
        <v>296483.34699999995</v>
      </c>
      <c r="BG14" s="314">
        <f>'Table 5'!BG14+'Table 6'!BG14</f>
        <v>3009.7540491840718</v>
      </c>
      <c r="BH14" s="427">
        <f>'Table 5'!BH14+'Table 6'!BH14</f>
        <v>307264.34299999999</v>
      </c>
      <c r="BI14" s="314">
        <f>'Table 5'!BI14+'Table 6'!BI14</f>
        <v>3021.4301883081762</v>
      </c>
      <c r="BJ14" s="428">
        <f>'Table 5'!BJ14+'Table 6'!BJ14</f>
        <v>310342.37400000001</v>
      </c>
      <c r="BK14" s="429">
        <f>'Table 5'!BK14+'Table 6'!BK14</f>
        <v>2990.3772613675847</v>
      </c>
      <c r="BL14" s="430">
        <f t="shared" si="0"/>
        <v>-1.0277558972156653E-2</v>
      </c>
      <c r="BM14" s="432"/>
      <c r="BN14" s="13"/>
    </row>
    <row r="15" spans="1:66" ht="15" customHeight="1" x14ac:dyDescent="0.25">
      <c r="A15" s="377" t="str">
        <f>'Table 4'!A15</f>
        <v>Douglas</v>
      </c>
      <c r="B15" s="322">
        <v>114507</v>
      </c>
      <c r="C15" s="324">
        <f>B15*2000/('Table 5'!B15*2000/'Table 5'!C15)</f>
        <v>2385.5625</v>
      </c>
      <c r="D15" s="13">
        <v>117445</v>
      </c>
      <c r="E15" s="324">
        <f>D15*2000/('Table 5'!D15*2000/'Table 5'!E15)</f>
        <v>2426.2989360603242</v>
      </c>
      <c r="F15" s="13">
        <v>120984</v>
      </c>
      <c r="G15" s="324">
        <f>F15*2000/('Table 5'!F15*2000/'Table 5'!G15)</f>
        <v>2478.9263395143939</v>
      </c>
      <c r="H15" s="13">
        <v>126601</v>
      </c>
      <c r="I15" s="324">
        <f>H15*2000/('Table 5'!H15*2000/'Table 5'!I15)</f>
        <v>2562.2546043311072</v>
      </c>
      <c r="J15" s="13">
        <v>118269</v>
      </c>
      <c r="K15" s="324">
        <f>J15*2000/('Table 5'!J15*2000/'Table 5'!K15)</f>
        <v>2371.783816304021</v>
      </c>
      <c r="L15" s="13">
        <v>119928.6</v>
      </c>
      <c r="M15" s="324">
        <f>L15*2000/('Table 5'!L15*2000/'Table 5'!M15)</f>
        <v>2387.5890901851485</v>
      </c>
      <c r="N15" s="13">
        <v>123845.4</v>
      </c>
      <c r="O15" s="324">
        <f>N15*2000/('Table 5'!N15*2000/'Table 5'!O15)</f>
        <v>2463.8495971351836</v>
      </c>
      <c r="P15" s="378">
        <v>117232.1</v>
      </c>
      <c r="Q15" s="324">
        <f>P15*2000/('Table 5'!P15*2000/'Table 5'!Q15)</f>
        <v>2336.6972294199722</v>
      </c>
      <c r="R15" s="314">
        <v>120841</v>
      </c>
      <c r="S15" s="324">
        <v>2405</v>
      </c>
      <c r="T15" s="424">
        <v>129362</v>
      </c>
      <c r="U15" s="324">
        <v>2556</v>
      </c>
      <c r="V15" s="314">
        <v>120656.8</v>
      </c>
      <c r="W15" s="324">
        <v>2382.167818361303</v>
      </c>
      <c r="X15" s="314">
        <v>123906.08499999999</v>
      </c>
      <c r="Y15" s="324">
        <v>2434.3042239685656</v>
      </c>
      <c r="Z15" s="314">
        <v>134691.38900000002</v>
      </c>
      <c r="AA15" s="324">
        <v>2631.9763361016126</v>
      </c>
      <c r="AB15" s="13">
        <v>137792.82399999999</v>
      </c>
      <c r="AC15" s="96">
        <v>2678.0588698313977</v>
      </c>
      <c r="AD15" s="13">
        <v>135040.69500000001</v>
      </c>
      <c r="AE15" s="96">
        <v>2601.5642248230024</v>
      </c>
      <c r="AF15" s="425">
        <v>139929.261</v>
      </c>
      <c r="AG15" s="426">
        <v>2673.5946692142343</v>
      </c>
      <c r="AH15" s="425">
        <v>128246.314</v>
      </c>
      <c r="AI15" s="426">
        <v>2437.1822249791398</v>
      </c>
      <c r="AJ15" s="314">
        <v>107424.094</v>
      </c>
      <c r="AK15" s="324">
        <v>2038.5045590398026</v>
      </c>
      <c r="AL15" s="314">
        <f>'Table 5'!AL15+'Table 6'!AL15</f>
        <v>116996.33499999998</v>
      </c>
      <c r="AM15" s="324">
        <f>'Table 5'!AM15+'Table 6'!AM15</f>
        <v>2172.8356393351282</v>
      </c>
      <c r="AN15" s="427">
        <f>'Table 5'!AN15+'Table 6'!AN15</f>
        <v>128936.07399999999</v>
      </c>
      <c r="AO15" s="324">
        <f>'Table 5'!AO15+'Table 6'!AO15</f>
        <v>2392.2459112203724</v>
      </c>
      <c r="AP15" s="427">
        <f>'Table 5'!AP15+'Table 6'!AP15</f>
        <v>122924.94899999999</v>
      </c>
      <c r="AQ15" s="324">
        <f>'Table 5'!AQ15+'Table 6'!AQ15</f>
        <v>2272.285207264661</v>
      </c>
      <c r="AR15" s="427">
        <f>'Table 5'!AR15+'Table 6'!AR15</f>
        <v>113095.459</v>
      </c>
      <c r="AS15" s="324">
        <f>'Table 5'!AS15+'Table 6'!AS15</f>
        <v>2078.0056775378962</v>
      </c>
      <c r="AT15" s="314">
        <f>'Table 5'!AT15+'Table 6'!AT15</f>
        <v>110482.406</v>
      </c>
      <c r="AU15" s="314">
        <f>'Table 5'!AU15+'Table 6'!AU15</f>
        <v>2020.0650180554921</v>
      </c>
      <c r="AV15" s="427">
        <f>'Table 5'!AV15+'Table 6'!AV15</f>
        <v>106770.63500000001</v>
      </c>
      <c r="AW15" s="324">
        <f>'Table 5'!AW15+'Table 6'!AW15</f>
        <v>1942.8738968246748</v>
      </c>
      <c r="AX15" s="427">
        <f>'Table 5'!AX15+'Table 6'!AX15</f>
        <v>102794.51899999999</v>
      </c>
      <c r="AY15" s="314">
        <f>'Table 5'!AY15+'Table 6'!AY15</f>
        <v>1862.3038905747542</v>
      </c>
      <c r="AZ15" s="427">
        <f>'Table 5'!AZ15+'Table 6'!AZ15</f>
        <v>110747.78999999998</v>
      </c>
      <c r="BA15" s="314">
        <f>'Table 5'!BA15+'Table 6'!BA15</f>
        <v>1992.2250404749052</v>
      </c>
      <c r="BB15" s="427">
        <f>'Table 5'!BB15+'Table 6'!BB15</f>
        <v>117962.84700000001</v>
      </c>
      <c r="BC15" s="314">
        <f>'Table 5'!BC15+'Table 6'!BC15</f>
        <v>2111.475312122433</v>
      </c>
      <c r="BD15" s="427">
        <f>'Table 5'!BD15+'Table 6'!BD15</f>
        <v>119525.13100000001</v>
      </c>
      <c r="BE15" s="314">
        <f>'Table 5'!BE15+'Table 6'!BE15</f>
        <v>2129.6237149220492</v>
      </c>
      <c r="BF15" s="427">
        <f>'Table 5'!BF15+'Table 6'!BF15</f>
        <v>136182.91199999998</v>
      </c>
      <c r="BG15" s="314">
        <f>'Table 5'!BG15+'Table 6'!BG15</f>
        <v>2420.3841109037589</v>
      </c>
      <c r="BH15" s="427">
        <f>'Table 5'!BH15+'Table 6'!BH15</f>
        <v>126291.20600000001</v>
      </c>
      <c r="BI15" s="314">
        <f>'Table 5'!BI15+'Table 6'!BI15</f>
        <v>2261.3785163034722</v>
      </c>
      <c r="BJ15" s="428">
        <f>'Table 5'!BJ15+'Table 6'!BJ15</f>
        <v>128867.40100000004</v>
      </c>
      <c r="BK15" s="429">
        <f>'Table 5'!BK15+'Table 6'!BK15</f>
        <v>2307.0621244623048</v>
      </c>
      <c r="BL15" s="430">
        <f t="shared" si="0"/>
        <v>2.020166364431053E-2</v>
      </c>
      <c r="BM15" s="432"/>
      <c r="BN15" s="13"/>
    </row>
    <row r="16" spans="1:66" ht="15" customHeight="1" x14ac:dyDescent="0.25">
      <c r="A16" s="382" t="str">
        <f>'Table 4'!A16</f>
        <v>Gilliam</v>
      </c>
      <c r="B16" s="328">
        <v>1049</v>
      </c>
      <c r="C16" s="331">
        <f>B16*2000/('Table 5'!B16*2000/'Table 5'!C16)</f>
        <v>1212.7167630057804</v>
      </c>
      <c r="D16" s="332">
        <v>2550</v>
      </c>
      <c r="E16" s="331">
        <f>D16*2000/('Table 5'!D16*2000/'Table 5'!E16)</f>
        <v>2965.1162790697676</v>
      </c>
      <c r="F16" s="332">
        <v>1328</v>
      </c>
      <c r="G16" s="331">
        <f>F16*2000/('Table 5'!F16*2000/'Table 5'!G16)</f>
        <v>1475.5555555555557</v>
      </c>
      <c r="H16" s="332">
        <v>1449</v>
      </c>
      <c r="I16" s="331">
        <f>H16*2000/('Table 5'!H16*2000/'Table 5'!I16)</f>
        <v>1618.9944134078212</v>
      </c>
      <c r="J16" s="332">
        <v>1459</v>
      </c>
      <c r="K16" s="331">
        <f>J16*2000/('Table 5'!J16*2000/'Table 5'!K16)</f>
        <v>1577.2972972972975</v>
      </c>
      <c r="L16" s="332">
        <v>1631.6</v>
      </c>
      <c r="M16" s="331">
        <f>L16*2000/('Table 5'!L16*2000/'Table 5'!M16)</f>
        <v>1773.478260869565</v>
      </c>
      <c r="N16" s="332">
        <v>1614.5</v>
      </c>
      <c r="O16" s="331">
        <f>N16*2000/('Table 5'!N16*2000/'Table 5'!O16)</f>
        <v>1717.5531914893618</v>
      </c>
      <c r="P16" s="383">
        <v>1708.2</v>
      </c>
      <c r="Q16" s="331">
        <f>P16*2000/('Table 5'!P16*2000/'Table 5'!Q16)</f>
        <v>1788.6910994764398</v>
      </c>
      <c r="R16" s="329">
        <v>1929</v>
      </c>
      <c r="S16" s="331">
        <v>2031</v>
      </c>
      <c r="T16" s="433">
        <v>1874</v>
      </c>
      <c r="U16" s="331">
        <v>1972</v>
      </c>
      <c r="V16" s="329">
        <v>1877.4</v>
      </c>
      <c r="W16" s="331">
        <v>1976.2105263157896</v>
      </c>
      <c r="X16" s="329">
        <v>2629.1590000000001</v>
      </c>
      <c r="Y16" s="331">
        <v>2767.5357894736844</v>
      </c>
      <c r="Z16" s="329">
        <v>2347.7280000000001</v>
      </c>
      <c r="AA16" s="331">
        <v>2471.2926315789473</v>
      </c>
      <c r="AB16" s="332">
        <v>2376.5940000000001</v>
      </c>
      <c r="AC16" s="333">
        <v>2514.9142857142861</v>
      </c>
      <c r="AD16" s="332">
        <v>2654.1849999999999</v>
      </c>
      <c r="AE16" s="333">
        <v>2816.1114058355438</v>
      </c>
      <c r="AF16" s="434">
        <v>2326.8200000000002</v>
      </c>
      <c r="AG16" s="435">
        <v>2468.7745358090187</v>
      </c>
      <c r="AH16" s="434">
        <v>2566.7109999999998</v>
      </c>
      <c r="AI16" s="435">
        <v>2725.3344815255255</v>
      </c>
      <c r="AJ16" s="329">
        <v>2842.0430000000001</v>
      </c>
      <c r="AK16" s="331">
        <v>3015.4302387267908</v>
      </c>
      <c r="AL16" s="329">
        <f>'Table 5'!AL16+'Table 6'!AL16</f>
        <v>2850.5459999999998</v>
      </c>
      <c r="AM16" s="331">
        <f>'Table 5'!AM16+'Table 6'!AM16</f>
        <v>3048.7122994652409</v>
      </c>
      <c r="AN16" s="436">
        <f>'Table 5'!AN16+'Table 6'!AN16</f>
        <v>2570.1290000000004</v>
      </c>
      <c r="AO16" s="331">
        <f>'Table 5'!AO16+'Table 6'!AO16</f>
        <v>2734.179787234043</v>
      </c>
      <c r="AP16" s="436">
        <f>'Table 5'!AP16+'Table 6'!AP16</f>
        <v>3810.1980000000003</v>
      </c>
      <c r="AQ16" s="331">
        <f>'Table 5'!AQ16+'Table 6'!AQ16</f>
        <v>4010.7347368421051</v>
      </c>
      <c r="AR16" s="436">
        <f>'Table 5'!AR16+'Table 6'!AR16</f>
        <v>3337.5190000000002</v>
      </c>
      <c r="AS16" s="331">
        <f>'Table 5'!AS16+'Table 6'!AS16</f>
        <v>3431.8961439588688</v>
      </c>
      <c r="AT16" s="329">
        <f>'Table 5'!AT16+'Table 6'!AT16</f>
        <v>2773.7809999999999</v>
      </c>
      <c r="AU16" s="329">
        <f>'Table 5'!AU16+'Table 6'!AU16</f>
        <v>2808.892151898734</v>
      </c>
      <c r="AV16" s="436">
        <f>'Table 5'!AV16+'Table 6'!AV16</f>
        <v>3025.502</v>
      </c>
      <c r="AW16" s="331">
        <f>'Table 5'!AW16+'Table 6'!AW16</f>
        <v>3063.7994936708865</v>
      </c>
      <c r="AX16" s="436">
        <f>'Table 5'!AX16+'Table 6'!AX16</f>
        <v>2605.0180000000009</v>
      </c>
      <c r="AY16" s="329">
        <f>'Table 5'!AY16+'Table 6'!AY16</f>
        <v>2631.3313131313143</v>
      </c>
      <c r="AZ16" s="436">
        <f>'Table 5'!AZ16+'Table 6'!AZ16</f>
        <v>2392.1420000000003</v>
      </c>
      <c r="BA16" s="329">
        <f>'Table 5'!BA16+'Table 6'!BA16</f>
        <v>2398.1373433583963</v>
      </c>
      <c r="BB16" s="436">
        <f>'Table 5'!BB16+'Table 6'!BB16</f>
        <v>4246.8379999999997</v>
      </c>
      <c r="BC16" s="329">
        <f>'Table 5'!BC16+'Table 6'!BC16</f>
        <v>4278.9299748110834</v>
      </c>
      <c r="BD16" s="436">
        <f>'Table 5'!BD16+'Table 6'!BD16</f>
        <v>2720.6809999999991</v>
      </c>
      <c r="BE16" s="329">
        <f>'Table 5'!BE16+'Table 6'!BE16</f>
        <v>2734.3527638190944</v>
      </c>
      <c r="BF16" s="436">
        <f>'Table 5'!BF16+'Table 6'!BF16</f>
        <v>2571.2070000000003</v>
      </c>
      <c r="BG16" s="329">
        <f>'Table 5'!BG16+'Table 6'!BG16</f>
        <v>2584.1276381909556</v>
      </c>
      <c r="BH16" s="436">
        <f>'Table 5'!BH16+'Table 6'!BH16</f>
        <v>2823.335</v>
      </c>
      <c r="BI16" s="329">
        <f>'Table 5'!BI16+'Table 6'!BI16</f>
        <v>2769.3330063756744</v>
      </c>
      <c r="BJ16" s="437">
        <f>'Table 5'!BJ16+'Table 6'!BJ16</f>
        <v>3682.8859999999995</v>
      </c>
      <c r="BK16" s="438">
        <f>'Table 5'!BK16+'Table 6'!BK16</f>
        <v>3556.2100625171329</v>
      </c>
      <c r="BL16" s="439">
        <f t="shared" si="0"/>
        <v>0.28413955791155399</v>
      </c>
      <c r="BM16" s="432"/>
      <c r="BN16" s="13"/>
    </row>
    <row r="17" spans="1:66" ht="15" customHeight="1" x14ac:dyDescent="0.25">
      <c r="A17" s="377" t="str">
        <f>'Table 4'!A17</f>
        <v>Grant</v>
      </c>
      <c r="B17" s="322">
        <v>5089</v>
      </c>
      <c r="C17" s="324">
        <f>B17*2000/('Table 5'!B17*2000/'Table 5'!C17)</f>
        <v>1294.910941475827</v>
      </c>
      <c r="D17" s="13">
        <v>4843</v>
      </c>
      <c r="E17" s="324">
        <f>D17*2000/('Table 5'!D17*2000/'Table 5'!E17)</f>
        <v>1221.4375788146278</v>
      </c>
      <c r="F17" s="13">
        <v>5501</v>
      </c>
      <c r="G17" s="324">
        <f>F17*2000/('Table 5'!F17*2000/'Table 5'!G17)</f>
        <v>1383.8993710691823</v>
      </c>
      <c r="H17" s="13">
        <v>4406</v>
      </c>
      <c r="I17" s="324">
        <f>H17*2000/('Table 5'!H17*2000/'Table 5'!I17)</f>
        <v>1100.1248439450687</v>
      </c>
      <c r="J17" s="13">
        <v>4179</v>
      </c>
      <c r="K17" s="324">
        <f>J17*2000/('Table 5'!J17*2000/'Table 5'!K17)</f>
        <v>1039.5522388059701</v>
      </c>
      <c r="L17" s="13">
        <v>3991</v>
      </c>
      <c r="M17" s="324">
        <f>L17*2000/('Table 5'!L17*2000/'Table 5'!M17)</f>
        <v>987.87128712871288</v>
      </c>
      <c r="N17" s="13">
        <v>3784.1</v>
      </c>
      <c r="O17" s="324">
        <f>N17*2000/('Table 5'!N17*2000/'Table 5'!O17)</f>
        <v>932.04433497536934</v>
      </c>
      <c r="P17" s="378">
        <v>4108.7</v>
      </c>
      <c r="Q17" s="324">
        <f>P17*2000/('Table 5'!P17*2000/'Table 5'!Q17)</f>
        <v>1033.6352201257862</v>
      </c>
      <c r="R17" s="388">
        <v>4232</v>
      </c>
      <c r="S17" s="389">
        <v>1065</v>
      </c>
      <c r="T17" s="440">
        <v>4687</v>
      </c>
      <c r="U17" s="389">
        <v>1202</v>
      </c>
      <c r="V17" s="388">
        <v>5248.2</v>
      </c>
      <c r="W17" s="389">
        <v>1354.3741935483872</v>
      </c>
      <c r="X17" s="388">
        <v>4670.308</v>
      </c>
      <c r="Y17" s="389">
        <v>1220.9955555555557</v>
      </c>
      <c r="Z17" s="388">
        <v>4941.8710000000001</v>
      </c>
      <c r="AA17" s="389">
        <v>1275.3215483870968</v>
      </c>
      <c r="AB17" s="336">
        <v>5897.9470000000001</v>
      </c>
      <c r="AC17" s="96">
        <v>1534.9243981782693</v>
      </c>
      <c r="AD17" s="13">
        <v>4973.4760000000006</v>
      </c>
      <c r="AE17" s="96">
        <v>1303.6634338138924</v>
      </c>
      <c r="AF17" s="441">
        <v>5546.2219999999998</v>
      </c>
      <c r="AG17" s="442">
        <v>1463.3831134564643</v>
      </c>
      <c r="AH17" s="441">
        <v>5269.0689999999995</v>
      </c>
      <c r="AI17" s="442">
        <v>1399.8094054639373</v>
      </c>
      <c r="AJ17" s="388">
        <v>4896.2030000000004</v>
      </c>
      <c r="AK17" s="389">
        <v>1301.3164119601329</v>
      </c>
      <c r="AL17" s="388">
        <f>'Table 5'!AL17+'Table 6'!AL17</f>
        <v>5000.601999999999</v>
      </c>
      <c r="AM17" s="389">
        <f>'Table 5'!AM17+'Table 6'!AM17</f>
        <v>1340.643967828418</v>
      </c>
      <c r="AN17" s="443">
        <f>'Table 5'!AN17+'Table 6'!AN17</f>
        <v>5347.4629999999997</v>
      </c>
      <c r="AO17" s="389">
        <f>'Table 5'!AO17+'Table 6'!AO17</f>
        <v>1435.5605369127516</v>
      </c>
      <c r="AP17" s="443">
        <f>'Table 5'!AP17+'Table 6'!AP17</f>
        <v>4427.2830000000004</v>
      </c>
      <c r="AQ17" s="389">
        <f>'Table 5'!AQ17+'Table 6'!AQ17</f>
        <v>1188.5323489932885</v>
      </c>
      <c r="AR17" s="443">
        <f>'Table 5'!AR17+'Table 6'!AR17</f>
        <v>4806.8279999999995</v>
      </c>
      <c r="AS17" s="389">
        <f>'Table 5'!AS17+'Table 6'!AS17</f>
        <v>1293.0270342972428</v>
      </c>
      <c r="AT17" s="388">
        <f>'Table 5'!AT17+'Table 6'!AT17</f>
        <v>4568.192</v>
      </c>
      <c r="AU17" s="388">
        <f>'Table 5'!AU17+'Table 6'!AU17</f>
        <v>1230.4894276094276</v>
      </c>
      <c r="AV17" s="443">
        <f>'Table 5'!AV17+'Table 6'!AV17</f>
        <v>5043.3490000000002</v>
      </c>
      <c r="AW17" s="389">
        <f>'Table 5'!AW17+'Table 6'!AW17</f>
        <v>1357.5636608344548</v>
      </c>
      <c r="AX17" s="443">
        <f>'Table 5'!AX17+'Table 6'!AX17</f>
        <v>5324.5450000000001</v>
      </c>
      <c r="AY17" s="388">
        <f>'Table 5'!AY17+'Table 6'!AY17</f>
        <v>1437.1241565452092</v>
      </c>
      <c r="AZ17" s="443">
        <f>'Table 5'!AZ17+'Table 6'!AZ17</f>
        <v>4940.8579999999993</v>
      </c>
      <c r="BA17" s="388">
        <f>'Table 5'!BA17+'Table 6'!BA17</f>
        <v>1332.6656776803775</v>
      </c>
      <c r="BB17" s="443">
        <f>'Table 5'!BB17+'Table 6'!BB17</f>
        <v>5083.0369999999994</v>
      </c>
      <c r="BC17" s="388">
        <f>'Table 5'!BC17+'Table 6'!BC17</f>
        <v>1373.7937837837835</v>
      </c>
      <c r="BD17" s="443">
        <f>'Table 5'!BD17+'Table 6'!BD17</f>
        <v>5150.5159999999996</v>
      </c>
      <c r="BE17" s="388">
        <f>'Table 5'!BE17+'Table 6'!BE17</f>
        <v>1399.5967391304346</v>
      </c>
      <c r="BF17" s="443">
        <f>'Table 5'!BF17+'Table 6'!BF17</f>
        <v>5435.8139999999994</v>
      </c>
      <c r="BG17" s="388">
        <f>'Table 5'!BG17+'Table 6'!BG17</f>
        <v>1486.2102529049898</v>
      </c>
      <c r="BH17" s="443">
        <f>'Table 5'!BH17+'Table 6'!BH17</f>
        <v>5511.2459999999992</v>
      </c>
      <c r="BI17" s="388">
        <f>'Table 5'!BI17+'Table 6'!BI17</f>
        <v>1525.3933019651256</v>
      </c>
      <c r="BJ17" s="444">
        <f>'Table 5'!BJ17+'Table 6'!BJ17</f>
        <v>5677.4659999999994</v>
      </c>
      <c r="BK17" s="445">
        <f>'Table 5'!BK17+'Table 6'!BK17</f>
        <v>1547.5668453742746</v>
      </c>
      <c r="BL17" s="430">
        <f t="shared" si="0"/>
        <v>1.4536279515967143E-2</v>
      </c>
      <c r="BM17" s="432"/>
      <c r="BN17" s="13"/>
    </row>
    <row r="18" spans="1:66" ht="15" customHeight="1" x14ac:dyDescent="0.25">
      <c r="A18" s="377" t="str">
        <f>'Table 4'!A18</f>
        <v>Harney</v>
      </c>
      <c r="B18" s="322">
        <v>3249</v>
      </c>
      <c r="C18" s="324">
        <f>B18*2000/('Table 5'!B18*2000/'Table 5'!C18)</f>
        <v>926.96148359486449</v>
      </c>
      <c r="D18" s="13">
        <v>3253</v>
      </c>
      <c r="E18" s="324">
        <f>D18*2000/('Table 5'!D18*2000/'Table 5'!E18)</f>
        <v>921.52974504249278</v>
      </c>
      <c r="F18" s="13">
        <v>3227</v>
      </c>
      <c r="G18" s="324">
        <f>F18*2000/('Table 5'!F18*2000/'Table 5'!G18)</f>
        <v>892.66943291839561</v>
      </c>
      <c r="H18" s="13">
        <v>3312</v>
      </c>
      <c r="I18" s="324">
        <f>H18*2000/('Table 5'!H18*2000/'Table 5'!I18)</f>
        <v>914.91712707182319</v>
      </c>
      <c r="J18" s="13">
        <v>2804</v>
      </c>
      <c r="K18" s="324">
        <f>J18*2000/('Table 5'!J18*2000/'Table 5'!K18)</f>
        <v>778.88888888888891</v>
      </c>
      <c r="L18" s="13">
        <v>2857.9</v>
      </c>
      <c r="M18" s="324">
        <f>L18*2000/('Table 5'!L18*2000/'Table 5'!M18)</f>
        <v>793.86111111111097</v>
      </c>
      <c r="N18" s="13">
        <v>2715.1</v>
      </c>
      <c r="O18" s="324">
        <f>N18*2000/('Table 5'!N18*2000/'Table 5'!O18)</f>
        <v>731.83288409703505</v>
      </c>
      <c r="P18" s="378">
        <v>5002</v>
      </c>
      <c r="Q18" s="324">
        <f>P18*2000/('Table 5'!P18*2000/'Table 5'!Q18)</f>
        <v>1326.7904509283819</v>
      </c>
      <c r="R18" s="314">
        <v>3966</v>
      </c>
      <c r="S18" s="324">
        <v>1044</v>
      </c>
      <c r="T18" s="424">
        <v>3968</v>
      </c>
      <c r="U18" s="324">
        <v>1044</v>
      </c>
      <c r="V18" s="314">
        <v>3988.5</v>
      </c>
      <c r="W18" s="324">
        <v>1049.6052631578948</v>
      </c>
      <c r="X18" s="314">
        <v>3782.3050000000003</v>
      </c>
      <c r="Y18" s="324">
        <v>1036.2479452054795</v>
      </c>
      <c r="Z18" s="314">
        <v>3858.8429999999998</v>
      </c>
      <c r="AA18" s="324">
        <v>1008.8478431372548</v>
      </c>
      <c r="AB18" s="13">
        <v>4287.518</v>
      </c>
      <c r="AC18" s="96">
        <v>1119.4563968668408</v>
      </c>
      <c r="AD18" s="13">
        <v>4163.1080000000002</v>
      </c>
      <c r="AE18" s="96">
        <v>1085.5561929595829</v>
      </c>
      <c r="AF18" s="425">
        <v>4781.5479999999998</v>
      </c>
      <c r="AG18" s="426">
        <v>1245.1947916666668</v>
      </c>
      <c r="AH18" s="425">
        <v>4653.2759999999998</v>
      </c>
      <c r="AI18" s="426">
        <v>1207.8756028962587</v>
      </c>
      <c r="AJ18" s="314">
        <v>4002.3199999999997</v>
      </c>
      <c r="AK18" s="324">
        <v>1037.5424497731692</v>
      </c>
      <c r="AL18" s="314">
        <f>'Table 5'!AL18+'Table 6'!AL18</f>
        <v>4274.42</v>
      </c>
      <c r="AM18" s="324">
        <f>'Table 5'!AM18+'Table 6'!AM18</f>
        <v>1148.2659503022162</v>
      </c>
      <c r="AN18" s="427">
        <f>'Table 5'!AN18+'Table 6'!AN18</f>
        <v>4370.0960000000005</v>
      </c>
      <c r="AO18" s="324">
        <f>'Table 5'!AO18+'Table 6'!AO18</f>
        <v>1185.110779661017</v>
      </c>
      <c r="AP18" s="427">
        <f>'Table 5'!AP18+'Table 6'!AP18</f>
        <v>4976.6710000000003</v>
      </c>
      <c r="AQ18" s="324">
        <f>'Table 5'!AQ18+'Table 6'!AQ18</f>
        <v>1360.6755980861244</v>
      </c>
      <c r="AR18" s="427">
        <f>'Table 5'!AR18+'Table 6'!AR18</f>
        <v>4791.2209999999995</v>
      </c>
      <c r="AS18" s="324">
        <f>'Table 5'!AS18+'Table 6'!AS18</f>
        <v>1319.8955922865014</v>
      </c>
      <c r="AT18" s="314">
        <f>'Table 5'!AT18+'Table 6'!AT18</f>
        <v>4935.6909999999998</v>
      </c>
      <c r="AU18" s="314">
        <f>'Table 5'!AU18+'Table 6'!AU18</f>
        <v>1358.758706125258</v>
      </c>
      <c r="AV18" s="427">
        <f>'Table 5'!AV18+'Table 6'!AV18</f>
        <v>4970.4409999999998</v>
      </c>
      <c r="AW18" s="324">
        <f>'Table 5'!AW18+'Table 6'!AW18</f>
        <v>1362.6980123372173</v>
      </c>
      <c r="AX18" s="427">
        <f>'Table 5'!AX18+'Table 6'!AX18</f>
        <v>5191.3710000000001</v>
      </c>
      <c r="AY18" s="314">
        <f>'Table 5'!AY18+'Table 6'!AY18</f>
        <v>1418.4073770491805</v>
      </c>
      <c r="AZ18" s="427">
        <f>'Table 5'!AZ18+'Table 6'!AZ18</f>
        <v>5421.6729999999998</v>
      </c>
      <c r="BA18" s="314">
        <f>'Table 5'!BA18+'Table 6'!BA18</f>
        <v>1473.2807065217389</v>
      </c>
      <c r="BB18" s="427">
        <f>'Table 5'!BB18+'Table 6'!BB18</f>
        <v>5638.2550000000001</v>
      </c>
      <c r="BC18" s="314">
        <f>'Table 5'!BC18+'Table 6'!BC18</f>
        <v>1527.9823848238482</v>
      </c>
      <c r="BD18" s="427">
        <f>'Table 5'!BD18+'Table 6'!BD18</f>
        <v>5586.9280000000017</v>
      </c>
      <c r="BE18" s="314">
        <f>'Table 5'!BE18+'Table 6'!BE18</f>
        <v>1518.1869565217394</v>
      </c>
      <c r="BF18" s="427">
        <f>'Table 5'!BF18+'Table 6'!BF18</f>
        <v>6177.5409999999993</v>
      </c>
      <c r="BG18" s="314">
        <f>'Table 5'!BG18+'Table 6'!BG18</f>
        <v>1697.1266483516483</v>
      </c>
      <c r="BH18" s="427">
        <f>'Table 5'!BH18+'Table 6'!BH18</f>
        <v>6471.1260000000002</v>
      </c>
      <c r="BI18" s="314">
        <f>'Table 5'!BI18+'Table 6'!BI18</f>
        <v>1717.1622661536419</v>
      </c>
      <c r="BJ18" s="428">
        <f>'Table 5'!BJ18+'Table 6'!BJ18</f>
        <v>5894.2149999999992</v>
      </c>
      <c r="BK18" s="429">
        <f>'Table 5'!BK18+'Table 6'!BK18</f>
        <v>1543.0582586068608</v>
      </c>
      <c r="BL18" s="430">
        <f t="shared" si="0"/>
        <v>-0.10139053890158289</v>
      </c>
      <c r="BM18" s="432"/>
      <c r="BN18" s="13"/>
    </row>
    <row r="19" spans="1:66" ht="15" customHeight="1" x14ac:dyDescent="0.25">
      <c r="A19" s="377" t="str">
        <f>'Table 4'!A19</f>
        <v>Hood River</v>
      </c>
      <c r="B19" s="322">
        <v>11814</v>
      </c>
      <c r="C19" s="324">
        <f>B19*2000/('Table 5'!B19*2000/'Table 5'!C19)</f>
        <v>1351.7162471395882</v>
      </c>
      <c r="D19" s="13">
        <v>12841</v>
      </c>
      <c r="E19" s="324">
        <f>D19*2000/('Table 5'!D19*2000/'Table 5'!E19)</f>
        <v>1430.7520891364902</v>
      </c>
      <c r="F19" s="13">
        <v>12817</v>
      </c>
      <c r="G19" s="324">
        <f>F19*2000/('Table 5'!F19*2000/'Table 5'!G19)</f>
        <v>1394.6681175190424</v>
      </c>
      <c r="H19" s="13">
        <v>19700</v>
      </c>
      <c r="I19" s="324">
        <f>H19*2000/('Table 5'!H19*2000/'Table 5'!I19)</f>
        <v>2085.7596611964004</v>
      </c>
      <c r="J19" s="13">
        <v>19349</v>
      </c>
      <c r="K19" s="324">
        <f>J19*2000/('Table 5'!J19*2000/'Table 5'!K19)</f>
        <v>2004.0393578456758</v>
      </c>
      <c r="L19" s="13">
        <v>18183.2</v>
      </c>
      <c r="M19" s="324">
        <f>L19*2000/('Table 5'!L19*2000/'Table 5'!M19)</f>
        <v>1865.9004617752694</v>
      </c>
      <c r="N19" s="13">
        <v>18043.400000000001</v>
      </c>
      <c r="O19" s="324">
        <f>N19*2000/('Table 5'!N19*2000/'Table 5'!O19)</f>
        <v>1815.2313883299798</v>
      </c>
      <c r="P19" s="378">
        <v>19716.5</v>
      </c>
      <c r="Q19" s="324">
        <f>P19*2000/('Table 5'!P19*2000/'Table 5'!Q19)</f>
        <v>1948.2707509881423</v>
      </c>
      <c r="R19" s="314">
        <v>19144</v>
      </c>
      <c r="S19" s="324">
        <v>1868</v>
      </c>
      <c r="T19" s="424">
        <v>21914</v>
      </c>
      <c r="U19" s="324">
        <v>2128</v>
      </c>
      <c r="V19" s="314">
        <v>23696.400000000001</v>
      </c>
      <c r="W19" s="324">
        <v>2317.4963325183376</v>
      </c>
      <c r="X19" s="314">
        <v>25070.986999999994</v>
      </c>
      <c r="Y19" s="324">
        <v>2445.9499512195116</v>
      </c>
      <c r="Z19" s="314">
        <v>26741.651999999998</v>
      </c>
      <c r="AA19" s="324">
        <v>2540.7745368171022</v>
      </c>
      <c r="AB19" s="13">
        <v>27106.618000000002</v>
      </c>
      <c r="AC19" s="96">
        <v>2559.6428706326724</v>
      </c>
      <c r="AD19" s="13">
        <v>27819.648000000001</v>
      </c>
      <c r="AE19" s="96">
        <v>2607.8882587297867</v>
      </c>
      <c r="AF19" s="425">
        <v>28329.625</v>
      </c>
      <c r="AG19" s="426">
        <v>2638.9962738705171</v>
      </c>
      <c r="AH19" s="425">
        <v>26513.932000000001</v>
      </c>
      <c r="AI19" s="426">
        <v>2452.1895148490335</v>
      </c>
      <c r="AJ19" s="314">
        <v>25437.752999999997</v>
      </c>
      <c r="AK19" s="324">
        <v>2341.7954430379746</v>
      </c>
      <c r="AL19" s="314">
        <f>'Table 5'!AL19+'Table 6'!AL19</f>
        <v>24186.355</v>
      </c>
      <c r="AM19" s="324">
        <f>'Table 5'!AM19+'Table 6'!AM19</f>
        <v>2160.9430422157693</v>
      </c>
      <c r="AN19" s="427">
        <f>'Table 5'!AN19+'Table 6'!AN19</f>
        <v>27761.480000000003</v>
      </c>
      <c r="AO19" s="324">
        <f>'Table 5'!AO19+'Table 6'!AO19</f>
        <v>2454.0534806629839</v>
      </c>
      <c r="AP19" s="427">
        <f>'Table 5'!AP19+'Table 6'!AP19</f>
        <v>24830.621999999999</v>
      </c>
      <c r="AQ19" s="324">
        <f>'Table 5'!AQ19+'Table 6'!AQ19</f>
        <v>2170.9833442622948</v>
      </c>
      <c r="AR19" s="427">
        <f>'Table 5'!AR19+'Table 6'!AR19</f>
        <v>24377.297999999999</v>
      </c>
      <c r="AS19" s="324">
        <f>'Table 5'!AS19+'Table 6'!AS19</f>
        <v>2092.9210560206052</v>
      </c>
      <c r="AT19" s="314">
        <f>'Table 5'!AT19+'Table 6'!AT19</f>
        <v>23876.462</v>
      </c>
      <c r="AU19" s="314">
        <f>'Table 5'!AU19+'Table 6'!AU19</f>
        <v>2012.34403708386</v>
      </c>
      <c r="AV19" s="427">
        <f>'Table 5'!AV19+'Table 6'!AV19</f>
        <v>26389.445</v>
      </c>
      <c r="AW19" s="324">
        <f>'Table 5'!AW19+'Table 6'!AW19</f>
        <v>2176.8979170963084</v>
      </c>
      <c r="AX19" s="427">
        <f>'Table 5'!AX19+'Table 6'!AX19</f>
        <v>27624.472000000002</v>
      </c>
      <c r="AY19" s="314">
        <f>'Table 5'!AY19+'Table 6'!AY19</f>
        <v>2233.6342834040834</v>
      </c>
      <c r="AZ19" s="427">
        <f>'Table 5'!AZ19+'Table 6'!AZ19</f>
        <v>29636.112999999998</v>
      </c>
      <c r="BA19" s="314">
        <f>'Table 5'!BA19+'Table 6'!BA19</f>
        <v>2357.2171803539468</v>
      </c>
      <c r="BB19" s="427">
        <f>'Table 5'!BB19+'Table 6'!BB19</f>
        <v>30220.366000000005</v>
      </c>
      <c r="BC19" s="314">
        <f>'Table 5'!BC19+'Table 6'!BC19</f>
        <v>2388.0178585539315</v>
      </c>
      <c r="BD19" s="427">
        <f>'Table 5'!BD19+'Table 6'!BD19</f>
        <v>31044.137000000002</v>
      </c>
      <c r="BE19" s="314">
        <f>'Table 5'!BE19+'Table 6'!BE19</f>
        <v>2436.7454474097335</v>
      </c>
      <c r="BF19" s="427">
        <f>'Table 5'!BF19+'Table 6'!BF19</f>
        <v>30748.784999999996</v>
      </c>
      <c r="BG19" s="314">
        <f>'Table 5'!BG19+'Table 6'!BG19</f>
        <v>2398.5011700468017</v>
      </c>
      <c r="BH19" s="427">
        <f>'Table 5'!BH19+'Table 6'!BH19</f>
        <v>32647.320999999996</v>
      </c>
      <c r="BI19" s="314">
        <f>'Table 5'!BI19+'Table 6'!BI19</f>
        <v>2733.3657903549893</v>
      </c>
      <c r="BJ19" s="428">
        <f>'Table 5'!BJ19+'Table 6'!BJ19</f>
        <v>34965.500000000007</v>
      </c>
      <c r="BK19" s="429">
        <f>'Table 5'!BK19+'Table 6'!BK19</f>
        <v>2926.7428773048728</v>
      </c>
      <c r="BL19" s="430">
        <f t="shared" si="0"/>
        <v>7.0746874652575897E-2</v>
      </c>
      <c r="BM19" s="432"/>
      <c r="BN19" s="13"/>
    </row>
    <row r="20" spans="1:66" ht="15" customHeight="1" x14ac:dyDescent="0.25">
      <c r="A20" s="377" t="str">
        <f>'Table 4'!A20</f>
        <v>Jackson</v>
      </c>
      <c r="B20" s="322">
        <v>115135</v>
      </c>
      <c r="C20" s="324">
        <f>B20*2000/('Table 5'!B20*2000/'Table 5'!C20)</f>
        <v>1486.1882018846004</v>
      </c>
      <c r="D20" s="13">
        <v>124034</v>
      </c>
      <c r="E20" s="324">
        <f>D20*2000/('Table 5'!D20*2000/'Table 5'!E20)</f>
        <v>1559.9798767450636</v>
      </c>
      <c r="F20" s="13">
        <v>166517</v>
      </c>
      <c r="G20" s="324">
        <f>F20*2000/('Table 5'!F20*2000/'Table 5'!G20)</f>
        <v>2037.0297877546027</v>
      </c>
      <c r="H20" s="13">
        <v>166243</v>
      </c>
      <c r="I20" s="324">
        <f>H20*2000/('Table 5'!H20*2000/'Table 5'!I20)</f>
        <v>1987.0077093169186</v>
      </c>
      <c r="J20" s="13">
        <v>175303</v>
      </c>
      <c r="K20" s="324">
        <f>J20*2000/('Table 5'!J20*2000/'Table 5'!K20)</f>
        <v>2054.4122817297553</v>
      </c>
      <c r="L20" s="13">
        <v>195376.5</v>
      </c>
      <c r="M20" s="324">
        <f>L20*2000/('Table 5'!L20*2000/'Table 5'!M20)</f>
        <v>2252.6980283638877</v>
      </c>
      <c r="N20" s="13">
        <v>207880.6</v>
      </c>
      <c r="O20" s="324">
        <f>N20*2000/('Table 5'!N20*2000/'Table 5'!O20)</f>
        <v>2354.6536784278192</v>
      </c>
      <c r="P20" s="378">
        <v>212159.6</v>
      </c>
      <c r="Q20" s="324">
        <f>P20*2000/('Table 5'!P20*2000/'Table 5'!Q20)</f>
        <v>2362.4475251934746</v>
      </c>
      <c r="R20" s="314">
        <v>229001</v>
      </c>
      <c r="S20" s="324">
        <v>2514</v>
      </c>
      <c r="T20" s="424">
        <v>224228</v>
      </c>
      <c r="U20" s="324">
        <v>2428</v>
      </c>
      <c r="V20" s="314">
        <v>244147.8</v>
      </c>
      <c r="W20" s="324">
        <v>2602.855010660981</v>
      </c>
      <c r="X20" s="314">
        <v>259746.95499999996</v>
      </c>
      <c r="Y20" s="324">
        <v>2747.1914859862504</v>
      </c>
      <c r="Z20" s="314">
        <v>268179.62</v>
      </c>
      <c r="AA20" s="324">
        <v>2805.226150627615</v>
      </c>
      <c r="AB20" s="13">
        <v>268735.14</v>
      </c>
      <c r="AC20" s="96">
        <v>2763.130247024651</v>
      </c>
      <c r="AD20" s="13">
        <v>275210.43300000002</v>
      </c>
      <c r="AE20" s="96">
        <v>2771.2955516954912</v>
      </c>
      <c r="AF20" s="425">
        <v>264484.31200000003</v>
      </c>
      <c r="AG20" s="426">
        <v>2614.6439820078099</v>
      </c>
      <c r="AH20" s="425">
        <v>235966.69</v>
      </c>
      <c r="AI20" s="426">
        <v>2298.7066557845815</v>
      </c>
      <c r="AJ20" s="314">
        <v>222758.56900000002</v>
      </c>
      <c r="AK20" s="324">
        <v>2152.1527365827737</v>
      </c>
      <c r="AL20" s="314">
        <f>'Table 5'!AL20+'Table 6'!AL20</f>
        <v>244303.92800000001</v>
      </c>
      <c r="AM20" s="324">
        <f>'Table 5'!AM20+'Table 6'!AM20</f>
        <v>2402.9106717812529</v>
      </c>
      <c r="AN20" s="427">
        <f>'Table 5'!AN20+'Table 6'!AN20</f>
        <v>239551.77000000002</v>
      </c>
      <c r="AO20" s="324">
        <f>'Table 5'!AO20+'Table 6'!AO20</f>
        <v>2349.1225300318706</v>
      </c>
      <c r="AP20" s="427">
        <f>'Table 5'!AP20+'Table 6'!AP20</f>
        <v>251230.33000000002</v>
      </c>
      <c r="AQ20" s="324">
        <f>'Table 5'!AQ20+'Table 6'!AQ20</f>
        <v>2455.4594145530959</v>
      </c>
      <c r="AR20" s="427">
        <f>'Table 5'!AR20+'Table 6'!AR20</f>
        <v>245381.81100000002</v>
      </c>
      <c r="AS20" s="324">
        <f>'Table 5'!AS20+'Table 6'!AS20</f>
        <v>2378.7679802239345</v>
      </c>
      <c r="AT20" s="314">
        <f>'Table 5'!AT20+'Table 6'!AT20</f>
        <v>266209.152</v>
      </c>
      <c r="AU20" s="314">
        <f>'Table 5'!AU20+'Table 6'!AU20</f>
        <v>2555.0968398320338</v>
      </c>
      <c r="AV20" s="427">
        <f>'Table 5'!AV20+'Table 6'!AV20</f>
        <v>261357.07699999999</v>
      </c>
      <c r="AW20" s="324">
        <f>'Table 5'!AW20+'Table 6'!AW20</f>
        <v>2477.6118213058417</v>
      </c>
      <c r="AX20" s="427">
        <f>'Table 5'!AX20+'Table 6'!AX20</f>
        <v>286478.69200000004</v>
      </c>
      <c r="AY20" s="314">
        <f>'Table 5'!AY20+'Table 6'!AY20</f>
        <v>2680.3142890557388</v>
      </c>
      <c r="AZ20" s="427">
        <f>'Table 5'!AZ20+'Table 6'!AZ20</f>
        <v>290575.30600000004</v>
      </c>
      <c r="BA20" s="314">
        <f>'Table 5'!BA20+'Table 6'!BA20</f>
        <v>2679.3481420009225</v>
      </c>
      <c r="BB20" s="427">
        <f>'Table 5'!BB20+'Table 6'!BB20</f>
        <v>291388.848</v>
      </c>
      <c r="BC20" s="314">
        <f>'Table 5'!BC20+'Table 6'!BC20</f>
        <v>2658.6573722627736</v>
      </c>
      <c r="BD20" s="427">
        <f>'Table 5'!BD20+'Table 6'!BD20</f>
        <v>318074.65600000002</v>
      </c>
      <c r="BE20" s="314">
        <f>'Table 5'!BE20+'Table 6'!BE20</f>
        <v>2874.7314022323653</v>
      </c>
      <c r="BF20" s="427">
        <f>'Table 5'!BF20+'Table 6'!BF20</f>
        <v>338009.321</v>
      </c>
      <c r="BG20" s="314">
        <f>'Table 5'!BG20+'Table 6'!BG20</f>
        <v>3028.2146658304964</v>
      </c>
      <c r="BH20" s="427">
        <f>'Table 5'!BH20+'Table 6'!BH20</f>
        <v>540655.56400000001</v>
      </c>
      <c r="BI20" s="314">
        <f>'Table 5'!BI20+'Table 6'!BI20</f>
        <v>4831.012916225478</v>
      </c>
      <c r="BJ20" s="428">
        <f>'Table 5'!BJ20+'Table 6'!BJ20</f>
        <v>340469.67599999998</v>
      </c>
      <c r="BK20" s="429">
        <f>'Table 5'!BK20+'Table 6'!BK20</f>
        <v>3039.731409677398</v>
      </c>
      <c r="BL20" s="430">
        <f t="shared" si="0"/>
        <v>-0.37078797709935074</v>
      </c>
      <c r="BM20" s="432"/>
      <c r="BN20" s="13"/>
    </row>
    <row r="21" spans="1:66" ht="15" customHeight="1" x14ac:dyDescent="0.25">
      <c r="A21" s="382" t="str">
        <f>'Table 4'!A21</f>
        <v>Jefferson</v>
      </c>
      <c r="B21" s="328">
        <v>6082</v>
      </c>
      <c r="C21" s="331">
        <f>B21*2000/('Table 5'!B21*2000/'Table 5'!C21)</f>
        <v>814.73543201607515</v>
      </c>
      <c r="D21" s="332">
        <v>7979</v>
      </c>
      <c r="E21" s="331">
        <f>D21*2000/('Table 5'!D21*2000/'Table 5'!E21)</f>
        <v>1033.5492227979273</v>
      </c>
      <c r="F21" s="332">
        <v>10218</v>
      </c>
      <c r="G21" s="331">
        <f>F21*2000/('Table 5'!F21*2000/'Table 5'!G21)</f>
        <v>1250.673194614443</v>
      </c>
      <c r="H21" s="332">
        <v>10794</v>
      </c>
      <c r="I21" s="331">
        <f>H21*2000/('Table 5'!H21*2000/'Table 5'!I21)</f>
        <v>1269.1358024691358</v>
      </c>
      <c r="J21" s="332">
        <v>11047</v>
      </c>
      <c r="K21" s="331">
        <f>J21*2000/('Table 5'!J21*2000/'Table 5'!K21)</f>
        <v>1271.9631548647092</v>
      </c>
      <c r="L21" s="332">
        <v>12763.6</v>
      </c>
      <c r="M21" s="331">
        <f>L21*2000/('Table 5'!L21*2000/'Table 5'!M21)</f>
        <v>1419.7552836484983</v>
      </c>
      <c r="N21" s="332">
        <v>13048.2</v>
      </c>
      <c r="O21" s="331">
        <f>N21*2000/('Table 5'!N21*2000/'Table 5'!O21)</f>
        <v>1418.2826086956522</v>
      </c>
      <c r="P21" s="383">
        <v>12562.8</v>
      </c>
      <c r="Q21" s="331">
        <f>P21*2000/('Table 5'!P21*2000/'Table 5'!Q21)</f>
        <v>1342.1794871794871</v>
      </c>
      <c r="R21" s="329">
        <v>13550</v>
      </c>
      <c r="S21" s="331">
        <v>1415</v>
      </c>
      <c r="T21" s="433">
        <v>14892</v>
      </c>
      <c r="U21" s="331">
        <v>1536</v>
      </c>
      <c r="V21" s="329">
        <v>14804.4</v>
      </c>
      <c r="W21" s="331">
        <v>1491.6272040302267</v>
      </c>
      <c r="X21" s="329">
        <v>13433.292000000001</v>
      </c>
      <c r="Y21" s="331">
        <v>1350.0795979899497</v>
      </c>
      <c r="Z21" s="329">
        <v>18839.873000000003</v>
      </c>
      <c r="AA21" s="331">
        <v>1860.7281975308642</v>
      </c>
      <c r="AB21" s="332">
        <v>20451.319</v>
      </c>
      <c r="AC21" s="333">
        <v>1985.5649514563106</v>
      </c>
      <c r="AD21" s="332">
        <v>19891.555</v>
      </c>
      <c r="AE21" s="333">
        <v>1858.155534796824</v>
      </c>
      <c r="AF21" s="434">
        <v>22379.893</v>
      </c>
      <c r="AG21" s="435">
        <v>2031.7651384475716</v>
      </c>
      <c r="AH21" s="434">
        <v>18459.73</v>
      </c>
      <c r="AI21" s="435">
        <v>1644.4912017902284</v>
      </c>
      <c r="AJ21" s="329">
        <v>14593.448</v>
      </c>
      <c r="AK21" s="331">
        <v>1284.9172793308387</v>
      </c>
      <c r="AL21" s="329">
        <f>'Table 5'!AL21+'Table 6'!AL21</f>
        <v>17687.829999999998</v>
      </c>
      <c r="AM21" s="331">
        <f>'Table 5'!AM21+'Table 6'!AM21</f>
        <v>1626.4671264367814</v>
      </c>
      <c r="AN21" s="436">
        <f>'Table 5'!AN21+'Table 6'!AN21</f>
        <v>18355.762000000002</v>
      </c>
      <c r="AO21" s="331">
        <f>'Table 5'!AO21+'Table 6'!AO21</f>
        <v>1680.5458457312884</v>
      </c>
      <c r="AP21" s="436">
        <f>'Table 5'!AP21+'Table 6'!AP21</f>
        <v>18392.597999999998</v>
      </c>
      <c r="AQ21" s="331">
        <f>'Table 5'!AQ21+'Table 6'!AQ21</f>
        <v>1676.6269826800367</v>
      </c>
      <c r="AR21" s="436">
        <f>'Table 5'!AR21+'Table 6'!AR21</f>
        <v>17554.306</v>
      </c>
      <c r="AS21" s="331">
        <f>'Table 5'!AS21+'Table 6'!AS21</f>
        <v>1592.9497277676951</v>
      </c>
      <c r="AT21" s="329">
        <f>'Table 5'!AT21+'Table 6'!AT21</f>
        <v>16283.54</v>
      </c>
      <c r="AU21" s="329">
        <f>'Table 5'!AU21+'Table 6'!AU21</f>
        <v>1466.6552578248143</v>
      </c>
      <c r="AV21" s="436">
        <f>'Table 5'!AV21+'Table 6'!AV21</f>
        <v>16440.035</v>
      </c>
      <c r="AW21" s="331">
        <f>'Table 5'!AW21+'Table 6'!AW21</f>
        <v>1464.9173535308532</v>
      </c>
      <c r="AX21" s="436">
        <f>'Table 5'!AX21+'Table 6'!AX21</f>
        <v>19511.882000000001</v>
      </c>
      <c r="AY21" s="329">
        <f>'Table 5'!AY21+'Table 6'!AY21</f>
        <v>1712.3196138657306</v>
      </c>
      <c r="AZ21" s="436">
        <f>'Table 5'!AZ21+'Table 6'!AZ21</f>
        <v>20452.519999999997</v>
      </c>
      <c r="BA21" s="329">
        <f>'Table 5'!BA21+'Table 6'!BA21</f>
        <v>1763.9085812850362</v>
      </c>
      <c r="BB21" s="436">
        <f>'Table 5'!BB21+'Table 6'!BB21</f>
        <v>20647.983999999997</v>
      </c>
      <c r="BC21" s="329">
        <f>'Table 5'!BC21+'Table 6'!BC21</f>
        <v>1752.7999999999997</v>
      </c>
      <c r="BD21" s="436">
        <f>'Table 5'!BD21+'Table 6'!BD21</f>
        <v>17578.225000000006</v>
      </c>
      <c r="BE21" s="329">
        <f>'Table 5'!BE21+'Table 6'!BE21</f>
        <v>1474.683305369128</v>
      </c>
      <c r="BF21" s="436">
        <f>'Table 5'!BF21+'Table 6'!BF21</f>
        <v>20956.060999999991</v>
      </c>
      <c r="BG21" s="329">
        <f>'Table 5'!BG21+'Table 6'!BG21</f>
        <v>1738.731466500725</v>
      </c>
      <c r="BH21" s="436">
        <f>'Table 5'!BH21+'Table 6'!BH21</f>
        <v>23644.102000000003</v>
      </c>
      <c r="BI21" s="329">
        <f>'Table 5'!BI21+'Table 6'!BI21</f>
        <v>1899.964000160714</v>
      </c>
      <c r="BJ21" s="437">
        <f>'Table 5'!BJ21+'Table 6'!BJ21</f>
        <v>27463.201999999997</v>
      </c>
      <c r="BK21" s="438">
        <f>'Table 5'!BK21+'Table 6'!BK21</f>
        <v>2162.132174694093</v>
      </c>
      <c r="BL21" s="439">
        <f t="shared" si="0"/>
        <v>0.13798586421174441</v>
      </c>
      <c r="BM21" s="432"/>
      <c r="BN21" s="13"/>
    </row>
    <row r="22" spans="1:66" ht="15" customHeight="1" x14ac:dyDescent="0.25">
      <c r="A22" s="377" t="str">
        <f>'Table 4'!A22</f>
        <v>Josephine</v>
      </c>
      <c r="B22" s="322">
        <v>55513</v>
      </c>
      <c r="C22" s="324">
        <f>B22*2000/('Table 5'!B22*2000/'Table 5'!C22)</f>
        <v>1695.5711667684789</v>
      </c>
      <c r="D22" s="13">
        <v>47998</v>
      </c>
      <c r="E22" s="324">
        <f>D22*2000/('Table 5'!D22*2000/'Table 5'!E22)</f>
        <v>1422.5844694724362</v>
      </c>
      <c r="F22" s="13">
        <v>46861</v>
      </c>
      <c r="G22" s="324">
        <f>F22*2000/('Table 5'!F22*2000/'Table 5'!G22)</f>
        <v>1350.6557140798386</v>
      </c>
      <c r="H22" s="13">
        <v>52021</v>
      </c>
      <c r="I22" s="324">
        <f>H22*2000/('Table 5'!H22*2000/'Table 5'!I22)</f>
        <v>1459.4192733903774</v>
      </c>
      <c r="J22" s="13">
        <v>57560</v>
      </c>
      <c r="K22" s="324">
        <f>J22*2000/('Table 5'!J22*2000/'Table 5'!K22)</f>
        <v>1592.2544951590594</v>
      </c>
      <c r="L22" s="13">
        <v>62454.3</v>
      </c>
      <c r="M22" s="324">
        <f>L22*2000/('Table 5'!L22*2000/'Table 5'!M22)</f>
        <v>1701.520228851655</v>
      </c>
      <c r="N22" s="13">
        <v>68538</v>
      </c>
      <c r="O22" s="324">
        <f>N22*2000/('Table 5'!N22*2000/'Table 5'!O22)</f>
        <v>1841.6767432486899</v>
      </c>
      <c r="P22" s="378">
        <v>73377.2</v>
      </c>
      <c r="Q22" s="324">
        <f>P22*2000/('Table 5'!P22*2000/'Table 5'!Q22)</f>
        <v>1951.2618002925142</v>
      </c>
      <c r="R22" s="388">
        <v>80567</v>
      </c>
      <c r="S22" s="389">
        <v>2119</v>
      </c>
      <c r="T22" s="440">
        <v>75992</v>
      </c>
      <c r="U22" s="389">
        <v>1978</v>
      </c>
      <c r="V22" s="388">
        <v>88714.6</v>
      </c>
      <c r="W22" s="389">
        <v>2284.9864777849325</v>
      </c>
      <c r="X22" s="388">
        <v>89937.00499999999</v>
      </c>
      <c r="Y22" s="389">
        <v>2295.7754945756219</v>
      </c>
      <c r="Z22" s="388">
        <v>97737.713000000003</v>
      </c>
      <c r="AA22" s="389">
        <v>2486.9647073791352</v>
      </c>
      <c r="AB22" s="336">
        <v>99327.84599999999</v>
      </c>
      <c r="AC22" s="96">
        <v>2494.2644484901753</v>
      </c>
      <c r="AD22" s="13">
        <v>108110.18100000001</v>
      </c>
      <c r="AE22" s="96">
        <v>2665.2741078582435</v>
      </c>
      <c r="AF22" s="441">
        <v>95947.165999999997</v>
      </c>
      <c r="AG22" s="442">
        <v>2329.0973661852167</v>
      </c>
      <c r="AH22" s="441">
        <v>92402.043999999994</v>
      </c>
      <c r="AI22" s="442">
        <v>2218.864996498417</v>
      </c>
      <c r="AJ22" s="388">
        <v>78564.233999999997</v>
      </c>
      <c r="AK22" s="389">
        <v>1878.0669096993963</v>
      </c>
      <c r="AL22" s="388">
        <f>'Table 5'!AL22+'Table 6'!AL22</f>
        <v>82260.926999999996</v>
      </c>
      <c r="AM22" s="389">
        <f>'Table 5'!AM22+'Table 6'!AM22</f>
        <v>1987.5790274841436</v>
      </c>
      <c r="AN22" s="443">
        <f>'Table 5'!AN22+'Table 6'!AN22</f>
        <v>96174.950000000012</v>
      </c>
      <c r="AO22" s="389">
        <f>'Table 5'!AO22+'Table 6'!AO22</f>
        <v>2322.5054334701763</v>
      </c>
      <c r="AP22" s="443">
        <f>'Table 5'!AP22+'Table 6'!AP22</f>
        <v>97378.659</v>
      </c>
      <c r="AQ22" s="389">
        <f>'Table 5'!AQ22+'Table 6'!AQ22</f>
        <v>2352.8519238900635</v>
      </c>
      <c r="AR22" s="443">
        <f>'Table 5'!AR22+'Table 6'!AR22</f>
        <v>94770.329999999987</v>
      </c>
      <c r="AS22" s="389">
        <f>'Table 5'!AS22+'Table 6'!AS22</f>
        <v>2288.7237819235643</v>
      </c>
      <c r="AT22" s="388">
        <f>'Table 5'!AT22+'Table 6'!AT22</f>
        <v>97663.805999999997</v>
      </c>
      <c r="AU22" s="388">
        <f>'Table 5'!AU22+'Table 6'!AU22</f>
        <v>2350.3713615305937</v>
      </c>
      <c r="AV22" s="443">
        <f>'Table 5'!AV22+'Table 6'!AV22</f>
        <v>94856.819000000003</v>
      </c>
      <c r="AW22" s="389">
        <f>'Table 5'!AW22+'Table 6'!AW22</f>
        <v>2266.0491877687532</v>
      </c>
      <c r="AX22" s="443">
        <f>'Table 5'!AX22+'Table 6'!AX22</f>
        <v>108705.33299999998</v>
      </c>
      <c r="AY22" s="388">
        <f>'Table 5'!AY22+'Table 6'!AY22</f>
        <v>2567.5897962798936</v>
      </c>
      <c r="AZ22" s="443">
        <f>'Table 5'!AZ22+'Table 6'!AZ22</f>
        <v>118680.614</v>
      </c>
      <c r="BA22" s="388">
        <f>'Table 5'!BA22+'Table 6'!BA22</f>
        <v>2771.2927962638646</v>
      </c>
      <c r="BB22" s="443">
        <f>'Table 5'!BB22+'Table 6'!BB22</f>
        <v>117982.685</v>
      </c>
      <c r="BC22" s="388">
        <f>'Table 5'!BC22+'Table 6'!BC22</f>
        <v>2731.2387290931183</v>
      </c>
      <c r="BD22" s="443">
        <f>'Table 5'!BD22+'Table 6'!BD22</f>
        <v>117014.15</v>
      </c>
      <c r="BE22" s="388">
        <f>'Table 5'!BE22+'Table 6'!BE22</f>
        <v>2697.7325648414981</v>
      </c>
      <c r="BF22" s="443">
        <f>'Table 5'!BF22+'Table 6'!BF22</f>
        <v>134474.649</v>
      </c>
      <c r="BG22" s="388">
        <f>'Table 5'!BG22+'Table 6'!BG22</f>
        <v>3107.0852356746764</v>
      </c>
      <c r="BH22" s="443">
        <f>'Table 5'!BH22+'Table 6'!BH22</f>
        <v>138119.799</v>
      </c>
      <c r="BI22" s="388">
        <f>'Table 5'!BI22+'Table 6'!BI22</f>
        <v>3113.3306058966732</v>
      </c>
      <c r="BJ22" s="444">
        <f>'Table 5'!BJ22+'Table 6'!BJ22</f>
        <v>119582.70900000002</v>
      </c>
      <c r="BK22" s="445">
        <f>'Table 5'!BK22+'Table 6'!BK22</f>
        <v>2696.5020489937547</v>
      </c>
      <c r="BL22" s="430">
        <f t="shared" si="0"/>
        <v>-0.13388509274069449</v>
      </c>
      <c r="BM22" s="432"/>
      <c r="BN22" s="13"/>
    </row>
    <row r="23" spans="1:66" ht="15" customHeight="1" x14ac:dyDescent="0.25">
      <c r="A23" s="377" t="str">
        <f>'Table 4'!A23</f>
        <v>Klamath</v>
      </c>
      <c r="B23" s="322">
        <v>66074</v>
      </c>
      <c r="C23" s="324">
        <f>B23*2000/('Table 5'!B23*2000/'Table 5'!C23)</f>
        <v>2250.8601601090099</v>
      </c>
      <c r="D23" s="13">
        <v>77607</v>
      </c>
      <c r="E23" s="324">
        <f>D23*2000/('Table 5'!D23*2000/'Table 5'!E23)</f>
        <v>2602.9515344625188</v>
      </c>
      <c r="F23" s="13">
        <v>71448</v>
      </c>
      <c r="G23" s="324">
        <f>F23*2000/('Table 5'!F23*2000/'Table 5'!G23)</f>
        <v>2358.4089783792706</v>
      </c>
      <c r="H23" s="13">
        <v>76062</v>
      </c>
      <c r="I23" s="324">
        <f>H23*2000/('Table 5'!H23*2000/'Table 5'!I23)</f>
        <v>2486.0924987743097</v>
      </c>
      <c r="J23" s="13">
        <v>78044</v>
      </c>
      <c r="K23" s="324">
        <f>J23*2000/('Table 5'!J23*2000/'Table 5'!K23)</f>
        <v>2512.2807017543864</v>
      </c>
      <c r="L23" s="13">
        <v>80389</v>
      </c>
      <c r="M23" s="324">
        <f>L23*2000/('Table 5'!L23*2000/'Table 5'!M23)</f>
        <v>2557.7155583837098</v>
      </c>
      <c r="N23" s="13">
        <v>75713.899999999994</v>
      </c>
      <c r="O23" s="324">
        <f>N23*2000/('Table 5'!N23*2000/'Table 5'!O23)</f>
        <v>2394.1154150197626</v>
      </c>
      <c r="P23" s="378">
        <v>76492</v>
      </c>
      <c r="Q23" s="324">
        <f>P23*2000/('Table 5'!P23*2000/'Table 5'!Q23)</f>
        <v>2408.0591846371794</v>
      </c>
      <c r="R23" s="314">
        <v>78689</v>
      </c>
      <c r="S23" s="324">
        <v>2463</v>
      </c>
      <c r="T23" s="424">
        <v>69799</v>
      </c>
      <c r="U23" s="324">
        <v>2174</v>
      </c>
      <c r="V23" s="314">
        <v>83047.5</v>
      </c>
      <c r="W23" s="324">
        <v>2573.1216111541439</v>
      </c>
      <c r="X23" s="314">
        <v>76532.42300000001</v>
      </c>
      <c r="Y23" s="324">
        <v>2369.4248606811143</v>
      </c>
      <c r="Z23" s="314">
        <v>88027.301000000007</v>
      </c>
      <c r="AA23" s="324">
        <v>2716.8920061728395</v>
      </c>
      <c r="AB23" s="13">
        <v>103214.383</v>
      </c>
      <c r="AC23" s="96">
        <v>3173.1422027515182</v>
      </c>
      <c r="AD23" s="13">
        <v>108965.226</v>
      </c>
      <c r="AE23" s="96">
        <v>3329.4698953479492</v>
      </c>
      <c r="AF23" s="425">
        <v>99142.777000000002</v>
      </c>
      <c r="AG23" s="426">
        <v>3012.7714654713973</v>
      </c>
      <c r="AH23" s="425">
        <v>107558.97099999999</v>
      </c>
      <c r="AI23" s="426">
        <v>3250.5607755015999</v>
      </c>
      <c r="AJ23" s="314">
        <v>79907.532000000007</v>
      </c>
      <c r="AK23" s="324">
        <v>2408.6671288620946</v>
      </c>
      <c r="AL23" s="314">
        <f>'Table 5'!AL23+'Table 6'!AL23</f>
        <v>70504.191999999995</v>
      </c>
      <c r="AM23" s="324">
        <f>'Table 5'!AM23+'Table 6'!AM23</f>
        <v>2120.2674084655287</v>
      </c>
      <c r="AN23" s="427">
        <f>'Table 5'!AN23+'Table 6'!AN23</f>
        <v>74111.917999999991</v>
      </c>
      <c r="AO23" s="324">
        <f>'Table 5'!AO23+'Table 6'!AO23</f>
        <v>2226.251667167317</v>
      </c>
      <c r="AP23" s="427">
        <f>'Table 5'!AP23+'Table 6'!AP23</f>
        <v>70715.313999999998</v>
      </c>
      <c r="AQ23" s="324">
        <f>'Table 5'!AQ23+'Table 6'!AQ23</f>
        <v>2119.1283787833381</v>
      </c>
      <c r="AR23" s="427">
        <f>'Table 5'!AR23+'Table 6'!AR23</f>
        <v>66298.803</v>
      </c>
      <c r="AS23" s="324">
        <f>'Table 5'!AS23+'Table 6'!AS23</f>
        <v>1984.696991468343</v>
      </c>
      <c r="AT23" s="314">
        <f>'Table 5'!AT23+'Table 6'!AT23</f>
        <v>71736.538</v>
      </c>
      <c r="AU23" s="314">
        <f>'Table 5'!AU23+'Table 6'!AU23</f>
        <v>2144.2695561201617</v>
      </c>
      <c r="AV23" s="427">
        <f>'Table 5'!AV23+'Table 6'!AV23</f>
        <v>68041.675999999992</v>
      </c>
      <c r="AW23" s="324">
        <f>'Table 5'!AW23+'Table 6'!AW23</f>
        <v>2027.7656385039488</v>
      </c>
      <c r="AX23" s="427">
        <f>'Table 5'!AX23+'Table 6'!AX23</f>
        <v>78353.17</v>
      </c>
      <c r="AY23" s="314">
        <f>'Table 5'!AY23+'Table 6'!AY23</f>
        <v>2324.6749740394598</v>
      </c>
      <c r="AZ23" s="427">
        <f>'Table 5'!AZ23+'Table 6'!AZ23</f>
        <v>77469.803000000014</v>
      </c>
      <c r="BA23" s="314">
        <f>'Table 5'!BA23+'Table 6'!BA23</f>
        <v>2288.9585758605408</v>
      </c>
      <c r="BB23" s="427">
        <f>'Table 5'!BB23+'Table 6'!BB23</f>
        <v>84954.981</v>
      </c>
      <c r="BC23" s="314">
        <f>'Table 5'!BC23+'Table 6'!BC23</f>
        <v>2500.1465862271925</v>
      </c>
      <c r="BD23" s="427">
        <f>'Table 5'!BD23+'Table 6'!BD23</f>
        <v>83297.835999999981</v>
      </c>
      <c r="BE23" s="314">
        <f>'Table 5'!BE23+'Table 6'!BE23</f>
        <v>2443.1100161313971</v>
      </c>
      <c r="BF23" s="427">
        <f>'Table 5'!BF23+'Table 6'!BF23</f>
        <v>86791.995000000024</v>
      </c>
      <c r="BG23" s="314">
        <f>'Table 5'!BG23+'Table 6'!BG23</f>
        <v>2549.8933529195747</v>
      </c>
      <c r="BH23" s="427">
        <f>'Table 5'!BH23+'Table 6'!BH23</f>
        <v>109425.87700000001</v>
      </c>
      <c r="BI23" s="314">
        <f>'Table 5'!BI23+'Table 6'!BI23</f>
        <v>3134.4240210821804</v>
      </c>
      <c r="BJ23" s="428">
        <f>'Table 5'!BJ23+'Table 6'!BJ23</f>
        <v>95544.282000000007</v>
      </c>
      <c r="BK23" s="429">
        <f>'Table 5'!BK23+'Table 6'!BK23</f>
        <v>2697.1762482336962</v>
      </c>
      <c r="BL23" s="430">
        <f t="shared" si="0"/>
        <v>-0.13949860322264929</v>
      </c>
      <c r="BM23" s="432"/>
      <c r="BN23" s="13"/>
    </row>
    <row r="24" spans="1:66" ht="15" customHeight="1" x14ac:dyDescent="0.25">
      <c r="A24" s="377" t="str">
        <f>'Table 4'!A24</f>
        <v>Lake</v>
      </c>
      <c r="B24" s="322">
        <v>4633</v>
      </c>
      <c r="C24" s="324">
        <f>B24*2000/('Table 5'!B24*2000/'Table 5'!C24)</f>
        <v>1269.3150684931504</v>
      </c>
      <c r="D24" s="13">
        <v>6889</v>
      </c>
      <c r="E24" s="324">
        <f>D24*2000/('Table 5'!D24*2000/'Table 5'!E24)</f>
        <v>1882.2404371584696</v>
      </c>
      <c r="F24" s="13">
        <v>6456</v>
      </c>
      <c r="G24" s="324">
        <f>F24*2000/('Table 5'!F24*2000/'Table 5'!G24)</f>
        <v>1735.4838709677417</v>
      </c>
      <c r="H24" s="13">
        <v>9143</v>
      </c>
      <c r="I24" s="324">
        <f>H24*2000/('Table 5'!H24*2000/'Table 5'!I24)</f>
        <v>2444.6524064171122</v>
      </c>
      <c r="J24" s="13">
        <v>8069</v>
      </c>
      <c r="K24" s="324">
        <f>J24*2000/('Table 5'!J24*2000/'Table 5'!K24)</f>
        <v>2163.2707774798928</v>
      </c>
      <c r="L24" s="13">
        <v>9799.9</v>
      </c>
      <c r="M24" s="324">
        <f>L24*2000/('Table 5'!L24*2000/'Table 5'!M24)</f>
        <v>2627.3190348525468</v>
      </c>
      <c r="N24" s="13">
        <v>6913.9</v>
      </c>
      <c r="O24" s="324">
        <f>N24*2000/('Table 5'!N24*2000/'Table 5'!O24)</f>
        <v>1873.6856368563683</v>
      </c>
      <c r="P24" s="378">
        <v>3730.5</v>
      </c>
      <c r="Q24" s="324">
        <f>P24*2000/('Table 5'!P24*2000/'Table 5'!Q24)</f>
        <v>1005.5256064690027</v>
      </c>
      <c r="R24" s="314">
        <v>4426</v>
      </c>
      <c r="S24" s="324">
        <v>1188</v>
      </c>
      <c r="T24" s="424">
        <v>5763</v>
      </c>
      <c r="U24" s="324">
        <v>1536</v>
      </c>
      <c r="V24" s="314">
        <v>5417.7</v>
      </c>
      <c r="W24" s="324">
        <v>1454.4161073825503</v>
      </c>
      <c r="X24" s="314">
        <v>6575.1260000000002</v>
      </c>
      <c r="Y24" s="324">
        <v>1777.0610810810813</v>
      </c>
      <c r="Z24" s="314">
        <v>6520.4</v>
      </c>
      <c r="AA24" s="324">
        <v>1738.7733333333333</v>
      </c>
      <c r="AB24" s="13">
        <v>6952.4359999999997</v>
      </c>
      <c r="AC24" s="96">
        <v>1852.7477681545638</v>
      </c>
      <c r="AD24" s="13">
        <v>7010.9110000000001</v>
      </c>
      <c r="AE24" s="96">
        <v>1859.6580901856764</v>
      </c>
      <c r="AF24" s="425">
        <v>7741.5940000000001</v>
      </c>
      <c r="AG24" s="426">
        <v>2046.6871116986122</v>
      </c>
      <c r="AH24" s="425">
        <v>8548.987000000001</v>
      </c>
      <c r="AI24" s="426">
        <v>2254.1006211093932</v>
      </c>
      <c r="AJ24" s="314">
        <v>6997.66</v>
      </c>
      <c r="AK24" s="324">
        <v>1841.4894736842105</v>
      </c>
      <c r="AL24" s="314">
        <f>'Table 5'!AL24+'Table 6'!AL24</f>
        <v>8139.7639999999992</v>
      </c>
      <c r="AM24" s="324">
        <f>'Table 5'!AM24+'Table 6'!AM24</f>
        <v>2063.3115335868188</v>
      </c>
      <c r="AN24" s="427">
        <f>'Table 5'!AN24+'Table 6'!AN24</f>
        <v>9428.3790000000008</v>
      </c>
      <c r="AO24" s="324">
        <f>'Table 5'!AO24+'Table 6'!AO24</f>
        <v>2391.4721623335445</v>
      </c>
      <c r="AP24" s="427">
        <f>'Table 5'!AP24+'Table 6'!AP24</f>
        <v>6867.87</v>
      </c>
      <c r="AQ24" s="324">
        <f>'Table 5'!AQ24+'Table 6'!AQ24</f>
        <v>1734.310606060606</v>
      </c>
      <c r="AR24" s="427">
        <f>'Table 5'!AR24+'Table 6'!AR24</f>
        <v>8287.1319999999996</v>
      </c>
      <c r="AS24" s="324">
        <f>'Table 5'!AS24+'Table 6'!AS24</f>
        <v>2087.4387909319898</v>
      </c>
      <c r="AT24" s="314">
        <f>'Table 5'!AT24+'Table 6'!AT24</f>
        <v>6843.7569999999996</v>
      </c>
      <c r="AU24" s="314">
        <f>'Table 5'!AU24+'Table 6'!AU24</f>
        <v>1713.0806007509386</v>
      </c>
      <c r="AV24" s="427">
        <f>'Table 5'!AV24+'Table 6'!AV24</f>
        <v>6772.9780000000001</v>
      </c>
      <c r="AW24" s="324">
        <f>'Table 5'!AW24+'Table 6'!AW24</f>
        <v>1691.1305867665419</v>
      </c>
      <c r="AX24" s="427">
        <f>'Table 5'!AX24+'Table 6'!AX24</f>
        <v>7393.6830000000009</v>
      </c>
      <c r="AY24" s="314">
        <f>'Table 5'!AY24+'Table 6'!AY24</f>
        <v>1844.9614472863384</v>
      </c>
      <c r="AZ24" s="427">
        <f>'Table 5'!AZ24+'Table 6'!AZ24</f>
        <v>7033.5219999999999</v>
      </c>
      <c r="BA24" s="314">
        <f>'Table 5'!BA24+'Table 6'!BA24</f>
        <v>1732.3945812807883</v>
      </c>
      <c r="BB24" s="427">
        <f>'Table 5'!BB24+'Table 6'!BB24</f>
        <v>7240.0240000000003</v>
      </c>
      <c r="BC24" s="314">
        <f>'Table 5'!BC24+'Table 6'!BC24</f>
        <v>1784.3558841651266</v>
      </c>
      <c r="BD24" s="427">
        <f>'Table 5'!BD24+'Table 6'!BD24</f>
        <v>5764.2680000000018</v>
      </c>
      <c r="BE24" s="314">
        <f>'Table 5'!BE24+'Table 6'!BE24</f>
        <v>1426.7990099009905</v>
      </c>
      <c r="BF24" s="427">
        <f>'Table 5'!BF24+'Table 6'!BF24</f>
        <v>6379.5529999999999</v>
      </c>
      <c r="BG24" s="314">
        <f>'Table 5'!BG24+'Table 6'!BG24</f>
        <v>1580.0750464396285</v>
      </c>
      <c r="BH24" s="427">
        <f>'Table 5'!BH24+'Table 6'!BH24</f>
        <v>6337.9960000000001</v>
      </c>
      <c r="BI24" s="314">
        <f>'Table 5'!BI24+'Table 6'!BI24</f>
        <v>1550.2008071419837</v>
      </c>
      <c r="BJ24" s="428">
        <f>'Table 5'!BJ24+'Table 6'!BJ24</f>
        <v>6436.6940000000004</v>
      </c>
      <c r="BK24" s="429">
        <f>'Table 5'!BK24+'Table 6'!BK24</f>
        <v>1561.1645146965645</v>
      </c>
      <c r="BL24" s="430">
        <f t="shared" si="0"/>
        <v>7.0724434564022332E-3</v>
      </c>
      <c r="BM24" s="432"/>
      <c r="BN24" s="13"/>
    </row>
    <row r="25" spans="1:66" ht="15" customHeight="1" x14ac:dyDescent="0.25">
      <c r="A25" s="377" t="str">
        <f>'Table 4'!A25</f>
        <v>Lane</v>
      </c>
      <c r="B25" s="322">
        <v>374767</v>
      </c>
      <c r="C25" s="324">
        <f>B25*2000/('Table 5'!B25*2000/'Table 5'!C25)</f>
        <v>2564.7892143443746</v>
      </c>
      <c r="D25" s="13">
        <v>369113</v>
      </c>
      <c r="E25" s="324">
        <f>D25*2000/('Table 5'!D25*2000/'Table 5'!E25)</f>
        <v>2486.1953995891286</v>
      </c>
      <c r="F25" s="13">
        <v>370116</v>
      </c>
      <c r="G25" s="324">
        <f>F25*2000/('Table 5'!F25*2000/'Table 5'!G25)</f>
        <v>2456.2232471712514</v>
      </c>
      <c r="H25" s="13">
        <v>355189</v>
      </c>
      <c r="I25" s="324">
        <f>H25*2000/('Table 5'!H25*2000/'Table 5'!I25)</f>
        <v>2320.5108940646132</v>
      </c>
      <c r="J25" s="13">
        <v>393153</v>
      </c>
      <c r="K25" s="324">
        <f>J25*2000/('Table 5'!J25*2000/'Table 5'!K25)</f>
        <v>2533.8553750966744</v>
      </c>
      <c r="L25" s="13">
        <v>425153.9</v>
      </c>
      <c r="M25" s="324">
        <f>L25*2000/('Table 5'!L25*2000/'Table 5'!M25)</f>
        <v>2692.6368789385351</v>
      </c>
      <c r="N25" s="13">
        <v>433666.4</v>
      </c>
      <c r="O25" s="324">
        <f>N25*2000/('Table 5'!N25*2000/'Table 5'!O25)</f>
        <v>2721.2148213221221</v>
      </c>
      <c r="P25" s="378">
        <v>443563.3</v>
      </c>
      <c r="Q25" s="324">
        <f>P25*2000/('Table 5'!P25*2000/'Table 5'!Q25)</f>
        <v>2763.892575630121</v>
      </c>
      <c r="R25" s="314">
        <v>472737</v>
      </c>
      <c r="S25" s="324">
        <v>2919</v>
      </c>
      <c r="T25" s="424">
        <v>446994</v>
      </c>
      <c r="U25" s="324">
        <v>2743</v>
      </c>
      <c r="V25" s="314">
        <v>460731.9</v>
      </c>
      <c r="W25" s="324">
        <v>2808.056681395703</v>
      </c>
      <c r="X25" s="314">
        <v>474572.52</v>
      </c>
      <c r="Y25" s="324">
        <v>2881.4360655737705</v>
      </c>
      <c r="Z25" s="314">
        <v>473891.65200000006</v>
      </c>
      <c r="AA25" s="324">
        <v>2843.20775161242</v>
      </c>
      <c r="AB25" s="13">
        <v>509989.58199999999</v>
      </c>
      <c r="AC25" s="96">
        <v>3034.8845202850471</v>
      </c>
      <c r="AD25" s="13">
        <v>529945.56099999999</v>
      </c>
      <c r="AE25" s="96">
        <v>3119.7124919055746</v>
      </c>
      <c r="AF25" s="425">
        <v>512610.73100000003</v>
      </c>
      <c r="AG25" s="426">
        <v>2987.7643585708456</v>
      </c>
      <c r="AH25" s="425">
        <v>468796.72200000001</v>
      </c>
      <c r="AI25" s="426">
        <v>2710.7595896685225</v>
      </c>
      <c r="AJ25" s="314">
        <v>413904.86599999998</v>
      </c>
      <c r="AK25" s="324">
        <v>2380.8845005608446</v>
      </c>
      <c r="AL25" s="314">
        <f>'Table 5'!AL25+'Table 6'!AL25</f>
        <v>463480.33600000001</v>
      </c>
      <c r="AM25" s="324">
        <f>'Table 5'!AM25+'Table 6'!AM25</f>
        <v>2633.336189312804</v>
      </c>
      <c r="AN25" s="427">
        <f>'Table 5'!AN25+'Table 6'!AN25</f>
        <v>484827.43000000005</v>
      </c>
      <c r="AO25" s="324">
        <f>'Table 5'!AO25+'Table 6'!AO25</f>
        <v>2745.6920049270157</v>
      </c>
      <c r="AP25" s="427">
        <f>'Table 5'!AP25+'Table 6'!AP25</f>
        <v>490915.00699999998</v>
      </c>
      <c r="AQ25" s="324">
        <f>'Table 5'!AQ25+'Table 6'!AQ25</f>
        <v>2771.9650310559005</v>
      </c>
      <c r="AR25" s="427">
        <f>'Table 5'!AR25+'Table 6'!AR25</f>
        <v>451349.68400000001</v>
      </c>
      <c r="AS25" s="324">
        <f>'Table 5'!AS25+'Table 6'!AS25</f>
        <v>2534.7823601263603</v>
      </c>
      <c r="AT25" s="314">
        <f>'Table 5'!AT25+'Table 6'!AT25</f>
        <v>497949.48100000003</v>
      </c>
      <c r="AU25" s="314">
        <f>'Table 5'!AU25+'Table 6'!AU25</f>
        <v>2775.5994537422839</v>
      </c>
      <c r="AV25" s="427">
        <f>'Table 5'!AV25+'Table 6'!AV25</f>
        <v>481845.201</v>
      </c>
      <c r="AW25" s="324">
        <f>'Table 5'!AW25+'Table 6'!AW25</f>
        <v>2661.0255474250998</v>
      </c>
      <c r="AX25" s="427">
        <f>'Table 5'!AX25+'Table 6'!AX25</f>
        <v>516461.80100000004</v>
      </c>
      <c r="AY25" s="314">
        <f>'Table 5'!AY25+'Table 6'!AY25</f>
        <v>2822.6583647592506</v>
      </c>
      <c r="AZ25" s="427">
        <f>'Table 5'!AZ25+'Table 6'!AZ25</f>
        <v>577400.59299999999</v>
      </c>
      <c r="BA25" s="314">
        <f>'Table 5'!BA25+'Table 6'!BA25</f>
        <v>3116.0312628170532</v>
      </c>
      <c r="BB25" s="427">
        <f>'Table 5'!BB25+'Table 6'!BB25</f>
        <v>591944.61200000008</v>
      </c>
      <c r="BC25" s="314">
        <f>'Table 5'!BC25+'Table 6'!BC25</f>
        <v>3156.0280017061209</v>
      </c>
      <c r="BD25" s="427">
        <f>'Table 5'!BD25+'Table 6'!BD25</f>
        <v>628448.96500000008</v>
      </c>
      <c r="BE25" s="314">
        <f>'Table 5'!BE25+'Table 6'!BE25</f>
        <v>3317.403742609798</v>
      </c>
      <c r="BF25" s="427">
        <f>'Table 5'!BF25+'Table 6'!BF25</f>
        <v>614844.06000000006</v>
      </c>
      <c r="BG25" s="314">
        <f>'Table 5'!BG25+'Table 6'!BG25</f>
        <v>3224.4388446763605</v>
      </c>
      <c r="BH25" s="427">
        <f>'Table 5'!BH25+'Table 6'!BH25</f>
        <v>679101.01199999999</v>
      </c>
      <c r="BI25" s="314">
        <f>'Table 5'!BI25+'Table 6'!BI25</f>
        <v>3549.4908466550114</v>
      </c>
      <c r="BJ25" s="428">
        <f>'Table 5'!BJ25+'Table 6'!BJ25</f>
        <v>603845.99300000002</v>
      </c>
      <c r="BK25" s="429">
        <f>'Table 5'!BK25+'Table 6'!BK25</f>
        <v>3145.3746107857369</v>
      </c>
      <c r="BL25" s="430">
        <f t="shared" si="0"/>
        <v>-0.11385188843355032</v>
      </c>
      <c r="BM25" s="432"/>
      <c r="BN25" s="13"/>
    </row>
    <row r="26" spans="1:66" ht="15" customHeight="1" x14ac:dyDescent="0.25">
      <c r="A26" s="382" t="str">
        <f>'Table 4'!A26</f>
        <v>Lincoln</v>
      </c>
      <c r="B26" s="328">
        <v>34487</v>
      </c>
      <c r="C26" s="331">
        <f>B26*2000/('Table 5'!B26*2000/'Table 5'!C26)</f>
        <v>1693.4446354038791</v>
      </c>
      <c r="D26" s="332">
        <v>37483</v>
      </c>
      <c r="E26" s="331">
        <f>D26*2000/('Table 5'!D26*2000/'Table 5'!E26)</f>
        <v>1789.1646778042959</v>
      </c>
      <c r="F26" s="332">
        <v>41432</v>
      </c>
      <c r="G26" s="331">
        <f>F26*2000/('Table 5'!F26*2000/'Table 5'!G26)</f>
        <v>1929.7624592454588</v>
      </c>
      <c r="H26" s="332">
        <v>43617</v>
      </c>
      <c r="I26" s="331">
        <f>H26*2000/('Table 5'!H26*2000/'Table 5'!I26)</f>
        <v>1985.2981338188438</v>
      </c>
      <c r="J26" s="332">
        <v>50266</v>
      </c>
      <c r="K26" s="331">
        <f>J26*2000/('Table 5'!J26*2000/'Table 5'!K26)</f>
        <v>2259.1460674157302</v>
      </c>
      <c r="L26" s="332">
        <v>51195.5</v>
      </c>
      <c r="M26" s="331">
        <f>L26*2000/('Table 5'!L26*2000/'Table 5'!M26)</f>
        <v>2272.8301886792451</v>
      </c>
      <c r="N26" s="332">
        <v>51543</v>
      </c>
      <c r="O26" s="331">
        <f>N26*2000/('Table 5'!N26*2000/'Table 5'!O26)</f>
        <v>2298.9741302408565</v>
      </c>
      <c r="P26" s="383">
        <v>50895.6</v>
      </c>
      <c r="Q26" s="331">
        <f>P26*2000/('Table 5'!P26*2000/'Table 5'!Q26)</f>
        <v>2287.4426966292135</v>
      </c>
      <c r="R26" s="329">
        <v>52598</v>
      </c>
      <c r="S26" s="331">
        <v>2359</v>
      </c>
      <c r="T26" s="433">
        <v>53963</v>
      </c>
      <c r="U26" s="331">
        <v>2418</v>
      </c>
      <c r="V26" s="329">
        <v>55836.6</v>
      </c>
      <c r="W26" s="331">
        <v>2498.2818791946311</v>
      </c>
      <c r="X26" s="329">
        <v>56353.756000000001</v>
      </c>
      <c r="Y26" s="331">
        <v>2504.6113777777778</v>
      </c>
      <c r="Z26" s="329">
        <v>61047.567999999999</v>
      </c>
      <c r="AA26" s="331">
        <v>2749.8904504504508</v>
      </c>
      <c r="AB26" s="332">
        <v>68988.20199999999</v>
      </c>
      <c r="AC26" s="333">
        <v>3107.2267537439475</v>
      </c>
      <c r="AD26" s="332">
        <v>68566.41</v>
      </c>
      <c r="AE26" s="333">
        <v>3080.2520215633422</v>
      </c>
      <c r="AF26" s="434">
        <v>72614.693999999989</v>
      </c>
      <c r="AG26" s="435">
        <v>3254.0754649339005</v>
      </c>
      <c r="AH26" s="434">
        <v>69230.798999999999</v>
      </c>
      <c r="AI26" s="435">
        <v>3096.6556532093086</v>
      </c>
      <c r="AJ26" s="329">
        <v>57810.098999999995</v>
      </c>
      <c r="AK26" s="331">
        <v>2586.5816107382552</v>
      </c>
      <c r="AL26" s="329">
        <f>'Table 5'!AL26+'Table 6'!AL26</f>
        <v>57742.49500000001</v>
      </c>
      <c r="AM26" s="331">
        <f>'Table 5'!AM26+'Table 6'!AM26</f>
        <v>2503.196922076515</v>
      </c>
      <c r="AN26" s="436">
        <f>'Table 5'!AN26+'Table 6'!AN26</f>
        <v>57330.581000000006</v>
      </c>
      <c r="AO26" s="331">
        <f>'Table 5'!AO26+'Table 6'!AO26</f>
        <v>2484.2630700899144</v>
      </c>
      <c r="AP26" s="436">
        <f>'Table 5'!AP26+'Table 6'!AP26</f>
        <v>61491.649000000005</v>
      </c>
      <c r="AQ26" s="331">
        <f>'Table 5'!AQ26+'Table 6'!AQ26</f>
        <v>2656.5136191813372</v>
      </c>
      <c r="AR26" s="436">
        <f>'Table 5'!AR26+'Table 6'!AR26</f>
        <v>57883.087</v>
      </c>
      <c r="AS26" s="331">
        <f>'Table 5'!AS26+'Table 6'!AS26</f>
        <v>2486.3868986254297</v>
      </c>
      <c r="AT26" s="329">
        <f>'Table 5'!AT26+'Table 6'!AT26</f>
        <v>62038.077999999994</v>
      </c>
      <c r="AU26" s="329">
        <f>'Table 5'!AU26+'Table 6'!AU26</f>
        <v>2646.1112390701642</v>
      </c>
      <c r="AV26" s="436">
        <f>'Table 5'!AV26+'Table 6'!AV26</f>
        <v>63524.941999999995</v>
      </c>
      <c r="AW26" s="331">
        <f>'Table 5'!AW26+'Table 6'!AW26</f>
        <v>2690.3098782424563</v>
      </c>
      <c r="AX26" s="436">
        <f>'Table 5'!AX26+'Table 6'!AX26</f>
        <v>64799.424999999988</v>
      </c>
      <c r="AY26" s="329">
        <f>'Table 5'!AY26+'Table 6'!AY26</f>
        <v>2714.9649104430709</v>
      </c>
      <c r="AZ26" s="436">
        <f>'Table 5'!AZ26+'Table 6'!AZ26</f>
        <v>65876.926000000007</v>
      </c>
      <c r="BA26" s="329">
        <f>'Table 5'!BA26+'Table 6'!BA26</f>
        <v>2747.1612176814019</v>
      </c>
      <c r="BB26" s="436">
        <f>'Table 5'!BB26+'Table 6'!BB26</f>
        <v>76704.198000000019</v>
      </c>
      <c r="BC26" s="329">
        <f>'Table 5'!BC26+'Table 6'!BC26</f>
        <v>3182.0866210329814</v>
      </c>
      <c r="BD26" s="436">
        <f>'Table 5'!BD26+'Table 6'!BD26</f>
        <v>72201.144</v>
      </c>
      <c r="BE26" s="329">
        <f>'Table 5'!BE26+'Table 6'!BE26</f>
        <v>2992.1733941152088</v>
      </c>
      <c r="BF26" s="436">
        <f>'Table 5'!BF26+'Table 6'!BF26</f>
        <v>73018.758000000002</v>
      </c>
      <c r="BG26" s="329">
        <f>'Table 5'!BG26+'Table 6'!BG26</f>
        <v>3023.2380912948975</v>
      </c>
      <c r="BH26" s="436">
        <f>'Table 5'!BH26+'Table 6'!BH26</f>
        <v>89036.198000000004</v>
      </c>
      <c r="BI26" s="329">
        <f>'Table 5'!BI26+'Table 6'!BI26</f>
        <v>3498.2691786338723</v>
      </c>
      <c r="BJ26" s="437">
        <f>'Table 5'!BJ26+'Table 6'!BJ26</f>
        <v>65837.407000000007</v>
      </c>
      <c r="BK26" s="438">
        <f>'Table 5'!BK26+'Table 6'!BK26</f>
        <v>2577.3105868296207</v>
      </c>
      <c r="BL26" s="439">
        <f t="shared" si="0"/>
        <v>-0.2632612142682228</v>
      </c>
      <c r="BM26" s="432"/>
      <c r="BN26" s="13"/>
    </row>
    <row r="27" spans="1:66" ht="15" customHeight="1" x14ac:dyDescent="0.25">
      <c r="A27" s="377" t="str">
        <f>'Table 4'!A27</f>
        <v>Linn</v>
      </c>
      <c r="B27" s="322">
        <v>111875</v>
      </c>
      <c r="C27" s="324">
        <f>B27*2000/('Table 5'!B27*2000/'Table 5'!C27)</f>
        <v>2282.3714221596588</v>
      </c>
      <c r="D27" s="13">
        <v>95205</v>
      </c>
      <c r="E27" s="324">
        <f>D27*2000/('Table 5'!D27*2000/'Table 5'!E27)</f>
        <v>1914.9770697562153</v>
      </c>
      <c r="F27" s="13">
        <v>88292</v>
      </c>
      <c r="G27" s="324">
        <f>F27*2000/('Table 5'!F27*2000/'Table 5'!G27)</f>
        <v>1750.3494077414878</v>
      </c>
      <c r="H27" s="13">
        <v>106883</v>
      </c>
      <c r="I27" s="324">
        <f>H27*2000/('Table 5'!H27*2000/'Table 5'!I27)</f>
        <v>2078.1420127547053</v>
      </c>
      <c r="J27" s="13">
        <v>102707</v>
      </c>
      <c r="K27" s="324">
        <f>J27*2000/('Table 5'!J27*2000/'Table 5'!K27)</f>
        <v>1962.2854195126145</v>
      </c>
      <c r="L27" s="13">
        <v>107516.9</v>
      </c>
      <c r="M27" s="324">
        <f>L27*2000/('Table 5'!L27*2000/'Table 5'!M27)</f>
        <v>2023.8284816142907</v>
      </c>
      <c r="N27" s="13">
        <v>110438.3</v>
      </c>
      <c r="O27" s="324">
        <f>N27*2000/('Table 5'!N27*2000/'Table 5'!O27)</f>
        <v>2063.688685415304</v>
      </c>
      <c r="P27" s="378">
        <v>107593.2</v>
      </c>
      <c r="Q27" s="324">
        <f>P27*2000/('Table 5'!P27*2000/'Table 5'!Q27)</f>
        <v>1995.7929883138568</v>
      </c>
      <c r="R27" s="388">
        <v>117531</v>
      </c>
      <c r="S27" s="389">
        <v>2163</v>
      </c>
      <c r="T27" s="440">
        <v>106981</v>
      </c>
      <c r="U27" s="389">
        <v>1964</v>
      </c>
      <c r="V27" s="388">
        <v>116309.4</v>
      </c>
      <c r="W27" s="389">
        <v>2123.40301232314</v>
      </c>
      <c r="X27" s="388">
        <v>114069.431</v>
      </c>
      <c r="Y27" s="389">
        <v>2053.1778967736127</v>
      </c>
      <c r="Z27" s="388">
        <v>131779.40100000001</v>
      </c>
      <c r="AA27" s="389">
        <v>2337.6540156991441</v>
      </c>
      <c r="AB27" s="336">
        <v>144268.24599999998</v>
      </c>
      <c r="AC27" s="96">
        <v>2535.6928728359258</v>
      </c>
      <c r="AD27" s="13">
        <v>149917.101</v>
      </c>
      <c r="AE27" s="96">
        <v>2607.6620862395853</v>
      </c>
      <c r="AF27" s="441">
        <v>137913.31199999998</v>
      </c>
      <c r="AG27" s="442">
        <v>2375.4198265542514</v>
      </c>
      <c r="AH27" s="441">
        <v>131180.50699999998</v>
      </c>
      <c r="AI27" s="442">
        <v>2235.5460012356134</v>
      </c>
      <c r="AJ27" s="388">
        <v>138645.04999999999</v>
      </c>
      <c r="AK27" s="389">
        <v>2347.4691634990645</v>
      </c>
      <c r="AL27" s="388">
        <f>'Table 5'!AL27+'Table 6'!AL27</f>
        <v>143420.37099999998</v>
      </c>
      <c r="AM27" s="389">
        <f>'Table 5'!AM27+'Table 6'!AM27</f>
        <v>2319.7420340956878</v>
      </c>
      <c r="AN27" s="443">
        <f>'Table 5'!AN27+'Table 6'!AN27</f>
        <v>155068.58299999998</v>
      </c>
      <c r="AO27" s="389">
        <f>'Table 5'!AO27+'Table 6'!AO27</f>
        <v>2495.7724701243305</v>
      </c>
      <c r="AP27" s="443">
        <f>'Table 5'!AP27+'Table 6'!AP27</f>
        <v>145045.06300000002</v>
      </c>
      <c r="AQ27" s="389">
        <f>'Table 5'!AQ27+'Table 6'!AQ27</f>
        <v>2320.2383984131302</v>
      </c>
      <c r="AR27" s="443">
        <f>'Table 5'!AR27+'Table 6'!AR27</f>
        <v>140423.29399999999</v>
      </c>
      <c r="AS27" s="389">
        <f>'Table 5'!AS27+'Table 6'!AS27</f>
        <v>2232.4315636352076</v>
      </c>
      <c r="AT27" s="388">
        <f>'Table 5'!AT27+'Table 6'!AT27</f>
        <v>142028.122</v>
      </c>
      <c r="AU27" s="388">
        <f>'Table 5'!AU27+'Table 6'!AU27</f>
        <v>2235.3960274490055</v>
      </c>
      <c r="AV27" s="443">
        <f>'Table 5'!AV27+'Table 6'!AV27</f>
        <v>151263.60399999999</v>
      </c>
      <c r="AW27" s="389">
        <f>'Table 5'!AW27+'Table 6'!AW27</f>
        <v>2357.5814402942624</v>
      </c>
      <c r="AX27" s="443">
        <f>'Table 5'!AX27+'Table 6'!AX27</f>
        <v>157994.25099999999</v>
      </c>
      <c r="AY27" s="388">
        <f>'Table 5'!AY27+'Table 6'!AY27</f>
        <v>2427.7301587301586</v>
      </c>
      <c r="AZ27" s="443">
        <f>'Table 5'!AZ27+'Table 6'!AZ27</f>
        <v>169311.18800000002</v>
      </c>
      <c r="BA27" s="388">
        <f>'Table 5'!BA27+'Table 6'!BA27</f>
        <v>2566.6821496248012</v>
      </c>
      <c r="BB27" s="443">
        <f>'Table 5'!BB27+'Table 6'!BB27</f>
        <v>185753.20500000005</v>
      </c>
      <c r="BC27" s="388">
        <f>'Table 5'!BC27+'Table 6'!BC27</f>
        <v>2778.2827293258952</v>
      </c>
      <c r="BD27" s="443">
        <f>'Table 5'!BD27+'Table 6'!BD27</f>
        <v>191034.04699999999</v>
      </c>
      <c r="BE27" s="388">
        <f>'Table 5'!BE27+'Table 6'!BE27</f>
        <v>2830.0292137328247</v>
      </c>
      <c r="BF27" s="443">
        <f>'Table 5'!BF27+'Table 6'!BF27</f>
        <v>202915.55200000003</v>
      </c>
      <c r="BG27" s="388">
        <f>'Table 5'!BG27+'Table 6'!BG27</f>
        <v>2988.0069503754971</v>
      </c>
      <c r="BH27" s="443">
        <f>'Table 5'!BH27+'Table 6'!BH27</f>
        <v>186665.15000000002</v>
      </c>
      <c r="BI27" s="388">
        <f>'Table 5'!BI27+'Table 6'!BI27</f>
        <v>2666.4354943540152</v>
      </c>
      <c r="BJ27" s="444">
        <f>'Table 5'!BJ27+'Table 6'!BJ27</f>
        <v>194240.592</v>
      </c>
      <c r="BK27" s="445">
        <f>'Table 5'!BK27+'Table 6'!BK27</f>
        <v>2761.4974703698081</v>
      </c>
      <c r="BL27" s="430">
        <f t="shared" si="0"/>
        <v>3.5651331606213477E-2</v>
      </c>
      <c r="BM27" s="432"/>
      <c r="BN27" s="13"/>
    </row>
    <row r="28" spans="1:66" ht="15" customHeight="1" x14ac:dyDescent="0.25">
      <c r="A28" s="377" t="str">
        <f>'Table 4'!A28</f>
        <v>Malheur</v>
      </c>
      <c r="B28" s="322">
        <v>17098</v>
      </c>
      <c r="C28" s="324">
        <f>B28*2000/('Table 5'!B28*2000/'Table 5'!C28)</f>
        <v>1233.1770645510278</v>
      </c>
      <c r="D28" s="13">
        <v>17838</v>
      </c>
      <c r="E28" s="324">
        <f>D28*2000/('Table 5'!D28*2000/'Table 5'!E28)</f>
        <v>1259.301094246382</v>
      </c>
      <c r="F28" s="13">
        <v>18091</v>
      </c>
      <c r="G28" s="324">
        <f>F28*2000/('Table 5'!F28*2000/'Table 5'!G28)</f>
        <v>1257.6294751477233</v>
      </c>
      <c r="H28" s="13">
        <v>19699</v>
      </c>
      <c r="I28" s="324">
        <f>H28*2000/('Table 5'!H28*2000/'Table 5'!I28)</f>
        <v>1335.9782977280433</v>
      </c>
      <c r="J28" s="13">
        <v>23583</v>
      </c>
      <c r="K28" s="324">
        <f>J28*2000/('Table 5'!J28*2000/'Table 5'!K28)</f>
        <v>1564.8971466489716</v>
      </c>
      <c r="L28" s="13">
        <v>26936</v>
      </c>
      <c r="M28" s="324">
        <f>L28*2000/('Table 5'!L28*2000/'Table 5'!M28)</f>
        <v>1759.3729588504245</v>
      </c>
      <c r="N28" s="13">
        <v>25714.3</v>
      </c>
      <c r="O28" s="324">
        <f>N28*2000/('Table 5'!N28*2000/'Table 5'!O28)</f>
        <v>1651.528580603725</v>
      </c>
      <c r="P28" s="378">
        <v>27383</v>
      </c>
      <c r="Q28" s="324">
        <f>P28*2000/('Table 5'!P28*2000/'Table 5'!Q28)</f>
        <v>1747.479259731972</v>
      </c>
      <c r="R28" s="314">
        <v>28550</v>
      </c>
      <c r="S28" s="324">
        <v>1798</v>
      </c>
      <c r="T28" s="424">
        <v>28199</v>
      </c>
      <c r="U28" s="324">
        <v>1762</v>
      </c>
      <c r="V28" s="314">
        <v>30216.799999999999</v>
      </c>
      <c r="W28" s="324">
        <v>1888.55</v>
      </c>
      <c r="X28" s="314">
        <v>28303.463000000003</v>
      </c>
      <c r="Y28" s="324">
        <v>1768.9664375000002</v>
      </c>
      <c r="Z28" s="314">
        <v>29541.303</v>
      </c>
      <c r="AA28" s="324">
        <v>1855.0268759811618</v>
      </c>
      <c r="AB28" s="13">
        <v>30225.589</v>
      </c>
      <c r="AC28" s="96">
        <v>1900.9804402515724</v>
      </c>
      <c r="AD28" s="13">
        <v>30154.629000000001</v>
      </c>
      <c r="AE28" s="96">
        <v>1901.0010401891254</v>
      </c>
      <c r="AF28" s="425">
        <v>31197.379999999997</v>
      </c>
      <c r="AG28" s="426">
        <v>1973.2688172043013</v>
      </c>
      <c r="AH28" s="425">
        <v>29444.777000000002</v>
      </c>
      <c r="AI28" s="426">
        <v>1859.0941395613409</v>
      </c>
      <c r="AJ28" s="314">
        <v>26043.776999999998</v>
      </c>
      <c r="AK28" s="324">
        <v>1642.1044766708701</v>
      </c>
      <c r="AL28" s="314">
        <f>'Table 5'!AL28+'Table 6'!AL28</f>
        <v>27001.969000000001</v>
      </c>
      <c r="AM28" s="324">
        <f>'Table 5'!AM28+'Table 6'!AM28</f>
        <v>1722.8884351571223</v>
      </c>
      <c r="AN28" s="427">
        <f>'Table 5'!AN28+'Table 6'!AN28</f>
        <v>25484.83400000001</v>
      </c>
      <c r="AO28" s="324">
        <f>'Table 5'!AO28+'Table 6'!AO28</f>
        <v>1620.9148672284948</v>
      </c>
      <c r="AP28" s="427">
        <f>'Table 5'!AP28+'Table 6'!AP28</f>
        <v>27389.633000000002</v>
      </c>
      <c r="AQ28" s="324">
        <f>'Table 5'!AQ28+'Table 6'!AQ28</f>
        <v>1744.8404523013219</v>
      </c>
      <c r="AR28" s="427">
        <f>'Table 5'!AR28+'Table 6'!AR28</f>
        <v>27741.625</v>
      </c>
      <c r="AS28" s="324">
        <f>'Table 5'!AS28+'Table 6'!AS28</f>
        <v>1764.7344147582696</v>
      </c>
      <c r="AT28" s="314">
        <f>'Table 5'!AT28+'Table 6'!AT28</f>
        <v>26821.557000000001</v>
      </c>
      <c r="AU28" s="314">
        <f>'Table 5'!AU28+'Table 6'!AU28</f>
        <v>1704.5794089609153</v>
      </c>
      <c r="AV28" s="427">
        <f>'Table 5'!AV28+'Table 6'!AV28</f>
        <v>27659.531999999999</v>
      </c>
      <c r="AW28" s="324">
        <f>'Table 5'!AW28+'Table 6'!AW28</f>
        <v>1757.2764930114358</v>
      </c>
      <c r="AX28" s="427">
        <f>'Table 5'!AX28+'Table 6'!AX28</f>
        <v>30177.366999999998</v>
      </c>
      <c r="AY28" s="314">
        <f>'Table 5'!AY28+'Table 6'!AY28</f>
        <v>1903.6345686800187</v>
      </c>
      <c r="AZ28" s="427">
        <f>'Table 5'!AZ28+'Table 6'!AZ28</f>
        <v>30052.521000000001</v>
      </c>
      <c r="BA28" s="314">
        <f>'Table 5'!BA28+'Table 6'!BA28</f>
        <v>1887.4247762600094</v>
      </c>
      <c r="BB28" s="427">
        <f>'Table 5'!BB28+'Table 6'!BB28</f>
        <v>31306.632999999994</v>
      </c>
      <c r="BC28" s="314">
        <f>'Table 5'!BC28+'Table 6'!BC28</f>
        <v>1961.261268598277</v>
      </c>
      <c r="BD28" s="427">
        <f>'Table 5'!BD28+'Table 6'!BD28</f>
        <v>29535.732000000004</v>
      </c>
      <c r="BE28" s="314">
        <f>'Table 5'!BE28+'Table 6'!BE28</f>
        <v>1844.2542616297224</v>
      </c>
      <c r="BF28" s="427">
        <f>'Table 5'!BF28+'Table 6'!BF28</f>
        <v>31804.610999999997</v>
      </c>
      <c r="BG28" s="314">
        <f>'Table 5'!BG28+'Table 6'!BG28</f>
        <v>1981.2870892384362</v>
      </c>
      <c r="BH28" s="427">
        <f>'Table 5'!BH28+'Table 6'!BH28</f>
        <v>31731.984</v>
      </c>
      <c r="BI28" s="314">
        <f>'Table 5'!BI28+'Table 6'!BI28</f>
        <v>1983.5589310829816</v>
      </c>
      <c r="BJ28" s="428">
        <f>'Table 5'!BJ28+'Table 6'!BJ28</f>
        <v>31493.160000000007</v>
      </c>
      <c r="BK28" s="429">
        <f>'Table 5'!BK28+'Table 6'!BK28</f>
        <v>1962.5162367240041</v>
      </c>
      <c r="BL28" s="430">
        <f t="shared" si="0"/>
        <v>-1.0608555172842093E-2</v>
      </c>
      <c r="BM28" s="432"/>
      <c r="BN28" s="13"/>
    </row>
    <row r="29" spans="1:66" ht="15" customHeight="1" x14ac:dyDescent="0.25">
      <c r="A29" s="377" t="str">
        <f>'Table 4'!A29</f>
        <v>Marion</v>
      </c>
      <c r="B29" s="322">
        <v>213943</v>
      </c>
      <c r="C29" s="324">
        <f>B29*2000/('Table 5'!B29*2000/'Table 5'!C29)</f>
        <v>1768.4455024880556</v>
      </c>
      <c r="D29" s="13">
        <v>232672</v>
      </c>
      <c r="E29" s="324">
        <f>D29*2000/('Table 5'!D29*2000/'Table 5'!E29)</f>
        <v>1869.204227303949</v>
      </c>
      <c r="F29" s="13">
        <v>267999</v>
      </c>
      <c r="G29" s="324">
        <f>F29*2000/('Table 5'!F29*2000/'Table 5'!G29)</f>
        <v>2106.1652717199108</v>
      </c>
      <c r="H29" s="13">
        <v>279205</v>
      </c>
      <c r="I29" s="324">
        <f>H29*2000/('Table 5'!H29*2000/'Table 5'!I29)</f>
        <v>2144.052893882033</v>
      </c>
      <c r="J29" s="13">
        <v>304913</v>
      </c>
      <c r="K29" s="324">
        <f>J29*2000/('Table 5'!J29*2000/'Table 5'!K29)</f>
        <v>2292.5013815322036</v>
      </c>
      <c r="L29" s="13">
        <v>317592.2</v>
      </c>
      <c r="M29" s="324">
        <f>L29*2000/('Table 5'!L29*2000/'Table 5'!M29)</f>
        <v>2337.9959437424313</v>
      </c>
      <c r="N29" s="13">
        <v>341219.4</v>
      </c>
      <c r="O29" s="324">
        <f>N29*2000/('Table 5'!N29*2000/'Table 5'!O29)</f>
        <v>2465.8144240497181</v>
      </c>
      <c r="P29" s="378">
        <v>339910.40000000002</v>
      </c>
      <c r="Q29" s="324">
        <f>P29*2000/('Table 5'!P29*2000/'Table 5'!Q29)</f>
        <v>2413.1080505466421</v>
      </c>
      <c r="R29" s="314">
        <v>356130</v>
      </c>
      <c r="S29" s="324">
        <v>2489</v>
      </c>
      <c r="T29" s="424">
        <v>386007</v>
      </c>
      <c r="U29" s="324">
        <v>2678</v>
      </c>
      <c r="V29" s="314">
        <v>402740.62</v>
      </c>
      <c r="W29" s="324">
        <v>2769.5471315350628</v>
      </c>
      <c r="X29" s="314">
        <v>398785.16600000003</v>
      </c>
      <c r="Y29" s="324">
        <v>2697.0456242391456</v>
      </c>
      <c r="Z29" s="314">
        <v>428776.42899999989</v>
      </c>
      <c r="AA29" s="324">
        <v>2875.0892077647759</v>
      </c>
      <c r="AB29" s="13">
        <v>481722.54200000002</v>
      </c>
      <c r="AC29" s="96">
        <v>3190.7437787713197</v>
      </c>
      <c r="AD29" s="13">
        <v>509382.57700000005</v>
      </c>
      <c r="AE29" s="96">
        <v>3324.1921036316771</v>
      </c>
      <c r="AF29" s="425">
        <v>499003.625</v>
      </c>
      <c r="AG29" s="426">
        <v>3210.3478280449831</v>
      </c>
      <c r="AH29" s="425">
        <v>456613.21600000001</v>
      </c>
      <c r="AI29" s="426">
        <v>2902.1578459559678</v>
      </c>
      <c r="AJ29" s="314">
        <v>419207.087</v>
      </c>
      <c r="AK29" s="324">
        <v>2636.7298498309615</v>
      </c>
      <c r="AL29" s="314">
        <f>'Table 5'!AL29+'Table 6'!AL29</f>
        <v>412321.17599999998</v>
      </c>
      <c r="AM29" s="324">
        <f>'Table 5'!AM29+'Table 6'!AM29</f>
        <v>2612.3144119743411</v>
      </c>
      <c r="AN29" s="427">
        <f>'Table 5'!AN29+'Table 6'!AN29</f>
        <v>430915.739</v>
      </c>
      <c r="AO29" s="324">
        <f>'Table 5'!AO29+'Table 6'!AO29</f>
        <v>2710.8182736071312</v>
      </c>
      <c r="AP29" s="427">
        <f>'Table 5'!AP29+'Table 6'!AP29</f>
        <v>420655.18600000005</v>
      </c>
      <c r="AQ29" s="324">
        <f>'Table 5'!AQ29+'Table 6'!AQ29</f>
        <v>2626.8948880312741</v>
      </c>
      <c r="AR29" s="427">
        <f>'Table 5'!AR29+'Table 6'!AR29</f>
        <v>426111.413</v>
      </c>
      <c r="AS29" s="324">
        <f>'Table 5'!AS29+'Table 6'!AS29</f>
        <v>2641.2901312241597</v>
      </c>
      <c r="AT29" s="314">
        <f>'Table 5'!AT29+'Table 6'!AT29</f>
        <v>443412.60100000002</v>
      </c>
      <c r="AU29" s="314">
        <f>'Table 5'!AU29+'Table 6'!AU29</f>
        <v>2720.915297503444</v>
      </c>
      <c r="AV29" s="427">
        <f>'Table 5'!AV29+'Table 6'!AV29</f>
        <v>460780.49800000002</v>
      </c>
      <c r="AW29" s="324">
        <f>'Table 5'!AW29+'Table 6'!AW29</f>
        <v>2796.2017744010486</v>
      </c>
      <c r="AX29" s="427">
        <f>'Table 5'!AX29+'Table 6'!AX29</f>
        <v>480239.19700000004</v>
      </c>
      <c r="AY29" s="314">
        <f>'Table 5'!AY29+'Table 6'!AY29</f>
        <v>2877.803394116625</v>
      </c>
      <c r="AZ29" s="427">
        <f>'Table 5'!AZ29+'Table 6'!AZ29</f>
        <v>514011.63900000008</v>
      </c>
      <c r="BA29" s="314">
        <f>'Table 5'!BA29+'Table 6'!BA29</f>
        <v>3032.5170442477884</v>
      </c>
      <c r="BB29" s="427">
        <f>'Table 5'!BB29+'Table 6'!BB29</f>
        <v>528716.25499999989</v>
      </c>
      <c r="BC29" s="314">
        <f>'Table 5'!BC29+'Table 6'!BC29</f>
        <v>3075.3889488333134</v>
      </c>
      <c r="BD29" s="427">
        <f>'Table 5'!BD29+'Table 6'!BD29</f>
        <v>509749.86300000001</v>
      </c>
      <c r="BE29" s="314">
        <f>'Table 5'!BE29+'Table 6'!BE29</f>
        <v>2933.3056911036942</v>
      </c>
      <c r="BF29" s="427">
        <f>'Table 5'!BF29+'Table 6'!BF29</f>
        <v>558381.25299999979</v>
      </c>
      <c r="BG29" s="314">
        <f>'Table 5'!BG29+'Table 6'!BG29</f>
        <v>3200.6262352401686</v>
      </c>
      <c r="BH29" s="427">
        <f>'Table 5'!BH29+'Table 6'!BH29</f>
        <v>715566.61200000008</v>
      </c>
      <c r="BI29" s="314">
        <f>'Table 5'!BI29+'Table 6'!BI29</f>
        <v>4125.0997281895934</v>
      </c>
      <c r="BJ29" s="428">
        <f>'Table 5'!BJ29+'Table 6'!BJ29</f>
        <v>625382.84600000002</v>
      </c>
      <c r="BK29" s="429">
        <f>'Table 5'!BK29+'Table 6'!BK29</f>
        <v>3590.5232029022563</v>
      </c>
      <c r="BL29" s="430">
        <f t="shared" si="0"/>
        <v>-0.12959117609550497</v>
      </c>
      <c r="BM29" s="432"/>
      <c r="BN29" s="13"/>
    </row>
    <row r="30" spans="1:66" ht="15" customHeight="1" x14ac:dyDescent="0.25">
      <c r="A30" s="377" t="str">
        <f>'Table 4'!A30</f>
        <v>Metro</v>
      </c>
      <c r="B30" s="322">
        <v>1460380</v>
      </c>
      <c r="C30" s="324">
        <f>B30*2000/('Table 5'!B30*2000/'Table 5'!C30)</f>
        <v>2341.0841529003455</v>
      </c>
      <c r="D30" s="13">
        <v>1536510</v>
      </c>
      <c r="E30" s="324">
        <f>D30*2000/('Table 5'!D30*2000/'Table 5'!E30)</f>
        <v>2404.8927078931306</v>
      </c>
      <c r="F30" s="13">
        <v>1613599</v>
      </c>
      <c r="G30" s="324">
        <f>F30*2000/('Table 5'!F30*2000/'Table 5'!G30)</f>
        <v>2477.771294319979</v>
      </c>
      <c r="H30" s="13">
        <v>1730265.8</v>
      </c>
      <c r="I30" s="324">
        <f>H30*2000/('Table 5'!H30*2000/'Table 5'!I30)</f>
        <v>2603.6849272810714</v>
      </c>
      <c r="J30" s="13">
        <v>1849716</v>
      </c>
      <c r="K30" s="324">
        <f>J30*2000/('Table 5'!J30*2000/'Table 5'!K30)</f>
        <v>2719.1109347092674</v>
      </c>
      <c r="L30" s="13">
        <v>2009186.5</v>
      </c>
      <c r="M30" s="324">
        <f>L30*2000/('Table 5'!L30*2000/'Table 5'!M30)</f>
        <v>2895.9368401328925</v>
      </c>
      <c r="N30" s="13">
        <v>2108503.6</v>
      </c>
      <c r="O30" s="324">
        <f>N30*2000/('Table 5'!N30*2000/'Table 5'!O30)</f>
        <v>2990.9337342988661</v>
      </c>
      <c r="P30" s="378">
        <v>2173321.5</v>
      </c>
      <c r="Q30" s="324">
        <f>P30*2000/('Table 5'!P30*2000/'Table 5'!Q30)</f>
        <v>3038.2294761122566</v>
      </c>
      <c r="R30" s="314">
        <v>2178198</v>
      </c>
      <c r="S30" s="324">
        <v>3001</v>
      </c>
      <c r="T30" s="424">
        <v>2248748</v>
      </c>
      <c r="U30" s="324">
        <v>3065</v>
      </c>
      <c r="V30" s="314">
        <v>2219379.9</v>
      </c>
      <c r="W30" s="324">
        <v>2991</v>
      </c>
      <c r="X30" s="314">
        <v>2374199.5</v>
      </c>
      <c r="Y30" s="324">
        <v>3157</v>
      </c>
      <c r="Z30" s="314">
        <v>2517960.2139999997</v>
      </c>
      <c r="AA30" s="324">
        <v>3307.8825722543352</v>
      </c>
      <c r="AB30" s="13">
        <v>2666020.0130000003</v>
      </c>
      <c r="AC30" s="96">
        <v>3453.5951098185778</v>
      </c>
      <c r="AD30" s="13">
        <v>2694802.2030000007</v>
      </c>
      <c r="AE30" s="96">
        <v>3434.6848372069317</v>
      </c>
      <c r="AF30" s="425">
        <v>2710982.2280000001</v>
      </c>
      <c r="AG30" s="426">
        <v>3402.8282545799157</v>
      </c>
      <c r="AH30" s="425">
        <v>2457886.3459999999</v>
      </c>
      <c r="AI30" s="426">
        <v>3044.8251961307833</v>
      </c>
      <c r="AJ30" s="314">
        <v>2194859.665</v>
      </c>
      <c r="AK30" s="324">
        <v>2690.3312444650096</v>
      </c>
      <c r="AL30" s="314">
        <f>'Table 5'!AL30+'Table 6'!AL30</f>
        <v>2139757.4369999999</v>
      </c>
      <c r="AM30" s="324">
        <f>'Table 5'!AM30+'Table 6'!AM30</f>
        <v>2602.106165805787</v>
      </c>
      <c r="AN30" s="427">
        <f>'Table 5'!AN30+'Table 6'!AN30</f>
        <v>2100311.1279999996</v>
      </c>
      <c r="AO30" s="324">
        <f>'Table 5'!AO30+'Table 6'!AO30</f>
        <v>2535.4210776961263</v>
      </c>
      <c r="AP30" s="427">
        <f>'Table 5'!AP30+'Table 6'!AP30</f>
        <v>2168938.6169999996</v>
      </c>
      <c r="AQ30" s="324">
        <f>'Table 5'!AQ30+'Table 6'!AQ30</f>
        <v>2592.919917272874</v>
      </c>
      <c r="AR30" s="427">
        <f>'Table 5'!AR30+'Table 6'!AR30</f>
        <v>2242027.1290000002</v>
      </c>
      <c r="AS30" s="324">
        <f>'Table 5'!AS30+'Table 6'!AS30</f>
        <v>2647.6465859707132</v>
      </c>
      <c r="AT30" s="314">
        <f>'Table 5'!AT30+'Table 6'!AT30</f>
        <v>2204665.2390000001</v>
      </c>
      <c r="AU30" s="314">
        <f>'Table 5'!AU30+'Table 6'!AU30</f>
        <v>2566.8997086330201</v>
      </c>
      <c r="AV30" s="427">
        <f>'Table 5'!AV30+'Table 6'!AV30</f>
        <v>2423800.335</v>
      </c>
      <c r="AW30" s="324">
        <f>'Table 5'!AW30+'Table 6'!AW30</f>
        <v>2777.3818784967211</v>
      </c>
      <c r="AX30" s="427">
        <f>'Table 5'!AX30+'Table 6'!AX30</f>
        <v>2382926.1519999998</v>
      </c>
      <c r="AY30" s="314">
        <f>'Table 5'!AY30+'Table 6'!AY30</f>
        <v>2678.5812544084711</v>
      </c>
      <c r="AZ30" s="427">
        <f>'Table 5'!AZ30+'Table 6'!AZ30</f>
        <v>2422957.3820000007</v>
      </c>
      <c r="BA30" s="314">
        <f>'Table 5'!BA30+'Table 6'!BA30</f>
        <v>2674.5525393794233</v>
      </c>
      <c r="BB30" s="427">
        <f>'Table 5'!BB30+'Table 6'!BB30</f>
        <v>2440531.8559999997</v>
      </c>
      <c r="BC30" s="314">
        <f>'Table 5'!BC30+'Table 6'!BC30</f>
        <v>2654.1872980225717</v>
      </c>
      <c r="BD30" s="427">
        <f>'Table 5'!BD30+'Table 6'!BD30</f>
        <v>2458049.4869999997</v>
      </c>
      <c r="BE30" s="314">
        <f>'Table 5'!BE30+'Table 6'!BE30</f>
        <v>2645.1117930010332</v>
      </c>
      <c r="BF30" s="427">
        <f>'Table 5'!BF30+'Table 6'!BF30</f>
        <v>2537581.7520000013</v>
      </c>
      <c r="BG30" s="314">
        <f>'Table 5'!BG30+'Table 6'!BG30</f>
        <v>2705.0875348785157</v>
      </c>
      <c r="BH30" s="427">
        <f>'Table 5'!BH30+'Table 6'!BH30</f>
        <v>2570039.6160000004</v>
      </c>
      <c r="BI30" s="314">
        <f>'Table 5'!BI30+'Table 6'!BI30</f>
        <v>2776.8841635764857</v>
      </c>
      <c r="BJ30" s="428">
        <f>'Table 5'!BJ30+'Table 6'!BJ30</f>
        <v>2596089.3530000001</v>
      </c>
      <c r="BK30" s="429">
        <f>'Table 5'!BK30+'Table 6'!BK30</f>
        <v>2806.7628818019507</v>
      </c>
      <c r="BL30" s="430">
        <f t="shared" si="0"/>
        <v>1.075980000079757E-2</v>
      </c>
      <c r="BM30" s="432"/>
      <c r="BN30" s="13"/>
    </row>
    <row r="31" spans="1:66" ht="15" customHeight="1" x14ac:dyDescent="0.25">
      <c r="A31" s="382" t="str">
        <f>'Table 4'!A31</f>
        <v>Milton Freewater</v>
      </c>
      <c r="B31" s="328">
        <v>5551</v>
      </c>
      <c r="C31" s="331">
        <f>B31*2000/('Table 5'!B31*2000/'Table 5'!C31)</f>
        <v>1971.9360568383659</v>
      </c>
      <c r="D31" s="332">
        <v>5796</v>
      </c>
      <c r="E31" s="331">
        <f>D31*2000/('Table 5'!D31*2000/'Table 5'!E31)</f>
        <v>2010.7545533391153</v>
      </c>
      <c r="F31" s="332">
        <v>5814</v>
      </c>
      <c r="G31" s="331">
        <f>F31*2000/('Table 5'!F31*2000/'Table 5'!G31)</f>
        <v>1982.608695652174</v>
      </c>
      <c r="H31" s="332">
        <v>6362</v>
      </c>
      <c r="I31" s="331">
        <f>H31*2000/('Table 5'!H31*2000/'Table 5'!I31)</f>
        <v>2125.9816207184626</v>
      </c>
      <c r="J31" s="332">
        <v>5518</v>
      </c>
      <c r="K31" s="331">
        <f>J31*2000/('Table 5'!J31*2000/'Table 5'!K31)</f>
        <v>1822.6259289843106</v>
      </c>
      <c r="L31" s="332">
        <v>6273.9</v>
      </c>
      <c r="M31" s="331">
        <f>L31*2000/('Table 5'!L31*2000/'Table 5'!M31)</f>
        <v>2023.8387096774193</v>
      </c>
      <c r="N31" s="332">
        <v>6896</v>
      </c>
      <c r="O31" s="331">
        <f>N31*2000/('Table 5'!N31*2000/'Table 5'!O31)</f>
        <v>2121.8461538461538</v>
      </c>
      <c r="P31" s="383">
        <v>6573.7</v>
      </c>
      <c r="Q31" s="331">
        <f>P31*2000/('Table 5'!P31*2000/'Table 5'!Q31)</f>
        <v>2152.120595068156</v>
      </c>
      <c r="R31" s="329">
        <v>6346</v>
      </c>
      <c r="S31" s="331">
        <v>1954</v>
      </c>
      <c r="T31" s="433">
        <v>6368</v>
      </c>
      <c r="U31" s="331">
        <v>1942</v>
      </c>
      <c r="V31" s="329">
        <v>6876.2</v>
      </c>
      <c r="W31" s="331">
        <v>2132.1550387596899</v>
      </c>
      <c r="X31" s="329">
        <v>7051.2790000000005</v>
      </c>
      <c r="Y31" s="331">
        <v>2169.6243076923074</v>
      </c>
      <c r="Z31" s="329">
        <v>7767.0849999999991</v>
      </c>
      <c r="AA31" s="331">
        <v>2389.8723076923079</v>
      </c>
      <c r="AB31" s="332">
        <v>7335.3680000000004</v>
      </c>
      <c r="AC31" s="333">
        <v>2243.2318042813454</v>
      </c>
      <c r="AD31" s="332">
        <v>7960.8430000000008</v>
      </c>
      <c r="AE31" s="333">
        <v>2417.8718299164766</v>
      </c>
      <c r="AF31" s="434">
        <v>7630.5259999999998</v>
      </c>
      <c r="AG31" s="435">
        <v>2329.9316030534351</v>
      </c>
      <c r="AH31" s="434">
        <v>8368.4049999999988</v>
      </c>
      <c r="AI31" s="435">
        <v>2312.4121575946106</v>
      </c>
      <c r="AJ31" s="329">
        <v>6640.424</v>
      </c>
      <c r="AK31" s="331">
        <v>1833.6114869529201</v>
      </c>
      <c r="AL31" s="329">
        <f>'Table 5'!AL31+'Table 6'!AL31</f>
        <v>6648.2169999999996</v>
      </c>
      <c r="AM31" s="331">
        <f>'Table 5'!AM31+'Table 6'!AM31</f>
        <v>1749.5307894736843</v>
      </c>
      <c r="AN31" s="436">
        <f>'Table 5'!AN31+'Table 6'!AN31</f>
        <v>6617.8019999999997</v>
      </c>
      <c r="AO31" s="331">
        <f>'Table 5'!AO31+'Table 6'!AO31</f>
        <v>1728.3369025855313</v>
      </c>
      <c r="AP31" s="436">
        <f>'Table 5'!AP31+'Table 6'!AP31</f>
        <v>5982.0349999999999</v>
      </c>
      <c r="AQ31" s="331">
        <f>'Table 5'!AQ31+'Table 6'!AQ31</f>
        <v>1551.3576244813278</v>
      </c>
      <c r="AR31" s="436">
        <f>'Table 5'!AR31+'Table 6'!AR31</f>
        <v>7532.5340000000006</v>
      </c>
      <c r="AS31" s="331">
        <f>'Table 5'!AS31+'Table 6'!AS31</f>
        <v>1934.022466140317</v>
      </c>
      <c r="AT31" s="329">
        <f>'Table 5'!AT31+'Table 6'!AT31</f>
        <v>6862.9560000000001</v>
      </c>
      <c r="AU31" s="329">
        <f>'Table 5'!AU31+'Table 6'!AU31</f>
        <v>1752.0949706407966</v>
      </c>
      <c r="AV31" s="436">
        <f>'Table 5'!AV31+'Table 6'!AV31</f>
        <v>7087.8249999999998</v>
      </c>
      <c r="AW31" s="331">
        <f>'Table 5'!AW31+'Table 6'!AW31</f>
        <v>1790.8723390815489</v>
      </c>
      <c r="AX31" s="436">
        <f>'Table 5'!AX31+'Table 6'!AX31</f>
        <v>6554.6719999999987</v>
      </c>
      <c r="AY31" s="329">
        <f>'Table 5'!AY31+'Table 6'!AY31</f>
        <v>1641.1296945418126</v>
      </c>
      <c r="AZ31" s="436">
        <f>'Table 5'!AZ31+'Table 6'!AZ31</f>
        <v>3901.4459999999999</v>
      </c>
      <c r="BA31" s="329">
        <f>'Table 5'!BA31+'Table 6'!BA31</f>
        <v>969.30335403726713</v>
      </c>
      <c r="BB31" s="436">
        <f>'Table 5'!BB31+'Table 6'!BB31</f>
        <v>6513.0130000000008</v>
      </c>
      <c r="BC31" s="329">
        <f>'Table 5'!BC31+'Table 6'!BC31</f>
        <v>1612.8305577911224</v>
      </c>
      <c r="BD31" s="436">
        <f>'Table 5'!BD31+'Table 6'!BD31</f>
        <v>5631.97</v>
      </c>
      <c r="BE31" s="329">
        <f>'Table 5'!BE31+'Table 6'!BE31</f>
        <v>1387.8684080827993</v>
      </c>
      <c r="BF31" s="436">
        <f>'Table 5'!BF31+'Table 6'!BF31</f>
        <v>6507.9349999999995</v>
      </c>
      <c r="BG31" s="329">
        <f>'Table 5'!BG31+'Table 6'!BG31</f>
        <v>1597.1372476839067</v>
      </c>
      <c r="BH31" s="436">
        <f>'Table 5'!BH31+'Table 6'!BH31</f>
        <v>7538.8849999999993</v>
      </c>
      <c r="BI31" s="329">
        <f>'Table 5'!BI31+'Table 6'!BI31</f>
        <v>1872.4799125715631</v>
      </c>
      <c r="BJ31" s="437">
        <f>'Table 5'!BJ31+'Table 6'!BJ31</f>
        <v>6671.4619999999995</v>
      </c>
      <c r="BK31" s="438">
        <f>'Table 5'!BK31+'Table 6'!BK31</f>
        <v>1659.5470205594459</v>
      </c>
      <c r="BL31" s="439">
        <f t="shared" si="0"/>
        <v>-0.11371705009090682</v>
      </c>
      <c r="BM31" s="432"/>
      <c r="BN31" s="13"/>
    </row>
    <row r="32" spans="1:66" ht="15" customHeight="1" x14ac:dyDescent="0.25">
      <c r="A32" s="377" t="str">
        <f>'Table 4'!A32</f>
        <v>Morrow</v>
      </c>
      <c r="B32" s="322">
        <v>8151</v>
      </c>
      <c r="C32" s="324">
        <f>B32*2000/('Table 5'!B32*2000/'Table 5'!C32)</f>
        <v>1990.4761904761904</v>
      </c>
      <c r="D32" s="13">
        <v>5929</v>
      </c>
      <c r="E32" s="324">
        <f>D32*2000/('Table 5'!D32*2000/'Table 5'!E32)</f>
        <v>1377.2357723577236</v>
      </c>
      <c r="F32" s="13">
        <v>6507</v>
      </c>
      <c r="G32" s="324">
        <f>F32*2000/('Table 5'!F32*2000/'Table 5'!G32)</f>
        <v>1485.6164383561643</v>
      </c>
      <c r="H32" s="13">
        <v>7535</v>
      </c>
      <c r="I32" s="324">
        <f>H32*2000/('Table 5'!H32*2000/'Table 5'!I32)</f>
        <v>1665.1933701657458</v>
      </c>
      <c r="J32" s="13">
        <v>6725</v>
      </c>
      <c r="K32" s="324">
        <f>J32*2000/('Table 5'!J32*2000/'Table 5'!K32)</f>
        <v>1444.6831364124598</v>
      </c>
      <c r="L32" s="13">
        <v>7239</v>
      </c>
      <c r="M32" s="324">
        <f>L32*2000/('Table 5'!L32*2000/'Table 5'!M32)</f>
        <v>1491.0401647785789</v>
      </c>
      <c r="N32" s="13">
        <v>7119.6</v>
      </c>
      <c r="O32" s="324">
        <f>N32*2000/('Table 5'!N32*2000/'Table 5'!O32)</f>
        <v>1405.6465942744323</v>
      </c>
      <c r="P32" s="378">
        <v>7374.8</v>
      </c>
      <c r="Q32" s="324">
        <f>P32*2000/('Table 5'!P32*2000/'Table 5'!Q32)</f>
        <v>1374.6132339235789</v>
      </c>
      <c r="R32" s="388">
        <v>9681</v>
      </c>
      <c r="S32" s="389">
        <v>1744</v>
      </c>
      <c r="T32" s="440">
        <v>8758</v>
      </c>
      <c r="U32" s="389">
        <v>1571</v>
      </c>
      <c r="V32" s="388">
        <v>10228.5</v>
      </c>
      <c r="W32" s="389">
        <v>1818.4</v>
      </c>
      <c r="X32" s="388">
        <v>9834.152</v>
      </c>
      <c r="Y32" s="389">
        <v>1673.8982127659574</v>
      </c>
      <c r="Z32" s="388">
        <v>11396.253000000001</v>
      </c>
      <c r="AA32" s="389">
        <v>1939.7877446808511</v>
      </c>
      <c r="AB32" s="336">
        <v>10529.828</v>
      </c>
      <c r="AC32" s="96">
        <v>1763.0519882796148</v>
      </c>
      <c r="AD32" s="13">
        <v>13380.096</v>
      </c>
      <c r="AE32" s="96">
        <v>2207.0261443298969</v>
      </c>
      <c r="AF32" s="441">
        <v>14991.65</v>
      </c>
      <c r="AG32" s="442">
        <v>2430.7498986623432</v>
      </c>
      <c r="AH32" s="441">
        <v>15617.851999999999</v>
      </c>
      <c r="AI32" s="442">
        <v>2502.0431509523914</v>
      </c>
      <c r="AJ32" s="388">
        <v>15324.922</v>
      </c>
      <c r="AK32" s="389">
        <v>2444.166188197767</v>
      </c>
      <c r="AL32" s="388">
        <f>'Table 5'!AL32+'Table 6'!AL32</f>
        <v>13754.362000000001</v>
      </c>
      <c r="AM32" s="389">
        <f>'Table 5'!AM32+'Table 6'!AM32</f>
        <v>2461.6307829977627</v>
      </c>
      <c r="AN32" s="443">
        <f>'Table 5'!AN32+'Table 6'!AN32</f>
        <v>14153.963</v>
      </c>
      <c r="AO32" s="389">
        <f>'Table 5'!AO32+'Table 6'!AO32</f>
        <v>2511.7946761313219</v>
      </c>
      <c r="AP32" s="443">
        <f>'Table 5'!AP32+'Table 6'!AP32</f>
        <v>14656.225</v>
      </c>
      <c r="AQ32" s="389">
        <f>'Table 5'!AQ32+'Table 6'!AQ32</f>
        <v>2594.0221238938057</v>
      </c>
      <c r="AR32" s="443">
        <f>'Table 5'!AR32+'Table 6'!AR32</f>
        <v>16090.191999999999</v>
      </c>
      <c r="AS32" s="389">
        <f>'Table 5'!AS32+'Table 6'!AS32</f>
        <v>2816.6638074398247</v>
      </c>
      <c r="AT32" s="388">
        <f>'Table 5'!AT32+'Table 6'!AT32</f>
        <v>19332.814000000002</v>
      </c>
      <c r="AU32" s="388">
        <f>'Table 5'!AU32+'Table 6'!AU32</f>
        <v>3354.9351843817785</v>
      </c>
      <c r="AV32" s="443">
        <f>'Table 5'!AV32+'Table 6'!AV32</f>
        <v>21126.494000000002</v>
      </c>
      <c r="AW32" s="389">
        <f>'Table 5'!AW32+'Table 6'!AW32</f>
        <v>3633.1030094582979</v>
      </c>
      <c r="AX32" s="443">
        <f>'Table 5'!AX32+'Table 6'!AX32</f>
        <v>23112.457000000002</v>
      </c>
      <c r="AY32" s="388">
        <f>'Table 5'!AY32+'Table 6'!AY32</f>
        <v>3935.7100042571315</v>
      </c>
      <c r="AZ32" s="443">
        <f>'Table 5'!AZ32+'Table 6'!AZ32</f>
        <v>28044.124</v>
      </c>
      <c r="BA32" s="388">
        <f>'Table 5'!BA32+'Table 6'!BA32</f>
        <v>4717.2622371740954</v>
      </c>
      <c r="BB32" s="443">
        <f>'Table 5'!BB32+'Table 6'!BB32</f>
        <v>24478.778000000002</v>
      </c>
      <c r="BC32" s="388">
        <f>'Table 5'!BC32+'Table 6'!BC32</f>
        <v>4119.272696676484</v>
      </c>
      <c r="BD32" s="443">
        <f>'Table 5'!BD32+'Table 6'!BD32</f>
        <v>33111.156000000003</v>
      </c>
      <c r="BE32" s="388">
        <f>'Table 5'!BE32+'Table 6'!BE32</f>
        <v>5222.5798107255523</v>
      </c>
      <c r="BF32" s="443">
        <f>'Table 5'!BF32+'Table 6'!BF32</f>
        <v>42810.295999999995</v>
      </c>
      <c r="BG32" s="388">
        <f>'Table 5'!BG32+'Table 6'!BG32</f>
        <v>6676.0695516569194</v>
      </c>
      <c r="BH32" s="443">
        <f>'Table 5'!BH32+'Table 6'!BH32</f>
        <v>34432.163999999997</v>
      </c>
      <c r="BI32" s="388">
        <f>'Table 5'!BI32+'Table 6'!BI32</f>
        <v>5450.2831816383059</v>
      </c>
      <c r="BJ32" s="444">
        <f>'Table 5'!BJ32+'Table 6'!BJ32</f>
        <v>28073.496000000003</v>
      </c>
      <c r="BK32" s="445">
        <f>'Table 5'!BK32+'Table 6'!BK32</f>
        <v>4559.1232372540271</v>
      </c>
      <c r="BL32" s="430">
        <f>(BK32/BI32)-1</f>
        <v>-0.1635070903079946</v>
      </c>
      <c r="BM32" s="432"/>
      <c r="BN32" s="13"/>
    </row>
    <row r="33" spans="1:66" ht="15" customHeight="1" x14ac:dyDescent="0.25">
      <c r="A33" s="377" t="str">
        <f>'Table 4'!A33</f>
        <v>Polk</v>
      </c>
      <c r="B33" s="322">
        <v>23909</v>
      </c>
      <c r="C33" s="324">
        <f>B33*2000/('Table 5'!B33*2000/'Table 5'!C33)</f>
        <v>915.94835842623456</v>
      </c>
      <c r="D33" s="13">
        <v>32438</v>
      </c>
      <c r="E33" s="324">
        <f>D33*2000/('Table 5'!D33*2000/'Table 5'!E33)</f>
        <v>1217.0487374779575</v>
      </c>
      <c r="F33" s="13">
        <v>31794</v>
      </c>
      <c r="G33" s="324">
        <f>F33*2000/('Table 5'!F33*2000/'Table 5'!G33)</f>
        <v>1153.3145914573322</v>
      </c>
      <c r="H33" s="13">
        <v>33677</v>
      </c>
      <c r="I33" s="324">
        <f>H33*2000/('Table 5'!H33*2000/'Table 5'!I33)</f>
        <v>1200.5204619991443</v>
      </c>
      <c r="J33" s="13">
        <v>35442</v>
      </c>
      <c r="K33" s="324">
        <f>J33*2000/('Table 5'!J33*2000/'Table 5'!K33)</f>
        <v>1237.1976123154257</v>
      </c>
      <c r="L33" s="13">
        <v>39778</v>
      </c>
      <c r="M33" s="324">
        <f>L33*2000/('Table 5'!L33*2000/'Table 5'!M33)</f>
        <v>1352.7171325579814</v>
      </c>
      <c r="N33" s="13">
        <v>49984.7</v>
      </c>
      <c r="O33" s="324">
        <f>N33*2000/('Table 5'!N33*2000/'Table 5'!O33)</f>
        <v>1659.2431535269709</v>
      </c>
      <c r="P33" s="378">
        <v>53592.1</v>
      </c>
      <c r="Q33" s="324">
        <f>P33*2000/('Table 5'!P33*2000/'Table 5'!Q33)</f>
        <v>1499.2308411530453</v>
      </c>
      <c r="R33" s="314">
        <v>55322</v>
      </c>
      <c r="S33" s="324">
        <v>1785</v>
      </c>
      <c r="T33" s="424">
        <v>57464</v>
      </c>
      <c r="U33" s="324">
        <v>1827</v>
      </c>
      <c r="V33" s="314">
        <v>61886.3</v>
      </c>
      <c r="W33" s="324">
        <v>1972.7861013707366</v>
      </c>
      <c r="X33" s="314">
        <v>65410.964999999997</v>
      </c>
      <c r="Y33" s="324">
        <v>2067.0237004266078</v>
      </c>
      <c r="Z33" s="314">
        <v>73817.520999999993</v>
      </c>
      <c r="AA33" s="324">
        <v>2298.1793586550434</v>
      </c>
      <c r="AB33" s="13">
        <v>80084.716</v>
      </c>
      <c r="AC33" s="96">
        <v>2465.6624384236452</v>
      </c>
      <c r="AD33" s="13">
        <v>79527.457999999999</v>
      </c>
      <c r="AE33" s="96">
        <v>2411.786622996558</v>
      </c>
      <c r="AF33" s="425">
        <v>72967.282999999996</v>
      </c>
      <c r="AG33" s="426">
        <v>2185.1398667365429</v>
      </c>
      <c r="AH33" s="425">
        <v>74167.782999999996</v>
      </c>
      <c r="AI33" s="426">
        <v>2197.0757016959196</v>
      </c>
      <c r="AJ33" s="314">
        <v>70185.960999999996</v>
      </c>
      <c r="AK33" s="324">
        <v>2062.3216337324616</v>
      </c>
      <c r="AL33" s="314">
        <f>'Table 5'!AL33+'Table 6'!AL33</f>
        <v>72685.59</v>
      </c>
      <c r="AM33" s="324">
        <f>'Table 5'!AM33+'Table 6'!AM33</f>
        <v>1947.3701272605492</v>
      </c>
      <c r="AN33" s="427">
        <f>'Table 5'!AN33+'Table 6'!AN33</f>
        <v>72256.171999999991</v>
      </c>
      <c r="AO33" s="324">
        <f>'Table 5'!AO33+'Table 6'!AO33</f>
        <v>1923.7532481363148</v>
      </c>
      <c r="AP33" s="427">
        <f>'Table 5'!AP33+'Table 6'!AP33</f>
        <v>69068.191999999995</v>
      </c>
      <c r="AQ33" s="324">
        <f>'Table 5'!AQ33+'Table 6'!AQ33</f>
        <v>1822.8607020321983</v>
      </c>
      <c r="AR33" s="427">
        <f>'Table 5'!AR33+'Table 6'!AR33</f>
        <v>68726.17300000001</v>
      </c>
      <c r="AS33" s="324">
        <f>'Table 5'!AS33+'Table 6'!AS33</f>
        <v>1803.4105591854941</v>
      </c>
      <c r="AT33" s="314">
        <f>'Table 5'!AT33+'Table 6'!AT33</f>
        <v>75095.429000000004</v>
      </c>
      <c r="AU33" s="314">
        <f>'Table 5'!AU33+'Table 6'!AU33</f>
        <v>1953.3972973324489</v>
      </c>
      <c r="AV33" s="427">
        <f>'Table 5'!AV33+'Table 6'!AV33</f>
        <v>77848.337999999989</v>
      </c>
      <c r="AW33" s="324">
        <f>'Table 5'!AW33+'Table 6'!AW33</f>
        <v>2003.2510228764056</v>
      </c>
      <c r="AX33" s="427">
        <f>'Table 5'!AX33+'Table 6'!AX33</f>
        <v>86054.675000000017</v>
      </c>
      <c r="AY33" s="314">
        <f>'Table 5'!AY33+'Table 6'!AY33</f>
        <v>2182.4393553213886</v>
      </c>
      <c r="AZ33" s="427">
        <f>'Table 5'!AZ33+'Table 6'!AZ33</f>
        <v>97048.483999999997</v>
      </c>
      <c r="BA33" s="314">
        <f>'Table 5'!BA33+'Table 6'!BA33</f>
        <v>2422.2759016598029</v>
      </c>
      <c r="BB33" s="427">
        <f>'Table 5'!BB33+'Table 6'!BB33</f>
        <v>86767.955000000002</v>
      </c>
      <c r="BC33" s="314">
        <f>'Table 5'!BC33+'Table 6'!BC33</f>
        <v>2136.7470294896261</v>
      </c>
      <c r="BD33" s="427">
        <f>'Table 5'!BD33+'Table 6'!BD33</f>
        <v>98829.250999999989</v>
      </c>
      <c r="BE33" s="314">
        <f>'Table 5'!BE33+'Table 6'!BE33</f>
        <v>2409.0006337599025</v>
      </c>
      <c r="BF33" s="427">
        <f>'Table 5'!BF33+'Table 6'!BF33</f>
        <v>96460.003999999986</v>
      </c>
      <c r="BG33" s="314">
        <f>'Table 5'!BG33+'Table 6'!BG33</f>
        <v>2326.8605475817153</v>
      </c>
      <c r="BH33" s="427">
        <f>'Table 5'!BH33+'Table 6'!BH33</f>
        <v>92260.043000000005</v>
      </c>
      <c r="BI33" s="314">
        <f>'Table 5'!BI33+'Table 6'!BI33</f>
        <v>2097.0097963451226</v>
      </c>
      <c r="BJ33" s="428">
        <f>'Table 5'!BJ33+'Table 6'!BJ33</f>
        <v>90660.428</v>
      </c>
      <c r="BK33" s="429">
        <f>'Table 5'!BK33+'Table 6'!BK33</f>
        <v>2022.0533556265664</v>
      </c>
      <c r="BL33" s="430">
        <f t="shared" si="0"/>
        <v>-3.5744439939764616E-2</v>
      </c>
      <c r="BM33" s="432"/>
      <c r="BN33" s="13"/>
    </row>
    <row r="34" spans="1:66" ht="15" customHeight="1" x14ac:dyDescent="0.25">
      <c r="A34" s="377" t="str">
        <f>'Table 4'!A34</f>
        <v>Sherman</v>
      </c>
      <c r="B34" s="322">
        <v>1146</v>
      </c>
      <c r="C34" s="324">
        <f>B34*2000/('Table 5'!B34*2000/'Table 5'!C34)</f>
        <v>1181.4432989690722</v>
      </c>
      <c r="D34" s="13">
        <v>1020</v>
      </c>
      <c r="E34" s="324">
        <f>D34*2000/('Table 5'!D34*2000/'Table 5'!E34)</f>
        <v>1035.5329949238578</v>
      </c>
      <c r="F34" s="13">
        <v>1006</v>
      </c>
      <c r="G34" s="324">
        <f>F34*2000/('Table 5'!F34*2000/'Table 5'!G34)</f>
        <v>1031.7948717948718</v>
      </c>
      <c r="H34" s="13">
        <v>1111</v>
      </c>
      <c r="I34" s="324">
        <f>H34*2000/('Table 5'!H34*2000/'Table 5'!I34)</f>
        <v>1122.2222222222222</v>
      </c>
      <c r="J34" s="13">
        <v>1252</v>
      </c>
      <c r="K34" s="324">
        <f>J34*2000/('Table 5'!J34*2000/'Table 5'!K34)</f>
        <v>1304.1666666666667</v>
      </c>
      <c r="L34" s="13">
        <v>1461.1</v>
      </c>
      <c r="M34" s="324">
        <f>L34*2000/('Table 5'!L34*2000/'Table 5'!M34)</f>
        <v>1521.9791666666667</v>
      </c>
      <c r="N34" s="13">
        <v>1302</v>
      </c>
      <c r="O34" s="324">
        <f>N34*2000/('Table 5'!N34*2000/'Table 5'!O34)</f>
        <v>1356.25</v>
      </c>
      <c r="P34" s="378">
        <v>1456.1</v>
      </c>
      <c r="Q34" s="324">
        <f>P34*2000/('Table 5'!P34*2000/'Table 5'!Q34)</f>
        <v>1508.9119170984454</v>
      </c>
      <c r="R34" s="314">
        <v>1248</v>
      </c>
      <c r="S34" s="324">
        <v>1280</v>
      </c>
      <c r="T34" s="424">
        <v>1540</v>
      </c>
      <c r="U34" s="324">
        <v>1621</v>
      </c>
      <c r="V34" s="314">
        <v>1794.6</v>
      </c>
      <c r="W34" s="324">
        <v>1940.1081081081081</v>
      </c>
      <c r="X34" s="314">
        <v>1481.65</v>
      </c>
      <c r="Y34" s="324">
        <v>1559.6315789473683</v>
      </c>
      <c r="Z34" s="314">
        <v>1676.3979999999999</v>
      </c>
      <c r="AA34" s="324">
        <v>1764.6294736842103</v>
      </c>
      <c r="AB34" s="13">
        <v>1142.6369999999999</v>
      </c>
      <c r="AC34" s="96">
        <v>1215.5712765957446</v>
      </c>
      <c r="AD34" s="13">
        <v>1253.6400000000001</v>
      </c>
      <c r="AE34" s="96">
        <v>1344.3860589812332</v>
      </c>
      <c r="AF34" s="425">
        <v>1457.5920000000001</v>
      </c>
      <c r="AG34" s="426">
        <v>1571.5277628032345</v>
      </c>
      <c r="AH34" s="425">
        <v>1734.328</v>
      </c>
      <c r="AI34" s="426">
        <v>1882.0705371676613</v>
      </c>
      <c r="AJ34" s="314">
        <v>1425.123</v>
      </c>
      <c r="AK34" s="324">
        <v>1557.5114754098361</v>
      </c>
      <c r="AL34" s="314">
        <f>'Table 5'!AL34+'Table 6'!AL34</f>
        <v>1344.1469999999997</v>
      </c>
      <c r="AM34" s="324">
        <f>'Table 5'!AM34+'Table 6'!AM34</f>
        <v>1523.1127478753538</v>
      </c>
      <c r="AN34" s="427">
        <f>'Table 5'!AN34+'Table 6'!AN34</f>
        <v>1397.173</v>
      </c>
      <c r="AO34" s="324">
        <f>'Table 5'!AO34+'Table 6'!AO34</f>
        <v>1583.1988668555241</v>
      </c>
      <c r="AP34" s="427">
        <f>'Table 5'!AP34+'Table 6'!AP34</f>
        <v>1453.8920000000001</v>
      </c>
      <c r="AQ34" s="324">
        <f>'Table 5'!AQ34+'Table 6'!AQ34</f>
        <v>1647.4696883852691</v>
      </c>
      <c r="AR34" s="427">
        <f>'Table 5'!AR34+'Table 6'!AR34</f>
        <v>1271.4369999999999</v>
      </c>
      <c r="AS34" s="324">
        <f>'Table 5'!AS34+'Table 6'!AS34</f>
        <v>1428.5808988764045</v>
      </c>
      <c r="AT34" s="314">
        <f>'Table 5'!AT34+'Table 6'!AT34</f>
        <v>1379.212</v>
      </c>
      <c r="AU34" s="314">
        <f>'Table 5'!AU34+'Table 6'!AU34</f>
        <v>1545.3355742296919</v>
      </c>
      <c r="AV34" s="427">
        <f>'Table 5'!AV34+'Table 6'!AV34</f>
        <v>1581.6370000000002</v>
      </c>
      <c r="AW34" s="324">
        <f>'Table 5'!AW34+'Table 6'!AW34</f>
        <v>1767.1921787709498</v>
      </c>
      <c r="AX34" s="427">
        <f>'Table 5'!AX34+'Table 6'!AX34</f>
        <v>1382.7280000000003</v>
      </c>
      <c r="AY34" s="314">
        <f>'Table 5'!AY34+'Table 6'!AY34</f>
        <v>1540.6440111420616</v>
      </c>
      <c r="AZ34" s="427">
        <f>'Table 5'!AZ34+'Table 6'!AZ34</f>
        <v>1363.7470000000001</v>
      </c>
      <c r="BA34" s="314">
        <f>'Table 5'!BA34+'Table 6'!BA34</f>
        <v>1515.2744444444445</v>
      </c>
      <c r="BB34" s="427">
        <f>'Table 5'!BB34+'Table 6'!BB34</f>
        <v>1426.2329999999999</v>
      </c>
      <c r="BC34" s="314">
        <f>'Table 5'!BC34+'Table 6'!BC34</f>
        <v>1598.0201680672269</v>
      </c>
      <c r="BD34" s="427">
        <f>'Table 5'!BD34+'Table 6'!BD34</f>
        <v>1358.4669999999999</v>
      </c>
      <c r="BE34" s="314">
        <f>'Table 5'!BE34+'Table 6'!BE34</f>
        <v>1534.9909604519773</v>
      </c>
      <c r="BF34" s="427">
        <f>'Table 5'!BF34+'Table 6'!BF34</f>
        <v>1387.7160000000001</v>
      </c>
      <c r="BG34" s="314">
        <f>'Table 5'!BG34+'Table 6'!BG34</f>
        <v>1546.2016713091923</v>
      </c>
      <c r="BH34" s="427">
        <f>'Table 5'!BH34+'Table 6'!BH34</f>
        <v>1674.7629999999999</v>
      </c>
      <c r="BI34" s="314">
        <f>'Table 5'!BI34+'Table 6'!BI34</f>
        <v>1755.5167714884697</v>
      </c>
      <c r="BJ34" s="428">
        <f>'Table 5'!BJ34+'Table 6'!BJ34</f>
        <v>1693.528</v>
      </c>
      <c r="BK34" s="429">
        <f>'Table 5'!BK34+'Table 6'!BK34</f>
        <v>1747.4545204560059</v>
      </c>
      <c r="BL34" s="430">
        <f t="shared" si="0"/>
        <v>-4.5925229330779915E-3</v>
      </c>
      <c r="BM34" s="432"/>
      <c r="BN34" s="13"/>
    </row>
    <row r="35" spans="1:66" ht="15" customHeight="1" x14ac:dyDescent="0.25">
      <c r="A35" s="377" t="str">
        <f>'Table 4'!A35</f>
        <v>Tillamook</v>
      </c>
      <c r="B35" s="322">
        <v>14458</v>
      </c>
      <c r="C35" s="324">
        <f>B35*2000/('Table 5'!B35*2000/'Table 5'!C35)</f>
        <v>1299.5955056179776</v>
      </c>
      <c r="D35" s="13">
        <v>15957</v>
      </c>
      <c r="E35" s="324">
        <f>D35*2000/('Table 5'!D35*2000/'Table 5'!E35)</f>
        <v>1402.8131868131868</v>
      </c>
      <c r="F35" s="13">
        <v>18645</v>
      </c>
      <c r="G35" s="324">
        <f>F35*2000/('Table 5'!F35*2000/'Table 5'!G35)</f>
        <v>1614.2857142857142</v>
      </c>
      <c r="H35" s="13">
        <v>17824</v>
      </c>
      <c r="I35" s="324">
        <f>H35*2000/('Table 5'!H35*2000/'Table 5'!I35)</f>
        <v>1513.7154989384289</v>
      </c>
      <c r="J35" s="13">
        <v>20458</v>
      </c>
      <c r="K35" s="324">
        <f>J35*2000/('Table 5'!J35*2000/'Table 5'!K35)</f>
        <v>1709.1060985797828</v>
      </c>
      <c r="L35" s="13">
        <v>19179.3</v>
      </c>
      <c r="M35" s="324">
        <f>L35*2000/('Table 5'!L35*2000/'Table 5'!M35)</f>
        <v>1587.0335126189491</v>
      </c>
      <c r="N35" s="13">
        <v>20435.099999999999</v>
      </c>
      <c r="O35" s="324">
        <f>N35*2000/('Table 5'!N35*2000/'Table 5'!O35)</f>
        <v>1695.1555371215263</v>
      </c>
      <c r="P35" s="378">
        <v>24376</v>
      </c>
      <c r="Q35" s="324">
        <f>P35*2000/('Table 5'!P35*2000/'Table 5'!Q35)</f>
        <v>2012.8819157720891</v>
      </c>
      <c r="R35" s="314">
        <v>23981</v>
      </c>
      <c r="S35" s="324">
        <v>1974</v>
      </c>
      <c r="T35" s="424">
        <v>25437</v>
      </c>
      <c r="U35" s="324">
        <v>2068</v>
      </c>
      <c r="V35" s="314">
        <v>25457.5</v>
      </c>
      <c r="W35" s="324">
        <v>2069.7154471544713</v>
      </c>
      <c r="X35" s="314">
        <v>26625.481000000007</v>
      </c>
      <c r="Y35" s="324">
        <v>2138.5928514056227</v>
      </c>
      <c r="Z35" s="314">
        <v>34015.124000000003</v>
      </c>
      <c r="AA35" s="324">
        <v>2726.6632464929862</v>
      </c>
      <c r="AB35" s="13">
        <v>33987.362999999998</v>
      </c>
      <c r="AC35" s="96">
        <v>2696.8746677246581</v>
      </c>
      <c r="AD35" s="13">
        <v>37542.335999999996</v>
      </c>
      <c r="AE35" s="96">
        <v>2941.0368977673324</v>
      </c>
      <c r="AF35" s="425">
        <v>37386.692999999999</v>
      </c>
      <c r="AG35" s="426">
        <v>2893.1470690655833</v>
      </c>
      <c r="AH35" s="425">
        <v>38039.724000000002</v>
      </c>
      <c r="AI35" s="426">
        <v>2919.6196177757311</v>
      </c>
      <c r="AJ35" s="314">
        <v>31870.171999999999</v>
      </c>
      <c r="AK35" s="324">
        <v>2439.3549177190971</v>
      </c>
      <c r="AL35" s="314">
        <f>'Table 5'!AL35+'Table 6'!AL35</f>
        <v>32531.832000000002</v>
      </c>
      <c r="AM35" s="324">
        <f>'Table 5'!AM35+'Table 6'!AM35</f>
        <v>2575.7586698337291</v>
      </c>
      <c r="AN35" s="427">
        <f>'Table 5'!AN35+'Table 6'!AN35</f>
        <v>30966.597000000002</v>
      </c>
      <c r="AO35" s="324">
        <f>'Table 5'!AO35+'Table 6'!AO35</f>
        <v>2452.3141556127503</v>
      </c>
      <c r="AP35" s="427">
        <f>'Table 5'!AP35+'Table 6'!AP35</f>
        <v>32162.150999999998</v>
      </c>
      <c r="AQ35" s="324">
        <f>'Table 5'!AQ35+'Table 6'!AQ35</f>
        <v>2541.9601659751038</v>
      </c>
      <c r="AR35" s="427">
        <f>'Table 5'!AR35+'Table 6'!AR35</f>
        <v>30410.012999999999</v>
      </c>
      <c r="AS35" s="324">
        <f>'Table 5'!AS35+'Table 6'!AS35</f>
        <v>2396.8483152709359</v>
      </c>
      <c r="AT35" s="314">
        <f>'Table 5'!AT35+'Table 6'!AT35</f>
        <v>30668.636999999999</v>
      </c>
      <c r="AU35" s="314">
        <f>'Table 5'!AU35+'Table 6'!AU35</f>
        <v>2407.271350078493</v>
      </c>
      <c r="AV35" s="427">
        <f>'Table 5'!AV35+'Table 6'!AV35</f>
        <v>32553.589</v>
      </c>
      <c r="AW35" s="324">
        <f>'Table 5'!AW35+'Table 6'!AW35</f>
        <v>2534.3393538341766</v>
      </c>
      <c r="AX35" s="427">
        <f>'Table 5'!AX35+'Table 6'!AX35</f>
        <v>35734.766000000003</v>
      </c>
      <c r="AY35" s="314">
        <f>'Table 5'!AY35+'Table 6'!AY35</f>
        <v>2757.3121913580248</v>
      </c>
      <c r="AZ35" s="427">
        <f>'Table 5'!AZ35+'Table 6'!AZ35</f>
        <v>37864.677000000003</v>
      </c>
      <c r="BA35" s="314">
        <f>'Table 5'!BA35+'Table 6'!BA35</f>
        <v>2893.194040114613</v>
      </c>
      <c r="BB35" s="427">
        <f>'Table 5'!BB35+'Table 6'!BB35</f>
        <v>39123.527999999991</v>
      </c>
      <c r="BC35" s="314">
        <f>'Table 5'!BC35+'Table 6'!BC35</f>
        <v>2964.465088084864</v>
      </c>
      <c r="BD35" s="427">
        <f>'Table 5'!BD35+'Table 6'!BD35</f>
        <v>39517.175999999999</v>
      </c>
      <c r="BE35" s="314">
        <f>'Table 5'!BE35+'Table 6'!BE35</f>
        <v>2982.4283773584903</v>
      </c>
      <c r="BF35" s="427">
        <f>'Table 5'!BF35+'Table 6'!BF35</f>
        <v>43707.712999999989</v>
      </c>
      <c r="BG35" s="314">
        <f>'Table 5'!BG35+'Table 6'!BG35</f>
        <v>3294.9651715039568</v>
      </c>
      <c r="BH35" s="427">
        <f>'Table 5'!BH35+'Table 6'!BH35</f>
        <v>48283.870999999999</v>
      </c>
      <c r="BI35" s="314">
        <f>'Table 5'!BI35+'Table 6'!BI35</f>
        <v>3495.2852902852183</v>
      </c>
      <c r="BJ35" s="428">
        <f>'Table 5'!BJ35+'Table 6'!BJ35</f>
        <v>44733.862999999998</v>
      </c>
      <c r="BK35" s="429">
        <f>'Table 5'!BK35+'Table 6'!BK35</f>
        <v>3210.4295740196189</v>
      </c>
      <c r="BL35" s="430">
        <f t="shared" si="0"/>
        <v>-8.1497129020433934E-2</v>
      </c>
      <c r="BM35" s="432"/>
      <c r="BN35" s="13"/>
    </row>
    <row r="36" spans="1:66" ht="15" customHeight="1" x14ac:dyDescent="0.25">
      <c r="A36" s="382" t="str">
        <f>'Table 4'!A36</f>
        <v>Umatilla</v>
      </c>
      <c r="B36" s="328">
        <v>47700</v>
      </c>
      <c r="C36" s="331">
        <f>B36*2000/('Table 5'!B36*2000/'Table 5'!C36)</f>
        <v>1697.5088967971531</v>
      </c>
      <c r="D36" s="332">
        <v>49012</v>
      </c>
      <c r="E36" s="331">
        <f>D36*2000/('Table 5'!D36*2000/'Table 5'!E36)</f>
        <v>1706.6945242447985</v>
      </c>
      <c r="F36" s="332">
        <v>55811</v>
      </c>
      <c r="G36" s="331">
        <f>F36*2000/('Table 5'!F36*2000/'Table 5'!G36)</f>
        <v>1908.2314727754508</v>
      </c>
      <c r="H36" s="332">
        <v>58045</v>
      </c>
      <c r="I36" s="331">
        <f>H36*2000/('Table 5'!H36*2000/'Table 5'!I36)</f>
        <v>1950.2729945401093</v>
      </c>
      <c r="J36" s="332">
        <v>63843</v>
      </c>
      <c r="K36" s="331">
        <f>J36*2000/('Table 5'!J36*2000/'Table 5'!K36)</f>
        <v>2123.3225243202792</v>
      </c>
      <c r="L36" s="332">
        <v>65049.5</v>
      </c>
      <c r="M36" s="331">
        <f>L36*2000/('Table 5'!L36*2000/'Table 5'!M36)</f>
        <v>2150.7521904447017</v>
      </c>
      <c r="N36" s="332">
        <v>69432.800000000003</v>
      </c>
      <c r="O36" s="331">
        <f>N36*2000/('Table 5'!N36*2000/'Table 5'!O36)</f>
        <v>2248.835627530364</v>
      </c>
      <c r="P36" s="383">
        <v>76366.899999999994</v>
      </c>
      <c r="Q36" s="331">
        <f>P36*2000/('Table 5'!P36*2000/'Table 5'!Q36)</f>
        <v>2396.9163403432703</v>
      </c>
      <c r="R36" s="329">
        <v>78067</v>
      </c>
      <c r="S36" s="331">
        <v>2426</v>
      </c>
      <c r="T36" s="433">
        <v>82951</v>
      </c>
      <c r="U36" s="331">
        <v>2579</v>
      </c>
      <c r="V36" s="329">
        <v>94570.3</v>
      </c>
      <c r="W36" s="331">
        <v>2930.1409759876069</v>
      </c>
      <c r="X36" s="329">
        <v>94026.012999999992</v>
      </c>
      <c r="Y36" s="331">
        <v>2911.0220743034051</v>
      </c>
      <c r="Z36" s="329">
        <v>101444.50799999999</v>
      </c>
      <c r="AA36" s="331">
        <v>3085.7645019011402</v>
      </c>
      <c r="AB36" s="332">
        <v>90705.156000000003</v>
      </c>
      <c r="AC36" s="333">
        <v>2754.6930681041686</v>
      </c>
      <c r="AD36" s="332">
        <v>101474.82200000001</v>
      </c>
      <c r="AE36" s="333">
        <v>3093.5087874399819</v>
      </c>
      <c r="AF36" s="434">
        <v>105164.56200000001</v>
      </c>
      <c r="AG36" s="435">
        <v>3201.6001826623033</v>
      </c>
      <c r="AH36" s="434">
        <v>107217.71599999999</v>
      </c>
      <c r="AI36" s="435">
        <v>3291.8997107164942</v>
      </c>
      <c r="AJ36" s="329">
        <v>95565.691999999995</v>
      </c>
      <c r="AK36" s="331">
        <v>2932.0475554941936</v>
      </c>
      <c r="AL36" s="329">
        <f>'Table 5'!AL36+'Table 6'!AL36</f>
        <v>93805.979000000007</v>
      </c>
      <c r="AM36" s="331">
        <f>'Table 5'!AM36+'Table 6'!AM36</f>
        <v>2742.8648830409356</v>
      </c>
      <c r="AN36" s="436">
        <f>'Table 5'!AN36+'Table 6'!AN36</f>
        <v>94964.342999999993</v>
      </c>
      <c r="AO36" s="331">
        <f>'Table 5'!AO36+'Table 6'!AO36</f>
        <v>2755.7047967267345</v>
      </c>
      <c r="AP36" s="436">
        <f>'Table 5'!AP36+'Table 6'!AP36</f>
        <v>93331.281000000003</v>
      </c>
      <c r="AQ36" s="331">
        <f>'Table 5'!AQ36+'Table 6'!AQ36</f>
        <v>2689.352264868603</v>
      </c>
      <c r="AR36" s="436">
        <f>'Table 5'!AR36+'Table 6'!AR36</f>
        <v>91194.524000000005</v>
      </c>
      <c r="AS36" s="331">
        <f>'Table 5'!AS36+'Table 6'!AS36</f>
        <v>2601.6367902660991</v>
      </c>
      <c r="AT36" s="329">
        <f>'Table 5'!AT36+'Table 6'!AT36</f>
        <v>96019.89</v>
      </c>
      <c r="AU36" s="329">
        <f>'Table 5'!AU36+'Table 6'!AU36</f>
        <v>2723.736703259297</v>
      </c>
      <c r="AV36" s="436">
        <f>'Table 5'!AV36+'Table 6'!AV36</f>
        <v>101186.141</v>
      </c>
      <c r="AW36" s="331">
        <f>'Table 5'!AW36+'Table 6'!AW36</f>
        <v>2840.7313639202971</v>
      </c>
      <c r="AX36" s="436">
        <f>'Table 5'!AX36+'Table 6'!AX36</f>
        <v>97090.809000000008</v>
      </c>
      <c r="AY36" s="329">
        <f>'Table 5'!AY36+'Table 6'!AY36</f>
        <v>2701.0184443331664</v>
      </c>
      <c r="AZ36" s="436">
        <f>'Table 5'!AZ36+'Table 6'!AZ36</f>
        <v>107679.45800000001</v>
      </c>
      <c r="BA36" s="329">
        <f>'Table 5'!BA36+'Table 6'!BA36</f>
        <v>2972.5178191856453</v>
      </c>
      <c r="BB36" s="436">
        <f>'Table 5'!BB36+'Table 6'!BB36</f>
        <v>113078.28699999998</v>
      </c>
      <c r="BC36" s="329">
        <f>'Table 5'!BC36+'Table 6'!BC36</f>
        <v>3111.3116105023487</v>
      </c>
      <c r="BD36" s="436">
        <f>'Table 5'!BD36+'Table 6'!BD36</f>
        <v>121366.622</v>
      </c>
      <c r="BE36" s="329">
        <f>'Table 5'!BE36+'Table 6'!BE36</f>
        <v>3323.1099611193254</v>
      </c>
      <c r="BF36" s="436">
        <f>'Table 5'!BF36+'Table 6'!BF36</f>
        <v>129538.09999999999</v>
      </c>
      <c r="BG36" s="329">
        <f>'Table 5'!BG36+'Table 6'!BG36</f>
        <v>3532.2712368175276</v>
      </c>
      <c r="BH36" s="436">
        <f>'Table 5'!BH36+'Table 6'!BH36</f>
        <v>133380.88800000004</v>
      </c>
      <c r="BI36" s="329">
        <f>'Table 5'!BI36+'Table 6'!BI36</f>
        <v>3680.9603881292724</v>
      </c>
      <c r="BJ36" s="437">
        <f>'Table 5'!BJ36+'Table 6'!BJ36</f>
        <v>121031.20899999997</v>
      </c>
      <c r="BK36" s="438">
        <f>'Table 5'!BK36+'Table 6'!BK36</f>
        <v>3345.2101618415468</v>
      </c>
      <c r="BL36" s="439">
        <f t="shared" si="0"/>
        <v>-9.1212670304871124E-2</v>
      </c>
      <c r="BM36" s="432"/>
      <c r="BN36" s="13"/>
    </row>
    <row r="37" spans="1:66" ht="15" customHeight="1" x14ac:dyDescent="0.25">
      <c r="A37" s="377" t="str">
        <f>'Table 4'!A37</f>
        <v>Union</v>
      </c>
      <c r="B37" s="322">
        <v>15391</v>
      </c>
      <c r="C37" s="324">
        <f>B37*2000/('Table 5'!B37*2000/'Table 5'!C37)</f>
        <v>1279.3848711554447</v>
      </c>
      <c r="D37" s="13">
        <v>17758</v>
      </c>
      <c r="E37" s="324">
        <f>D37*2000/('Table 5'!D37*2000/'Table 5'!E37)</f>
        <v>1442.5670186839968</v>
      </c>
      <c r="F37" s="13">
        <v>20339</v>
      </c>
      <c r="G37" s="324">
        <f>F37*2000/('Table 5'!F37*2000/'Table 5'!G37)</f>
        <v>1634.9678456591641</v>
      </c>
      <c r="H37" s="13">
        <v>20746</v>
      </c>
      <c r="I37" s="324">
        <f>H37*2000/('Table 5'!H37*2000/'Table 5'!I37)</f>
        <v>1668.3554483313228</v>
      </c>
      <c r="J37" s="13">
        <v>19879</v>
      </c>
      <c r="K37" s="324">
        <f>J37*2000/('Table 5'!J37*2000/'Table 5'!K37)</f>
        <v>1599.2759452936443</v>
      </c>
      <c r="L37" s="13">
        <v>20818.099999999999</v>
      </c>
      <c r="M37" s="324">
        <f>L37*2000/('Table 5'!L37*2000/'Table 5'!M37)</f>
        <v>1675.5010060362174</v>
      </c>
      <c r="N37" s="13">
        <v>21457.599999999999</v>
      </c>
      <c r="O37" s="324">
        <f>N37*2000/('Table 5'!N37*2000/'Table 5'!O37)</f>
        <v>1739.570328334009</v>
      </c>
      <c r="P37" s="378">
        <v>21904.2</v>
      </c>
      <c r="Q37" s="324">
        <f>P37*2000/('Table 5'!P37*2000/'Table 5'!Q37)</f>
        <v>1782.2782750203417</v>
      </c>
      <c r="R37" s="388">
        <v>23373</v>
      </c>
      <c r="S37" s="389">
        <v>1904</v>
      </c>
      <c r="T37" s="440">
        <v>25629</v>
      </c>
      <c r="U37" s="389">
        <v>2087</v>
      </c>
      <c r="V37" s="388">
        <v>26318.2</v>
      </c>
      <c r="W37" s="389">
        <v>2139.6910569105694</v>
      </c>
      <c r="X37" s="388">
        <v>26288.416000000001</v>
      </c>
      <c r="Y37" s="389">
        <v>2132.9343610547667</v>
      </c>
      <c r="Z37" s="388">
        <v>27404.196</v>
      </c>
      <c r="AA37" s="389">
        <v>2205.5690945674046</v>
      </c>
      <c r="AB37" s="336">
        <v>26728.665000000001</v>
      </c>
      <c r="AC37" s="96">
        <v>2142.5783567134267</v>
      </c>
      <c r="AD37" s="13">
        <v>22319.019</v>
      </c>
      <c r="AE37" s="96">
        <v>1777.6996415770609</v>
      </c>
      <c r="AF37" s="441">
        <v>29102.309999999998</v>
      </c>
      <c r="AG37" s="442">
        <v>2305.1334653465346</v>
      </c>
      <c r="AH37" s="441">
        <v>27156.974000000002</v>
      </c>
      <c r="AI37" s="442">
        <v>2141.6327431883601</v>
      </c>
      <c r="AJ37" s="388">
        <v>24326.807000000001</v>
      </c>
      <c r="AK37" s="389">
        <v>1910.2321947389087</v>
      </c>
      <c r="AL37" s="388">
        <f>'Table 5'!AL37+'Table 6'!AL37</f>
        <v>25000.373999999996</v>
      </c>
      <c r="AM37" s="389">
        <f>'Table 5'!AM37+'Table 6'!AM37</f>
        <v>1937.2626113909334</v>
      </c>
      <c r="AN37" s="443">
        <f>'Table 5'!AN37+'Table 6'!AN37</f>
        <v>25607.151999999995</v>
      </c>
      <c r="AO37" s="389">
        <f>'Table 5'!AO37+'Table 6'!AO37</f>
        <v>1971.297305619707</v>
      </c>
      <c r="AP37" s="443">
        <f>'Table 5'!AP37+'Table 6'!AP37</f>
        <v>26227.639000000003</v>
      </c>
      <c r="AQ37" s="389">
        <f>'Table 5'!AQ37+'Table 6'!AQ37</f>
        <v>2004.022082139446</v>
      </c>
      <c r="AR37" s="443">
        <f>'Table 5'!AR37+'Table 6'!AR37</f>
        <v>26456.203000000001</v>
      </c>
      <c r="AS37" s="389">
        <f>'Table 5'!AS37+'Table 6'!AS37</f>
        <v>2009.9679392212724</v>
      </c>
      <c r="AT37" s="388">
        <f>'Table 5'!AT37+'Table 6'!AT37</f>
        <v>25222.127</v>
      </c>
      <c r="AU37" s="388">
        <f>'Table 5'!AU37+'Table 6'!AU37</f>
        <v>1904.6348499150463</v>
      </c>
      <c r="AV37" s="443">
        <f>'Table 5'!AV37+'Table 6'!AV37</f>
        <v>26979.374000000003</v>
      </c>
      <c r="AW37" s="389">
        <f>'Table 5'!AW37+'Table 6'!AW37</f>
        <v>2026.6196431924882</v>
      </c>
      <c r="AX37" s="443">
        <f>'Table 5'!AX37+'Table 6'!AX37</f>
        <v>27558.902000000002</v>
      </c>
      <c r="AY37" s="388">
        <f>'Table 5'!AY37+'Table 6'!AY37</f>
        <v>2060.8638624041878</v>
      </c>
      <c r="AZ37" s="443">
        <f>'Table 5'!AZ37+'Table 6'!AZ37</f>
        <v>28915.962999999996</v>
      </c>
      <c r="BA37" s="388">
        <f>'Table 5'!BA37+'Table 6'!BA37</f>
        <v>2149.8857249070629</v>
      </c>
      <c r="BB37" s="443">
        <f>'Table 5'!BB37+'Table 6'!BB37</f>
        <v>25971.921000000002</v>
      </c>
      <c r="BC37" s="388">
        <f>'Table 5'!BC37+'Table 6'!BC37</f>
        <v>1932.0752092244747</v>
      </c>
      <c r="BD37" s="443">
        <f>'Table 5'!BD37+'Table 6'!BD37</f>
        <v>25979.125000000004</v>
      </c>
      <c r="BE37" s="388">
        <f>'Table 5'!BE37+'Table 6'!BE37</f>
        <v>1935.8513412816692</v>
      </c>
      <c r="BF37" s="443">
        <f>'Table 5'!BF37+'Table 6'!BF37</f>
        <v>26400.708999999995</v>
      </c>
      <c r="BG37" s="388">
        <f>'Table 5'!BG37+'Table 6'!BG37</f>
        <v>1967.265946348733</v>
      </c>
      <c r="BH37" s="443">
        <f>'Table 5'!BH37+'Table 6'!BH37</f>
        <v>27066.356000000003</v>
      </c>
      <c r="BI37" s="388">
        <f>'Table 5'!BI37+'Table 6'!BI37</f>
        <v>2058.6694048298159</v>
      </c>
      <c r="BJ37" s="444">
        <f>'Table 5'!BJ37+'Table 6'!BJ37</f>
        <v>28820.496999999999</v>
      </c>
      <c r="BK37" s="445">
        <f>'Table 5'!BK37+'Table 6'!BK37</f>
        <v>2160.9981256542337</v>
      </c>
      <c r="BL37" s="430">
        <f t="shared" si="0"/>
        <v>4.9706242578019477E-2</v>
      </c>
      <c r="BM37" s="432"/>
      <c r="BN37" s="13"/>
    </row>
    <row r="38" spans="1:66" ht="15" customHeight="1" x14ac:dyDescent="0.25">
      <c r="A38" s="377" t="str">
        <f>'Table 4'!A38</f>
        <v>Wallowa</v>
      </c>
      <c r="B38" s="322">
        <v>7234</v>
      </c>
      <c r="C38" s="324">
        <f>B38*2000/('Table 5'!B38*2000/'Table 5'!C38)</f>
        <v>1995.5862068965516</v>
      </c>
      <c r="D38" s="13">
        <v>7631</v>
      </c>
      <c r="E38" s="324">
        <f>D38*2000/('Table 5'!D38*2000/'Table 5'!E38)</f>
        <v>2051.3440860215055</v>
      </c>
      <c r="F38" s="13">
        <v>7945</v>
      </c>
      <c r="G38" s="324">
        <f>F38*2000/('Table 5'!F38*2000/'Table 5'!G38)</f>
        <v>2130.0268096514747</v>
      </c>
      <c r="H38" s="13">
        <v>4983</v>
      </c>
      <c r="I38" s="324">
        <f>H38*2000/('Table 5'!H38*2000/'Table 5'!I38)</f>
        <v>1332.3529411764705</v>
      </c>
      <c r="J38" s="13">
        <v>4528</v>
      </c>
      <c r="K38" s="324">
        <f>J38*2000/('Table 5'!J38*2000/'Table 5'!K38)</f>
        <v>1210.6951871657752</v>
      </c>
      <c r="L38" s="13">
        <v>4875.8</v>
      </c>
      <c r="M38" s="324">
        <f>L38*2000/('Table 5'!L38*2000/'Table 5'!M38)</f>
        <v>1303.6898395721926</v>
      </c>
      <c r="N38" s="13">
        <v>5373</v>
      </c>
      <c r="O38" s="324">
        <f>N38*2000/('Table 5'!N38*2000/'Table 5'!O38)</f>
        <v>1464.0326975476839</v>
      </c>
      <c r="P38" s="378">
        <v>5991.3</v>
      </c>
      <c r="Q38" s="324">
        <f>P38*2000/('Table 5'!P38*2000/'Table 5'!Q38)</f>
        <v>1650.495867768595</v>
      </c>
      <c r="R38" s="314">
        <v>5874</v>
      </c>
      <c r="S38" s="324">
        <v>1620</v>
      </c>
      <c r="T38" s="424">
        <v>5438</v>
      </c>
      <c r="U38" s="324">
        <v>1531</v>
      </c>
      <c r="V38" s="314">
        <v>6866.7</v>
      </c>
      <c r="W38" s="324">
        <v>1920.7552447552448</v>
      </c>
      <c r="X38" s="314">
        <v>6461.44</v>
      </c>
      <c r="Y38" s="324">
        <v>1807.395804195804</v>
      </c>
      <c r="Z38" s="314">
        <v>6293.5339999999997</v>
      </c>
      <c r="AA38" s="324">
        <v>1760.429090909091</v>
      </c>
      <c r="AB38" s="13">
        <v>6610.0739999999996</v>
      </c>
      <c r="AC38" s="96">
        <v>1854.1582047685833</v>
      </c>
      <c r="AD38" s="13">
        <v>6440.0400000000009</v>
      </c>
      <c r="AE38" s="96">
        <v>1803.9327731092437</v>
      </c>
      <c r="AF38" s="425">
        <v>6459.0279999999993</v>
      </c>
      <c r="AG38" s="426">
        <v>1811.7890603085555</v>
      </c>
      <c r="AH38" s="425">
        <v>5559.125</v>
      </c>
      <c r="AI38" s="426">
        <v>1563.1182879585847</v>
      </c>
      <c r="AJ38" s="314">
        <v>5164.3360000000002</v>
      </c>
      <c r="AK38" s="324">
        <v>1454.7425352112675</v>
      </c>
      <c r="AL38" s="314">
        <f>'Table 5'!AL38+'Table 6'!AL38</f>
        <v>3708.826</v>
      </c>
      <c r="AM38" s="324">
        <f>'Table 5'!AM38+'Table 6'!AM38</f>
        <v>1058.9082084225554</v>
      </c>
      <c r="AN38" s="427">
        <f>'Table 5'!AN38+'Table 6'!AN38</f>
        <v>4203.9429999999993</v>
      </c>
      <c r="AO38" s="324">
        <f>'Table 5'!AO38+'Table 6'!AO38</f>
        <v>1201.9851322373124</v>
      </c>
      <c r="AP38" s="427">
        <f>'Table 5'!AP38+'Table 6'!AP38</f>
        <v>4120.6509999999998</v>
      </c>
      <c r="AQ38" s="324">
        <f>'Table 5'!AQ38+'Table 6'!AQ38</f>
        <v>1174.8114041339986</v>
      </c>
      <c r="AR38" s="427">
        <f>'Table 5'!AR38+'Table 6'!AR38</f>
        <v>4459.924</v>
      </c>
      <c r="AS38" s="324">
        <f>'Table 5'!AS38+'Table 6'!AS38</f>
        <v>1266.1246273953159</v>
      </c>
      <c r="AT38" s="314">
        <f>'Table 5'!AT38+'Table 6'!AT38</f>
        <v>3399.1120000000001</v>
      </c>
      <c r="AU38" s="314">
        <f>'Table 5'!AU38+'Table 6'!AU38</f>
        <v>961.5592644978783</v>
      </c>
      <c r="AV38" s="427">
        <f>'Table 5'!AV38+'Table 6'!AV38</f>
        <v>5003.625</v>
      </c>
      <c r="AW38" s="324">
        <f>'Table 5'!AW38+'Table 6'!AW38</f>
        <v>1409.4718309859154</v>
      </c>
      <c r="AX38" s="427">
        <f>'Table 5'!AX38+'Table 6'!AX38</f>
        <v>5604.6949999999997</v>
      </c>
      <c r="AY38" s="314">
        <f>'Table 5'!AY38+'Table 6'!AY38</f>
        <v>1569.9425770308121</v>
      </c>
      <c r="AZ38" s="427">
        <f>'Table 5'!AZ38+'Table 6'!AZ38</f>
        <v>5858.273000000001</v>
      </c>
      <c r="BA38" s="314">
        <f>'Table 5'!BA38+'Table 6'!BA38</f>
        <v>1628.4289089645592</v>
      </c>
      <c r="BB38" s="427">
        <f>'Table 5'!BB38+'Table 6'!BB38</f>
        <v>6490.7920000000004</v>
      </c>
      <c r="BC38" s="314">
        <f>'Table 5'!BC38+'Table 6'!BC38</f>
        <v>1809.28</v>
      </c>
      <c r="BD38" s="427">
        <f>'Table 5'!BD38+'Table 6'!BD38</f>
        <v>8238.5439999999999</v>
      </c>
      <c r="BE38" s="314">
        <f>'Table 5'!BE38+'Table 6'!BE38</f>
        <v>2304.487832167832</v>
      </c>
      <c r="BF38" s="427">
        <f>'Table 5'!BF38+'Table 6'!BF38</f>
        <v>7453.43</v>
      </c>
      <c r="BG38" s="314">
        <f>'Table 5'!BG38+'Table 6'!BG38</f>
        <v>2081.9636871508378</v>
      </c>
      <c r="BH38" s="427">
        <f>'Table 5'!BH38+'Table 6'!BH38</f>
        <v>7463.1949999999997</v>
      </c>
      <c r="BI38" s="314">
        <f>'Table 5'!BI38+'Table 6'!BI38</f>
        <v>2008.1245795775594</v>
      </c>
      <c r="BJ38" s="428">
        <f>'Table 5'!BJ38+'Table 6'!BJ38</f>
        <v>6775.9909999999991</v>
      </c>
      <c r="BK38" s="429">
        <f>'Table 5'!BK38+'Table 6'!BK38</f>
        <v>1797.0025473316621</v>
      </c>
      <c r="BL38" s="430">
        <f t="shared" si="0"/>
        <v>-0.10513393162604989</v>
      </c>
      <c r="BM38" s="432"/>
      <c r="BN38" s="13"/>
    </row>
    <row r="39" spans="1:66" ht="15" customHeight="1" x14ac:dyDescent="0.25">
      <c r="A39" s="377" t="str">
        <f>'Table 4'!A39</f>
        <v>Wasco</v>
      </c>
      <c r="B39" s="322">
        <v>22202</v>
      </c>
      <c r="C39" s="324">
        <f>B39*2000/('Table 5'!B39*2000/'Table 5'!C39)</f>
        <v>1979.6700847079803</v>
      </c>
      <c r="D39" s="13">
        <v>21817</v>
      </c>
      <c r="E39" s="324">
        <f>D39*2000/('Table 5'!D39*2000/'Table 5'!E39)</f>
        <v>1944.4741532976827</v>
      </c>
      <c r="F39" s="13">
        <v>21897</v>
      </c>
      <c r="G39" s="324">
        <f>F39*2000/('Table 5'!F39*2000/'Table 5'!G39)</f>
        <v>1919.1060473269063</v>
      </c>
      <c r="H39" s="13">
        <v>22756</v>
      </c>
      <c r="I39" s="324">
        <f>H39*2000/('Table 5'!H39*2000/'Table 5'!I39)</f>
        <v>1976.2049500651324</v>
      </c>
      <c r="J39" s="13">
        <v>24999</v>
      </c>
      <c r="K39" s="324">
        <f>J39*2000/('Table 5'!J39*2000/'Table 5'!K39)</f>
        <v>2156.0155239327296</v>
      </c>
      <c r="L39" s="13">
        <v>26639.5</v>
      </c>
      <c r="M39" s="324">
        <f>L39*2000/('Table 5'!L39*2000/'Table 5'!M39)</f>
        <v>2278.8280581693757</v>
      </c>
      <c r="N39" s="13">
        <v>26151.1</v>
      </c>
      <c r="O39" s="324">
        <f>N39*2000/('Table 5'!N39*2000/'Table 5'!O39)</f>
        <v>2234.1819735155918</v>
      </c>
      <c r="P39" s="378">
        <v>28419.4</v>
      </c>
      <c r="Q39" s="324">
        <f>P39*2000/('Table 5'!P39*2000/'Table 5'!Q39)</f>
        <v>2398.2616033755276</v>
      </c>
      <c r="R39" s="314">
        <v>27312</v>
      </c>
      <c r="S39" s="324">
        <v>2290</v>
      </c>
      <c r="T39" s="424">
        <v>24124</v>
      </c>
      <c r="U39" s="324">
        <v>1998</v>
      </c>
      <c r="V39" s="314">
        <v>25635.8</v>
      </c>
      <c r="W39" s="324">
        <v>2158.8042105263157</v>
      </c>
      <c r="X39" s="314">
        <v>26165.574000000001</v>
      </c>
      <c r="Y39" s="324">
        <v>2222.1294267515927</v>
      </c>
      <c r="Z39" s="314">
        <v>25162.303999999996</v>
      </c>
      <c r="AA39" s="324">
        <v>2105.6321338912135</v>
      </c>
      <c r="AB39" s="13">
        <v>28138.442000000003</v>
      </c>
      <c r="AC39" s="96">
        <v>2351.2381031961563</v>
      </c>
      <c r="AD39" s="13">
        <v>27219.953999999998</v>
      </c>
      <c r="AE39" s="96">
        <v>2261.732779393436</v>
      </c>
      <c r="AF39" s="425">
        <v>28899.695</v>
      </c>
      <c r="AG39" s="426">
        <v>2395.8296373056992</v>
      </c>
      <c r="AH39" s="425">
        <v>27932.11</v>
      </c>
      <c r="AI39" s="426">
        <v>2311.394716102528</v>
      </c>
      <c r="AJ39" s="314">
        <v>28269.286</v>
      </c>
      <c r="AK39" s="324">
        <v>2333.411968633925</v>
      </c>
      <c r="AL39" s="314">
        <f>'Table 5'!AL39+'Table 6'!AL39</f>
        <v>25285.472999999998</v>
      </c>
      <c r="AM39" s="324">
        <f>'Table 5'!AM39+'Table 6'!AM39</f>
        <v>2004.0002377650089</v>
      </c>
      <c r="AN39" s="427">
        <f>'Table 5'!AN39+'Table 6'!AN39</f>
        <v>24686.662999999993</v>
      </c>
      <c r="AO39" s="324">
        <f>'Table 5'!AO39+'Table 6'!AO39</f>
        <v>1951.5148616600784</v>
      </c>
      <c r="AP39" s="427">
        <f>'Table 5'!AP39+'Table 6'!AP39</f>
        <v>24056.738000000001</v>
      </c>
      <c r="AQ39" s="324">
        <f>'Table 5'!AQ39+'Table 6'!AQ39</f>
        <v>1887.9135177555424</v>
      </c>
      <c r="AR39" s="427">
        <f>'Table 5'!AR39+'Table 6'!AR39</f>
        <v>25481.847999999998</v>
      </c>
      <c r="AS39" s="324">
        <f>'Table 5'!AS39+'Table 6'!AS39</f>
        <v>1974.5717163889967</v>
      </c>
      <c r="AT39" s="314">
        <f>'Table 5'!AT39+'Table 6'!AT39</f>
        <v>25236.736000000001</v>
      </c>
      <c r="AU39" s="314">
        <f>'Table 5'!AU39+'Table 6'!AU39</f>
        <v>1933.4791036199963</v>
      </c>
      <c r="AV39" s="427">
        <f>'Table 5'!AV39+'Table 6'!AV39</f>
        <v>24390.120999999999</v>
      </c>
      <c r="AW39" s="324">
        <f>'Table 5'!AW39+'Table 6'!AW39</f>
        <v>1849.8385286310202</v>
      </c>
      <c r="AX39" s="427">
        <f>'Table 5'!AX39+'Table 6'!AX39</f>
        <v>26443.046999999999</v>
      </c>
      <c r="AY39" s="314">
        <f>'Table 5'!AY39+'Table 6'!AY39</f>
        <v>1980.752584269663</v>
      </c>
      <c r="AZ39" s="427">
        <f>'Table 5'!AZ39+'Table 6'!AZ39</f>
        <v>27648.604000000003</v>
      </c>
      <c r="BA39" s="314">
        <f>'Table 5'!BA39+'Table 6'!BA39</f>
        <v>2040.487380073801</v>
      </c>
      <c r="BB39" s="427">
        <f>'Table 5'!BB39+'Table 6'!BB39</f>
        <v>28347.899999999998</v>
      </c>
      <c r="BC39" s="314">
        <f>'Table 5'!BC39+'Table 6'!BC39</f>
        <v>2084.4044117647059</v>
      </c>
      <c r="BD39" s="427">
        <f>'Table 5'!BD39+'Table 6'!BD39</f>
        <v>28883.099999999988</v>
      </c>
      <c r="BE39" s="314">
        <f>'Table 5'!BE39+'Table 6'!BE39</f>
        <v>2120.6387665198231</v>
      </c>
      <c r="BF39" s="427">
        <f>'Table 5'!BF39+'Table 6'!BF39</f>
        <v>33900.111999999994</v>
      </c>
      <c r="BG39" s="314">
        <f>'Table 5'!BG39+'Table 6'!BG39</f>
        <v>2483.9796299688583</v>
      </c>
      <c r="BH39" s="427">
        <f>'Table 5'!BH39+'Table 6'!BH39</f>
        <v>28253.588999999996</v>
      </c>
      <c r="BI39" s="314">
        <f>'Table 5'!BI39+'Table 6'!BI39</f>
        <v>2125.848463187991</v>
      </c>
      <c r="BJ39" s="428">
        <f>'Table 5'!BJ39+'Table 6'!BJ39</f>
        <v>29324.664000000004</v>
      </c>
      <c r="BK39" s="429">
        <f>'Table 5'!BK39+'Table 6'!BK39</f>
        <v>2188.8685170361518</v>
      </c>
      <c r="BL39" s="430">
        <f t="shared" si="0"/>
        <v>2.9644659503929915E-2</v>
      </c>
      <c r="BM39" s="432"/>
      <c r="BN39" s="13"/>
    </row>
    <row r="40" spans="1:66" ht="15" customHeight="1" x14ac:dyDescent="0.25">
      <c r="A40" s="377" t="str">
        <f>'Table 4'!A40</f>
        <v>Wheeler</v>
      </c>
      <c r="B40" s="322">
        <v>817</v>
      </c>
      <c r="C40" s="324">
        <f>B40*2000/('Table 5'!B40*2000/'Table 5'!C40)</f>
        <v>1134.7222222222222</v>
      </c>
      <c r="D40" s="13">
        <v>837</v>
      </c>
      <c r="E40" s="324">
        <f>D40*2000/('Table 5'!D40*2000/'Table 5'!E40)</f>
        <v>1116</v>
      </c>
      <c r="F40" s="13">
        <v>861</v>
      </c>
      <c r="G40" s="324">
        <f>F40*2000/('Table 5'!F40*2000/'Table 5'!G40)</f>
        <v>1096.8152866242037</v>
      </c>
      <c r="H40" s="13">
        <v>1003</v>
      </c>
      <c r="I40" s="324">
        <f>H40*2000/('Table 5'!H40*2000/'Table 5'!I40)</f>
        <v>1277.7070063694268</v>
      </c>
      <c r="J40" s="13">
        <v>948</v>
      </c>
      <c r="K40" s="324">
        <f>J40*2000/('Table 5'!J40*2000/'Table 5'!K40)</f>
        <v>1156.0975609756097</v>
      </c>
      <c r="L40" s="13">
        <v>740.5</v>
      </c>
      <c r="M40" s="324">
        <f>L40*2000/('Table 5'!L40*2000/'Table 5'!M40)</f>
        <v>919.87577639751555</v>
      </c>
      <c r="N40" s="13">
        <v>477.5</v>
      </c>
      <c r="O40" s="324">
        <f>N40*2000/('Table 5'!N40*2000/'Table 5'!O40)</f>
        <v>608.28025477707001</v>
      </c>
      <c r="P40" s="378">
        <v>438.6</v>
      </c>
      <c r="Q40" s="324">
        <f>P40*2000/('Table 5'!P40*2000/'Table 5'!Q40)</f>
        <v>562.30769230769226</v>
      </c>
      <c r="R40" s="314">
        <v>696</v>
      </c>
      <c r="S40" s="324">
        <v>898</v>
      </c>
      <c r="T40" s="424">
        <v>528</v>
      </c>
      <c r="U40" s="324">
        <v>681</v>
      </c>
      <c r="V40" s="314">
        <v>664.5</v>
      </c>
      <c r="W40" s="324">
        <v>857.41935483870964</v>
      </c>
      <c r="X40" s="314">
        <v>696.28100000000006</v>
      </c>
      <c r="Y40" s="324">
        <v>898.4270967741935</v>
      </c>
      <c r="Z40" s="314">
        <v>692.245</v>
      </c>
      <c r="AA40" s="324">
        <v>893.21935483870971</v>
      </c>
      <c r="AB40" s="13">
        <v>688.72</v>
      </c>
      <c r="AC40" s="96">
        <v>888.67096774193556</v>
      </c>
      <c r="AD40" s="13">
        <v>673.33400000000006</v>
      </c>
      <c r="AE40" s="96">
        <v>860.49073482428116</v>
      </c>
      <c r="AF40" s="425">
        <v>759.4190000000001</v>
      </c>
      <c r="AG40" s="426">
        <v>967.41273885350313</v>
      </c>
      <c r="AH40" s="425">
        <v>611.18499999999995</v>
      </c>
      <c r="AI40" s="426">
        <v>777.21688158312509</v>
      </c>
      <c r="AJ40" s="314">
        <v>511.57299999999998</v>
      </c>
      <c r="AK40" s="324">
        <v>645.51798107255524</v>
      </c>
      <c r="AL40" s="314">
        <f>'Table 5'!AL40+'Table 6'!AL40</f>
        <v>464.87200000000007</v>
      </c>
      <c r="AM40" s="324">
        <f>'Table 5'!AM40+'Table 6'!AM40</f>
        <v>645.65555555555568</v>
      </c>
      <c r="AN40" s="427">
        <f>'Table 5'!AN40+'Table 6'!AN40</f>
        <v>479.03399999999993</v>
      </c>
      <c r="AO40" s="324">
        <f>'Table 5'!AO40+'Table 6'!AO40</f>
        <v>667.64320557491283</v>
      </c>
      <c r="AP40" s="427">
        <f>'Table 5'!AP40+'Table 6'!AP40</f>
        <v>421.50799999999998</v>
      </c>
      <c r="AQ40" s="324">
        <f>'Table 5'!AQ40+'Table 6'!AQ40</f>
        <v>591.59017543859648</v>
      </c>
      <c r="AR40" s="427">
        <f>'Table 5'!AR40+'Table 6'!AR40</f>
        <v>513.22699999999998</v>
      </c>
      <c r="AS40" s="324">
        <f>'Table 5'!AS40+'Table 6'!AS40</f>
        <v>717.80000000000007</v>
      </c>
      <c r="AT40" s="314">
        <f>'Table 5'!AT40+'Table 6'!AT40</f>
        <v>396.61400000000003</v>
      </c>
      <c r="AU40" s="314">
        <f>'Table 5'!AU40+'Table 6'!AU40</f>
        <v>550.85277777777776</v>
      </c>
      <c r="AV40" s="427">
        <f>'Table 5'!AV40+'Table 6'!AV40</f>
        <v>495.30900000000003</v>
      </c>
      <c r="AW40" s="324">
        <f>'Table 5'!AW40+'Table 6'!AW40</f>
        <v>685.54878892733564</v>
      </c>
      <c r="AX40" s="427">
        <f>'Table 5'!AX40+'Table 6'!AX40</f>
        <v>425.97300000000001</v>
      </c>
      <c r="AY40" s="314">
        <f>'Table 5'!AY40+'Table 6'!AY40</f>
        <v>581.53310580204777</v>
      </c>
      <c r="AZ40" s="427">
        <f>'Table 5'!AZ40+'Table 6'!AZ40</f>
        <v>458.61500000000001</v>
      </c>
      <c r="BA40" s="314">
        <f>'Table 5'!BA40+'Table 6'!BA40</f>
        <v>619.75</v>
      </c>
      <c r="BB40" s="427">
        <f>'Table 5'!BB40+'Table 6'!BB40</f>
        <v>508.15399999999988</v>
      </c>
      <c r="BC40" s="314">
        <f>'Table 5'!BC40+'Table 6'!BC40</f>
        <v>700.90206896551717</v>
      </c>
      <c r="BD40" s="427">
        <f>'Table 5'!BD40+'Table 6'!BD40</f>
        <v>454.55899999999997</v>
      </c>
      <c r="BE40" s="314">
        <f>'Table 5'!BE40+'Table 6'!BE40</f>
        <v>631.33194444444439</v>
      </c>
      <c r="BF40" s="427">
        <f>'Table 5'!BF40+'Table 6'!BF40</f>
        <v>462.63800000000003</v>
      </c>
      <c r="BG40" s="314">
        <f>'Table 5'!BG40+'Table 6'!BG40</f>
        <v>642.55277777777792</v>
      </c>
      <c r="BH40" s="427">
        <f>'Table 5'!BH40+'Table 6'!BH40</f>
        <v>514.46199999999999</v>
      </c>
      <c r="BI40" s="314">
        <f>'Table 5'!BI40+'Table 6'!BI40</f>
        <v>706.67857142857144</v>
      </c>
      <c r="BJ40" s="428">
        <f>'Table 5'!BJ40+'Table 6'!BJ40</f>
        <v>548.90900000000011</v>
      </c>
      <c r="BK40" s="429">
        <f>'Table 5'!BK40+'Table 6'!BK40</f>
        <v>764.34488338029132</v>
      </c>
      <c r="BL40" s="430">
        <f t="shared" si="0"/>
        <v>8.1601896934762941E-2</v>
      </c>
      <c r="BM40" s="432"/>
      <c r="BN40" s="13"/>
    </row>
    <row r="41" spans="1:66" ht="15" customHeight="1" thickBot="1" x14ac:dyDescent="0.3">
      <c r="A41" s="382" t="str">
        <f>'Table 4'!A41</f>
        <v>Yamhill</v>
      </c>
      <c r="B41" s="328">
        <v>64049</v>
      </c>
      <c r="C41" s="331">
        <f>B41*2000/('Table 5'!B41*2000/'Table 5'!C41)</f>
        <v>1828.8218833875849</v>
      </c>
      <c r="D41" s="332">
        <v>71797</v>
      </c>
      <c r="E41" s="331">
        <f>D41*2000/('Table 5'!D41*2000/'Table 5'!E41)</f>
        <v>1998.9698471475904</v>
      </c>
      <c r="F41" s="332">
        <v>76504</v>
      </c>
      <c r="G41" s="331">
        <f>F41*2000/('Table 5'!F41*2000/'Table 5'!G41)</f>
        <v>2069.773419005749</v>
      </c>
      <c r="H41" s="332">
        <v>76410</v>
      </c>
      <c r="I41" s="331">
        <f>H41*2000/('Table 5'!H41*2000/'Table 5'!I41)</f>
        <v>1999.0581587002589</v>
      </c>
      <c r="J41" s="332">
        <v>75024</v>
      </c>
      <c r="K41" s="331">
        <f>J41*2000/('Table 5'!J41*2000/'Table 5'!K41)</f>
        <v>1903.5343668332785</v>
      </c>
      <c r="L41" s="332">
        <v>88998.1</v>
      </c>
      <c r="M41" s="331">
        <f>L41*2000/('Table 5'!L41*2000/'Table 5'!M41)</f>
        <v>2202.7051777051779</v>
      </c>
      <c r="N41" s="332">
        <v>100144.3</v>
      </c>
      <c r="O41" s="331">
        <f>N41*2000/('Table 5'!N41*2000/'Table 5'!O41)</f>
        <v>2411.3725018059235</v>
      </c>
      <c r="P41" s="383">
        <v>108835.5</v>
      </c>
      <c r="Q41" s="331">
        <f>P41*2000/('Table 5'!P41*2000/'Table 5'!Q41)</f>
        <v>2574.4648137196923</v>
      </c>
      <c r="R41" s="329">
        <v>120689</v>
      </c>
      <c r="S41" s="331">
        <v>2800</v>
      </c>
      <c r="T41" s="433">
        <v>128043</v>
      </c>
      <c r="U41" s="331">
        <v>2940</v>
      </c>
      <c r="V41" s="314">
        <v>148408.4</v>
      </c>
      <c r="W41" s="324">
        <v>3364.8883346559351</v>
      </c>
      <c r="X41" s="314">
        <v>116159.25899999999</v>
      </c>
      <c r="Y41" s="324">
        <v>2614.433018230925</v>
      </c>
      <c r="Z41" s="314">
        <v>142839.125</v>
      </c>
      <c r="AA41" s="341">
        <v>3177.3801579357132</v>
      </c>
      <c r="AB41" s="332">
        <v>139639.97399999999</v>
      </c>
      <c r="AC41" s="391">
        <v>3068.3360580092285</v>
      </c>
      <c r="AD41" s="34">
        <v>163951.239</v>
      </c>
      <c r="AE41" s="391">
        <v>3548.8817481276246</v>
      </c>
      <c r="AF41" s="425">
        <v>161965.33299999998</v>
      </c>
      <c r="AG41" s="347">
        <v>3453.2345397366871</v>
      </c>
      <c r="AH41" s="425">
        <v>140989.25099999999</v>
      </c>
      <c r="AI41" s="347">
        <v>2966.8602856828611</v>
      </c>
      <c r="AJ41" s="342">
        <v>118785.139</v>
      </c>
      <c r="AK41" s="341">
        <v>2475.4639783265602</v>
      </c>
      <c r="AL41" s="342">
        <f>'Table 5'!AL41+'Table 6'!AL41</f>
        <v>145399.65900000001</v>
      </c>
      <c r="AM41" s="341">
        <f>'Table 5'!AM41+'Table 6'!AM41</f>
        <v>2900.7413266832918</v>
      </c>
      <c r="AN41" s="314">
        <f>'Table 5'!AN41+'Table 6'!AN41</f>
        <v>110165.73050000001</v>
      </c>
      <c r="AO41" s="341">
        <f>'Table 5'!AO41+'Table 6'!AO41</f>
        <v>2188.1072645116442</v>
      </c>
      <c r="AP41" s="314">
        <f>'Table 5'!AP41+'Table 6'!AP41</f>
        <v>133592.02600000001</v>
      </c>
      <c r="AQ41" s="341">
        <f>'Table 5'!AQ41+'Table 6'!AQ41</f>
        <v>2635.0811381231815</v>
      </c>
      <c r="AR41" s="314">
        <f>'Table 5'!AR41+'Table 6'!AR41</f>
        <v>134477.93700000001</v>
      </c>
      <c r="AS41" s="341">
        <f>'Table 5'!AS41+'Table 6'!AS41</f>
        <v>2630.4524729331911</v>
      </c>
      <c r="AT41" s="314">
        <f>'Table 5'!AT41+'Table 6'!AT41</f>
        <v>116749.458</v>
      </c>
      <c r="AU41" s="341">
        <f>'Table 5'!AU41+'Table 6'!AU41</f>
        <v>2258.7998413512232</v>
      </c>
      <c r="AV41" s="314">
        <f>'Table 5'!AV41+'Table 6'!AV41</f>
        <v>124707.9</v>
      </c>
      <c r="AW41" s="341">
        <f>'Table 5'!AW41+'Table 6'!AW41</f>
        <v>2387.2566473324528</v>
      </c>
      <c r="AX41" s="314">
        <f>'Table 5'!AX41+'Table 6'!AX41</f>
        <v>137611.98299999998</v>
      </c>
      <c r="AY41" s="349">
        <f>'Table 5'!AY41+'Table 6'!AY41</f>
        <v>2599.9108814555207</v>
      </c>
      <c r="AZ41" s="427">
        <f>'Table 5'!AZ41+'Table 6'!AZ41</f>
        <v>143213.73699999996</v>
      </c>
      <c r="BA41" s="349">
        <f>'Table 5'!BA41+'Table 6'!BA41</f>
        <v>2672.6460203415127</v>
      </c>
      <c r="BB41" s="427">
        <f>'Table 5'!BB41+'Table 6'!BB41</f>
        <v>129147.58100000001</v>
      </c>
      <c r="BC41" s="349">
        <f>'Table 5'!BC41+'Table 6'!BC41</f>
        <v>2384.9968790397047</v>
      </c>
      <c r="BD41" s="427">
        <f>'Table 5'!BD41+'Table 6'!BD41</f>
        <v>152307.552</v>
      </c>
      <c r="BE41" s="349">
        <f>'Table 5'!BE41+'Table 6'!BE41</f>
        <v>2795.916512161542</v>
      </c>
      <c r="BF41" s="427">
        <f>'Table 5'!BF41+'Table 6'!BF41</f>
        <v>135437.97899999999</v>
      </c>
      <c r="BG41" s="349">
        <f>'Table 5'!BG41+'Table 6'!BG41</f>
        <v>2473.7530410958902</v>
      </c>
      <c r="BH41" s="427">
        <f>'Table 5'!BH41+'Table 6'!BH41</f>
        <v>174531.72599999997</v>
      </c>
      <c r="BI41" s="349">
        <f>'Table 5'!BI41+'Table 6'!BI41</f>
        <v>3196.9909053441402</v>
      </c>
      <c r="BJ41" s="428">
        <f>'Table 5'!BJ41+'Table 6'!BJ41</f>
        <v>167428.674</v>
      </c>
      <c r="BK41" s="351">
        <f>'Table 5'!BK41+'Table 6'!BK41</f>
        <v>3046.5462916785864</v>
      </c>
      <c r="BL41" s="430">
        <f t="shared" si="0"/>
        <v>-4.7058192569164992E-2</v>
      </c>
      <c r="BM41" s="432"/>
      <c r="BN41" s="13"/>
    </row>
    <row r="42" spans="1:66" ht="15.95" customHeight="1" thickBot="1" x14ac:dyDescent="0.3">
      <c r="A42" s="142" t="s">
        <v>41</v>
      </c>
      <c r="B42" s="353">
        <f>SUM(B7:B41)</f>
        <v>3102776</v>
      </c>
      <c r="C42" s="354">
        <f>B42*2000/2990610</f>
        <v>2075.0121212729177</v>
      </c>
      <c r="D42" s="59">
        <f>SUM(D7:D41)</f>
        <v>3255196</v>
      </c>
      <c r="E42" s="354">
        <f>D42*2000/3059110</f>
        <v>2128.198070680688</v>
      </c>
      <c r="F42" s="59">
        <f>SUM(F7:F41)</f>
        <v>3431581</v>
      </c>
      <c r="G42" s="354">
        <f>F42*2000/3119940</f>
        <v>2199.7737135970565</v>
      </c>
      <c r="H42" s="59">
        <f>SUM(H7:H41)</f>
        <v>3619354.8</v>
      </c>
      <c r="I42" s="354">
        <f>H42*2000/3182690</f>
        <v>2274.3998315890017</v>
      </c>
      <c r="J42" s="59">
        <f>SUM(J7:J41)</f>
        <v>3835427</v>
      </c>
      <c r="K42" s="354">
        <f>J42*2000/3245100</f>
        <v>2363.8266925518474</v>
      </c>
      <c r="L42" s="59">
        <f>SUM(L7:L41)</f>
        <v>4095131.2</v>
      </c>
      <c r="M42" s="354">
        <f>L42*2000/3302140</f>
        <v>2480.2892669602138</v>
      </c>
      <c r="N42" s="59">
        <f>SUM(N7:N41)</f>
        <v>4300886.5999999996</v>
      </c>
      <c r="O42" s="354">
        <f>N42*2000/3350080</f>
        <v>2567.632175948037</v>
      </c>
      <c r="P42" s="59">
        <f>SUM(P7:P41)</f>
        <v>4414966.8</v>
      </c>
      <c r="Q42" s="354">
        <f>P42*2000/3393410</f>
        <v>2602.0827427278164</v>
      </c>
      <c r="R42" s="59">
        <f>SUM(R7:R41)</f>
        <v>4544280</v>
      </c>
      <c r="S42" s="354">
        <v>2645</v>
      </c>
      <c r="T42" s="357">
        <f>SUM(T7:T41)</f>
        <v>4634157</v>
      </c>
      <c r="U42" s="354">
        <v>2670</v>
      </c>
      <c r="V42" s="357">
        <f>SUM(V7:V41)</f>
        <v>4752626.6199999992</v>
      </c>
      <c r="W42" s="354">
        <v>2712</v>
      </c>
      <c r="X42" s="357">
        <f>SUM(X7:X41)</f>
        <v>4913666.3450000007</v>
      </c>
      <c r="Y42" s="354">
        <v>2774.9068727940135</v>
      </c>
      <c r="Z42" s="357">
        <v>5240525.4459999986</v>
      </c>
      <c r="AA42" s="354">
        <v>2925.5431507843468</v>
      </c>
      <c r="AB42" s="357">
        <v>5549824.1260000002</v>
      </c>
      <c r="AC42" s="359">
        <v>3056.5418269336687</v>
      </c>
      <c r="AD42" s="59">
        <v>5729878.4640000006</v>
      </c>
      <c r="AE42" s="359">
        <v>3105.2002173144319</v>
      </c>
      <c r="AF42" s="360">
        <v>5685694.800999999</v>
      </c>
      <c r="AG42" s="361">
        <v>3036.0502534405036</v>
      </c>
      <c r="AH42" s="446">
        <v>5216648.8170000007</v>
      </c>
      <c r="AI42" s="361">
        <v>2752.0790952682978</v>
      </c>
      <c r="AJ42" s="59">
        <v>4669351.8850000007</v>
      </c>
      <c r="AK42" s="354">
        <v>2442.471363017577</v>
      </c>
      <c r="AL42" s="59">
        <f>SUM(AL7:AL41)</f>
        <v>4714466.7170000011</v>
      </c>
      <c r="AM42" s="354">
        <f>'Table 5'!AM43+'Table 6'!AM43</f>
        <v>2457.179119172335</v>
      </c>
      <c r="AN42" s="59">
        <f>SUM(AN7:AN41)</f>
        <v>4743891.0055</v>
      </c>
      <c r="AO42" s="447">
        <f>'Table 5'!AO43+'Table 6'!AO43</f>
        <v>2459.4879001976606</v>
      </c>
      <c r="AP42" s="59">
        <f>SUM(AP7:AP41)</f>
        <v>4816323.0209999997</v>
      </c>
      <c r="AQ42" s="447">
        <f>'Table 5'!AQ43+'Table 6'!AQ43</f>
        <v>2481</v>
      </c>
      <c r="AR42" s="59">
        <f>SUM(AR7:AR41)</f>
        <v>4833686.28</v>
      </c>
      <c r="AS42" s="447">
        <f>'Table 5'!AS43+'Table 6'!AS43</f>
        <v>2467</v>
      </c>
      <c r="AT42" s="59">
        <f>SUM(AT7:AT41)</f>
        <v>4888201.762000001</v>
      </c>
      <c r="AU42" s="447">
        <f>'Table 5'!AU43+'Table 6'!AU43</f>
        <v>2467</v>
      </c>
      <c r="AV42" s="59">
        <f>SUM(AV7:AV41)</f>
        <v>5153546.9020000007</v>
      </c>
      <c r="AW42" s="447">
        <f>'Table 5'!AW43+'Table 6'!AW43</f>
        <v>2567.8853578052972</v>
      </c>
      <c r="AX42" s="59">
        <f>SUM(AX7:AX41)</f>
        <v>5285695.0880000005</v>
      </c>
      <c r="AY42" s="362">
        <f>'Table 5'!AY43+'Table 6'!AY43</f>
        <v>2593.3470325168355</v>
      </c>
      <c r="AZ42" s="356">
        <f>SUM(AZ7:AZ41)</f>
        <v>5524182.7640000023</v>
      </c>
      <c r="BA42" s="362">
        <f>'Table 5'!BA43+'Table 6'!BA43</f>
        <v>2667.9784424428299</v>
      </c>
      <c r="BB42" s="356">
        <f>SUM(BB7:BB41)</f>
        <v>5603012.7489999998</v>
      </c>
      <c r="BC42" s="362">
        <f>'Table 5'!BC43+'Table 6'!BC43</f>
        <v>2671.0903863847639</v>
      </c>
      <c r="BD42" s="356">
        <f>SUM(BD7:BD41)</f>
        <v>5725105.1140000001</v>
      </c>
      <c r="BE42" s="362">
        <f>'Table 5'!BE43+'Table 6'!BE43</f>
        <v>2702.8161240676041</v>
      </c>
      <c r="BF42" s="356">
        <f>SUM(BF7:BF41)</f>
        <v>5955530.426</v>
      </c>
      <c r="BG42" s="362">
        <f>'Table 5'!BG43+'Table 6'!BG43</f>
        <v>2790.7468043406193</v>
      </c>
      <c r="BH42" s="356">
        <f>SUM(BH7:BH41)</f>
        <v>6491316.7620000001</v>
      </c>
      <c r="BI42" s="362">
        <f>'Table 5'!BI43+'Table 6'!BI43</f>
        <v>3042.83801322827</v>
      </c>
      <c r="BJ42" s="448">
        <f>SUM(BJ7:BJ41)</f>
        <v>6091755.5270000016</v>
      </c>
      <c r="BK42" s="449">
        <f>'Table 5'!BK43+'Table 6'!BK43</f>
        <v>2845.3841527734621</v>
      </c>
      <c r="BL42" s="398">
        <f>(BK42/BI42)-1</f>
        <v>-6.4891348010116756E-2</v>
      </c>
      <c r="BM42" s="172"/>
      <c r="BN42" s="12"/>
    </row>
    <row r="43" spans="1:66" x14ac:dyDescent="0.25">
      <c r="A43" s="48" t="s">
        <v>107</v>
      </c>
      <c r="B43" s="151"/>
      <c r="C43" s="151"/>
      <c r="D43" s="153"/>
      <c r="E43" s="152"/>
      <c r="F43" s="153">
        <f>(F42/D42)-1</f>
        <v>5.4185677298694168E-2</v>
      </c>
      <c r="H43" s="153">
        <f>(H42/F42)-1</f>
        <v>5.4719326164820226E-2</v>
      </c>
      <c r="J43" s="153">
        <f>(J42/H42)-1</f>
        <v>5.9699093330115138E-2</v>
      </c>
      <c r="L43" s="153">
        <f>(L42/J42)-1</f>
        <v>6.7711939244313735E-2</v>
      </c>
      <c r="M43" s="152"/>
      <c r="N43" s="153">
        <f>(N42/L42)-1</f>
        <v>5.0243909157293709E-2</v>
      </c>
      <c r="O43" s="152"/>
      <c r="P43" s="153">
        <f>(P42/N42)-1</f>
        <v>2.6524810024054046E-2</v>
      </c>
      <c r="Q43" s="152"/>
      <c r="R43" s="153">
        <f>(R42/P42)-1</f>
        <v>2.928973327726947E-2</v>
      </c>
      <c r="S43" s="177"/>
      <c r="T43" s="153">
        <f>(T42/R42)-1</f>
        <v>1.9778050648287415E-2</v>
      </c>
      <c r="U43" s="152"/>
      <c r="V43" s="153">
        <f>(V42/T42)-1</f>
        <v>2.5564438149160429E-2</v>
      </c>
      <c r="W43" s="152"/>
      <c r="X43" s="153">
        <f>(X42/V42)-1</f>
        <v>3.3884362874692098E-2</v>
      </c>
      <c r="Y43" s="152"/>
      <c r="Z43" s="153">
        <f>(Z42/X42)-1</f>
        <v>6.6520410229440996E-2</v>
      </c>
      <c r="AA43" s="152"/>
      <c r="AB43" s="153">
        <f>(AB42/Z42)-1</f>
        <v>5.9020547307156779E-2</v>
      </c>
      <c r="AC43" s="179"/>
      <c r="AD43" s="153">
        <f>(AD42/AB42)-1</f>
        <v>3.2443251157541431E-2</v>
      </c>
      <c r="AE43" s="164"/>
      <c r="AF43" s="153">
        <f>(AF42/AD42)-1</f>
        <v>-7.7110995071887345E-3</v>
      </c>
      <c r="AG43" s="164"/>
      <c r="AH43" s="180">
        <f>(AH42/AF42)-1</f>
        <v>-8.2495807533936372E-2</v>
      </c>
      <c r="AI43" s="164"/>
      <c r="AJ43" s="180">
        <f>(AJ42/AH42)-1</f>
        <v>-0.10491350888265094</v>
      </c>
      <c r="AK43" s="164"/>
      <c r="AL43" s="180">
        <f>(AL42/AJ42)-1</f>
        <v>9.6619045021919536E-3</v>
      </c>
      <c r="AM43" s="164"/>
      <c r="AN43" s="153">
        <f>(AN42/AL42)-1</f>
        <v>6.2412761116537041E-3</v>
      </c>
      <c r="AO43" s="152"/>
      <c r="AP43" s="153">
        <f>(AP42/AN42)-1</f>
        <v>1.5268482226093116E-2</v>
      </c>
      <c r="AQ43" s="152"/>
      <c r="AR43" s="153">
        <f>(AR42/AP42)-1</f>
        <v>3.6050860634333493E-3</v>
      </c>
      <c r="AS43" s="152"/>
      <c r="AT43" s="169">
        <f>(AT42/AR42)-1</f>
        <v>1.1278241665282573E-2</v>
      </c>
      <c r="AU43" s="152"/>
      <c r="AV43" s="153">
        <f>(AV42/AT42)-1</f>
        <v>5.428277164472739E-2</v>
      </c>
      <c r="AW43" s="152"/>
      <c r="AX43" s="153">
        <f>(AX42/AV42)-1</f>
        <v>2.5642181688249499E-2</v>
      </c>
      <c r="AY43" s="152"/>
      <c r="AZ43" s="153">
        <f>(AZ42/AX42)-1</f>
        <v>4.5119453927911168E-2</v>
      </c>
      <c r="BA43" s="152"/>
      <c r="BB43" s="153">
        <f>(BB42/AZ42)-1</f>
        <v>1.426998134705415E-2</v>
      </c>
      <c r="BC43" s="152"/>
      <c r="BD43" s="153">
        <f>(BD42/BB42)-1</f>
        <v>2.1790484953258638E-2</v>
      </c>
      <c r="BE43" s="152"/>
      <c r="BF43" s="153">
        <f>(BF42/BD42)-1</f>
        <v>4.0248223816279793E-2</v>
      </c>
      <c r="BG43" s="152"/>
      <c r="BH43" s="169">
        <f>(BH42/BF42)-1</f>
        <v>8.9964503188653566E-2</v>
      </c>
      <c r="BI43" s="152"/>
      <c r="BJ43" s="153">
        <f>(BJ42/BH42)-1</f>
        <v>-6.1553187072770799E-2</v>
      </c>
      <c r="BK43" s="152"/>
      <c r="BM43" s="178"/>
      <c r="BN43" s="13"/>
    </row>
    <row r="44" spans="1:66" x14ac:dyDescent="0.25">
      <c r="A44" s="48" t="s">
        <v>108</v>
      </c>
      <c r="B44" s="151"/>
      <c r="C44" s="151"/>
      <c r="D44" s="151"/>
      <c r="E44" s="153"/>
      <c r="F44" s="151"/>
      <c r="G44" s="153">
        <f>(G42/E42)-1</f>
        <v>3.363204012936416E-2</v>
      </c>
      <c r="I44" s="153">
        <f>(I42/G42)-1</f>
        <v>3.3924452106447456E-2</v>
      </c>
      <c r="J44" s="152"/>
      <c r="K44" s="153">
        <f>(K42/I42)-1</f>
        <v>3.9318883039297425E-2</v>
      </c>
      <c r="M44" s="153">
        <f>(M42/K42)-1</f>
        <v>4.9268660335940462E-2</v>
      </c>
      <c r="N44" s="13"/>
      <c r="O44" s="153">
        <f>(O42/M42)-1</f>
        <v>3.5214807462707221E-2</v>
      </c>
      <c r="P44" s="13"/>
      <c r="Q44" s="153">
        <f>(Q42/O42)-1</f>
        <v>1.3417251545019049E-2</v>
      </c>
      <c r="R44" s="153"/>
      <c r="S44" s="153">
        <f>(S42/Q42)-1</f>
        <v>1.6493425273322648E-2</v>
      </c>
      <c r="T44" s="177"/>
      <c r="U44" s="153">
        <f>(U42/S42)-1</f>
        <v>9.4517958412099201E-3</v>
      </c>
      <c r="V44" s="177"/>
      <c r="W44" s="153">
        <f>(W42/U42)-1</f>
        <v>1.5730337078651679E-2</v>
      </c>
      <c r="X44" s="177"/>
      <c r="Y44" s="153">
        <f>(Y42/W42)-1</f>
        <v>2.3195749555314782E-2</v>
      </c>
      <c r="Z44" s="153"/>
      <c r="AA44" s="153">
        <f>(AA42/Y42)-1</f>
        <v>5.4285165194988938E-2</v>
      </c>
      <c r="AB44" s="153"/>
      <c r="AC44" s="153">
        <f>(AC42/AA42)-1</f>
        <v>4.4777557327842166E-2</v>
      </c>
      <c r="AD44" s="153"/>
      <c r="AE44" s="153">
        <f>(AE42/AC42)-1</f>
        <v>1.5919425656797603E-2</v>
      </c>
      <c r="AF44" s="153"/>
      <c r="AG44" s="153">
        <f>(AG42/AE42)-1</f>
        <v>-2.2269083806046308E-2</v>
      </c>
      <c r="AH44" s="153"/>
      <c r="AI44" s="153">
        <f>(AI42/AG42)-1</f>
        <v>-9.3533088871109671E-2</v>
      </c>
      <c r="AJ44" s="153"/>
      <c r="AK44" s="153">
        <f>(AK42/AI42)-1</f>
        <v>-0.11249957633232099</v>
      </c>
      <c r="AL44" s="153"/>
      <c r="AM44" s="153">
        <f>(AM42/AK42)-1</f>
        <v>6.0216698453272599E-3</v>
      </c>
      <c r="AN44" s="177"/>
      <c r="AO44" s="153">
        <f>(AO42/AM42)-1</f>
        <v>9.3960631820078078E-4</v>
      </c>
      <c r="AP44" s="177"/>
      <c r="AQ44" s="153">
        <f>(AQ42/AO42)-1</f>
        <v>8.7465767978003317E-3</v>
      </c>
      <c r="AR44" s="177"/>
      <c r="AS44" s="153">
        <f>(AS42/AQ42)-1</f>
        <v>-5.6428859330914793E-3</v>
      </c>
      <c r="AT44" s="153"/>
      <c r="AU44" s="153">
        <f>(AU42/AS42)-1</f>
        <v>0</v>
      </c>
      <c r="AV44" s="177"/>
      <c r="AW44" s="153">
        <f>(AW42/AU42)-1</f>
        <v>4.0893943171989022E-2</v>
      </c>
      <c r="AX44" s="177"/>
      <c r="AY44" s="153">
        <f>(AY42/AW42)-1</f>
        <v>9.9154250146509249E-3</v>
      </c>
      <c r="AZ44" s="177"/>
      <c r="BA44" s="153">
        <f>(BA42/AY42)-1</f>
        <v>2.8778026615884356E-2</v>
      </c>
      <c r="BB44" s="177"/>
      <c r="BC44" s="153">
        <f>(BC42/BA42)-1</f>
        <v>1.1664052049402684E-3</v>
      </c>
      <c r="BD44" s="177"/>
      <c r="BE44" s="153">
        <f>(BE42/BC42)-1</f>
        <v>1.1877448192900708E-2</v>
      </c>
      <c r="BF44" s="177"/>
      <c r="BG44" s="153">
        <f>(BG42/BE42)-1</f>
        <v>3.2532986424797627E-2</v>
      </c>
      <c r="BH44" s="153"/>
      <c r="BI44" s="153">
        <f>(BI42/BG42)-1</f>
        <v>9.0331092915902689E-2</v>
      </c>
      <c r="BJ44" s="177"/>
      <c r="BK44" s="153">
        <f>(BK42/BI42)-1</f>
        <v>-6.4891348010116756E-2</v>
      </c>
      <c r="BM44" s="178"/>
      <c r="BN44" s="39"/>
    </row>
    <row r="45" spans="1:66" x14ac:dyDescent="0.25">
      <c r="A45" s="48" t="s">
        <v>139</v>
      </c>
    </row>
    <row r="46" spans="1:66" x14ac:dyDescent="0.25">
      <c r="AS46" s="161"/>
      <c r="AZ46" s="153"/>
      <c r="BB46" s="153"/>
      <c r="BD46" s="153"/>
      <c r="BF46" s="153"/>
      <c r="BJ46" s="153"/>
    </row>
    <row r="47" spans="1:66" x14ac:dyDescent="0.25">
      <c r="AO47" s="181"/>
      <c r="AQ47" s="181"/>
      <c r="AS47" s="181"/>
      <c r="AT47" s="181"/>
      <c r="AU47" s="181"/>
      <c r="AW47" s="181"/>
      <c r="AY47" s="181"/>
      <c r="BA47" s="181"/>
      <c r="BC47" s="181"/>
      <c r="BE47" s="181"/>
      <c r="BG47" s="181"/>
      <c r="BH47" s="181"/>
      <c r="BI47" s="181"/>
      <c r="BK47" s="181"/>
    </row>
  </sheetData>
  <sheetProtection algorithmName="SHA-512" hashValue="VkhlKPJ51FEJqv4Xnf+xiqLbFItQf6Hk0dELj4dQUsnbJewOAaP4gfuM1IEuIyUss9lO8S+EAEojIon7sj7Hdg==" saltValue="cv80dtzgD0BsDWNRkBMdvg==" spinCount="100000" sheet="1" objects="1" scenarios="1"/>
  <phoneticPr fontId="3" type="noConversion"/>
  <pageMargins left="1" right="1" top="1" bottom="1" header="0.5" footer="0.5"/>
  <pageSetup scale="27" orientation="portrait" r:id="rId1"/>
  <headerFooter>
    <oddHeader xml:space="preserve">&amp;L&amp;"Segoe UI,Bold"2022 Material Recovery and Waste Generation Rates Report&amp;R&amp;"Times New Roman,Bold"&amp;14 </oddHeader>
    <oddFooter>&amp;L&amp;"Segoe UI,Regular"&amp;9Oregon Department of Environmental Quality&amp;C
&amp;R&amp;"Segoe UI,Regular"&amp;9 2022 Material Recovery and Waste Generation Rates</oddFooter>
  </headerFooter>
  <ignoredErrors>
    <ignoredError sqref="E42 M42 O42 Q42 C4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pageSetUpPr fitToPage="1"/>
  </sheetPr>
  <dimension ref="A1:AG76"/>
  <sheetViews>
    <sheetView zoomScaleNormal="100" workbookViewId="0">
      <pane xSplit="1" ySplit="4" topLeftCell="B5" activePane="bottomRight" state="frozen"/>
      <selection activeCell="Q1" sqref="Q1"/>
      <selection pane="topRight" activeCell="Q1" sqref="Q1"/>
      <selection pane="bottomLeft" activeCell="Q1" sqref="Q1"/>
      <selection pane="bottomRight"/>
    </sheetView>
  </sheetViews>
  <sheetFormatPr defaultRowHeight="14.25" x14ac:dyDescent="0.25"/>
  <cols>
    <col min="1" max="1" width="22.5703125" style="16" customWidth="1"/>
    <col min="2" max="18" width="10.7109375" style="16" customWidth="1"/>
    <col min="19" max="19" width="10.7109375" style="13" customWidth="1"/>
    <col min="20" max="32" width="10.7109375" style="16" customWidth="1"/>
    <col min="33" max="33" width="11.42578125" style="16" customWidth="1"/>
    <col min="34" max="16384" width="9.140625" style="16"/>
  </cols>
  <sheetData>
    <row r="1" spans="1:33" ht="20.25" x14ac:dyDescent="0.35">
      <c r="A1" s="64" t="s">
        <v>185</v>
      </c>
    </row>
    <row r="2" spans="1:33" ht="12.75" customHeight="1" thickBot="1" x14ac:dyDescent="0.3">
      <c r="S2" s="182"/>
      <c r="T2" s="183"/>
      <c r="U2" s="183"/>
      <c r="V2" s="183"/>
      <c r="W2" s="183"/>
      <c r="X2" s="183"/>
      <c r="Y2" s="183"/>
      <c r="Z2" s="183"/>
      <c r="AA2" s="183"/>
      <c r="AB2" s="183"/>
      <c r="AC2" s="183"/>
      <c r="AD2" s="183"/>
      <c r="AE2" s="183"/>
      <c r="AF2" s="183"/>
    </row>
    <row r="3" spans="1:33" ht="15" thickTop="1" x14ac:dyDescent="0.25">
      <c r="A3" s="184" t="s">
        <v>47</v>
      </c>
      <c r="B3" s="185">
        <v>1992</v>
      </c>
      <c r="C3" s="185">
        <v>1993</v>
      </c>
      <c r="D3" s="185">
        <v>1994</v>
      </c>
      <c r="E3" s="185">
        <v>1995</v>
      </c>
      <c r="F3" s="186">
        <v>1996</v>
      </c>
      <c r="G3" s="186">
        <v>1997</v>
      </c>
      <c r="H3" s="186">
        <v>1998</v>
      </c>
      <c r="I3" s="186">
        <v>1999</v>
      </c>
      <c r="J3" s="186">
        <v>2000</v>
      </c>
      <c r="K3" s="186">
        <v>2001</v>
      </c>
      <c r="L3" s="186">
        <v>2002</v>
      </c>
      <c r="M3" s="186">
        <v>2003</v>
      </c>
      <c r="N3" s="186">
        <v>2004</v>
      </c>
      <c r="O3" s="186">
        <v>2005</v>
      </c>
      <c r="P3" s="187">
        <v>2006</v>
      </c>
      <c r="Q3" s="186">
        <v>2007</v>
      </c>
      <c r="R3" s="188">
        <v>2008</v>
      </c>
      <c r="S3" s="189">
        <v>2009</v>
      </c>
      <c r="T3" s="186">
        <v>2010</v>
      </c>
      <c r="U3" s="187">
        <v>2011</v>
      </c>
      <c r="V3" s="187">
        <v>2012</v>
      </c>
      <c r="W3" s="188">
        <v>2013</v>
      </c>
      <c r="X3" s="188">
        <v>2014</v>
      </c>
      <c r="Y3" s="188">
        <v>2015</v>
      </c>
      <c r="Z3" s="188">
        <v>2016</v>
      </c>
      <c r="AA3" s="188">
        <v>2017</v>
      </c>
      <c r="AB3" s="188">
        <v>2018</v>
      </c>
      <c r="AC3" s="188">
        <v>2019</v>
      </c>
      <c r="AD3" s="188">
        <v>2020</v>
      </c>
      <c r="AE3" s="190">
        <v>2021</v>
      </c>
      <c r="AF3" s="191">
        <v>2022</v>
      </c>
    </row>
    <row r="4" spans="1:33" ht="15" thickBot="1" x14ac:dyDescent="0.3">
      <c r="A4" s="193"/>
      <c r="B4" s="194" t="s">
        <v>0</v>
      </c>
      <c r="C4" s="194" t="s">
        <v>0</v>
      </c>
      <c r="D4" s="194" t="s">
        <v>0</v>
      </c>
      <c r="E4" s="194" t="s">
        <v>0</v>
      </c>
      <c r="F4" s="195" t="s">
        <v>0</v>
      </c>
      <c r="G4" s="195" t="s">
        <v>0</v>
      </c>
      <c r="H4" s="195" t="s">
        <v>0</v>
      </c>
      <c r="I4" s="195" t="s">
        <v>0</v>
      </c>
      <c r="J4" s="195" t="s">
        <v>0</v>
      </c>
      <c r="K4" s="195" t="s">
        <v>0</v>
      </c>
      <c r="L4" s="195" t="s">
        <v>0</v>
      </c>
      <c r="M4" s="195" t="s">
        <v>0</v>
      </c>
      <c r="N4" s="195" t="s">
        <v>0</v>
      </c>
      <c r="O4" s="195" t="s">
        <v>0</v>
      </c>
      <c r="P4" s="196" t="s">
        <v>0</v>
      </c>
      <c r="Q4" s="196" t="s">
        <v>0</v>
      </c>
      <c r="R4" s="197" t="s">
        <v>0</v>
      </c>
      <c r="S4" s="196" t="s">
        <v>0</v>
      </c>
      <c r="T4" s="196" t="s">
        <v>0</v>
      </c>
      <c r="U4" s="198" t="s">
        <v>0</v>
      </c>
      <c r="V4" s="198" t="s">
        <v>0</v>
      </c>
      <c r="W4" s="197" t="s">
        <v>0</v>
      </c>
      <c r="X4" s="197" t="s">
        <v>0</v>
      </c>
      <c r="Y4" s="197" t="s">
        <v>0</v>
      </c>
      <c r="Z4" s="197" t="s">
        <v>0</v>
      </c>
      <c r="AA4" s="197" t="s">
        <v>0</v>
      </c>
      <c r="AB4" s="197" t="s">
        <v>0</v>
      </c>
      <c r="AC4" s="197" t="s">
        <v>0</v>
      </c>
      <c r="AD4" s="197" t="s">
        <v>0</v>
      </c>
      <c r="AE4" s="199" t="s">
        <v>0</v>
      </c>
      <c r="AF4" s="200" t="s">
        <v>0</v>
      </c>
    </row>
    <row r="5" spans="1:33" ht="15" customHeight="1" thickTop="1" x14ac:dyDescent="0.25">
      <c r="A5" s="192" t="s">
        <v>48</v>
      </c>
      <c r="B5" s="201">
        <v>69284</v>
      </c>
      <c r="C5" s="202">
        <v>74541</v>
      </c>
      <c r="D5" s="202">
        <v>73512.2</v>
      </c>
      <c r="E5" s="202">
        <v>65998.2</v>
      </c>
      <c r="F5" s="203">
        <v>77231</v>
      </c>
      <c r="G5" s="203">
        <v>73386.2</v>
      </c>
      <c r="H5" s="203">
        <v>78491.7</v>
      </c>
      <c r="I5" s="203">
        <v>80194</v>
      </c>
      <c r="J5" s="203">
        <v>87888.8</v>
      </c>
      <c r="K5" s="203">
        <v>83240.399999999994</v>
      </c>
      <c r="L5" s="203">
        <v>90475.5</v>
      </c>
      <c r="M5" s="203">
        <v>89199</v>
      </c>
      <c r="N5" s="203">
        <v>92203.9</v>
      </c>
      <c r="O5" s="204">
        <v>94670.09</v>
      </c>
      <c r="P5" s="205">
        <v>95946.1</v>
      </c>
      <c r="Q5" s="206">
        <v>96925.92</v>
      </c>
      <c r="R5" s="207">
        <v>100496.371</v>
      </c>
      <c r="S5" s="208">
        <v>108083.71400000001</v>
      </c>
      <c r="T5" s="209">
        <v>107829.955</v>
      </c>
      <c r="U5" s="210">
        <v>114981.783</v>
      </c>
      <c r="V5" s="210">
        <v>107041.787</v>
      </c>
      <c r="W5" s="210">
        <v>106839.935</v>
      </c>
      <c r="X5" s="210">
        <v>106852.993</v>
      </c>
      <c r="Y5" s="210">
        <v>110100.82799999999</v>
      </c>
      <c r="Z5" s="210">
        <v>107237.601</v>
      </c>
      <c r="AA5" s="210">
        <v>119561.425</v>
      </c>
      <c r="AB5" s="210">
        <v>117824.425</v>
      </c>
      <c r="AC5" s="210">
        <v>113052.25</v>
      </c>
      <c r="AD5" s="210">
        <v>98589.160999999993</v>
      </c>
      <c r="AE5" s="210">
        <v>97926.687000000005</v>
      </c>
      <c r="AF5" s="211">
        <v>96380.986000000004</v>
      </c>
      <c r="AG5" s="212"/>
    </row>
    <row r="6" spans="1:33" ht="15" customHeight="1" x14ac:dyDescent="0.25">
      <c r="A6" s="192" t="s">
        <v>49</v>
      </c>
      <c r="B6" s="213">
        <v>41</v>
      </c>
      <c r="C6" s="214">
        <v>439</v>
      </c>
      <c r="D6" s="214">
        <v>6029.9</v>
      </c>
      <c r="E6" s="214">
        <v>620</v>
      </c>
      <c r="F6" s="215">
        <v>1556.5</v>
      </c>
      <c r="G6" s="215">
        <v>8088</v>
      </c>
      <c r="H6" s="215">
        <v>365.1</v>
      </c>
      <c r="I6" s="215">
        <v>1476</v>
      </c>
      <c r="J6" s="215">
        <v>1577.7</v>
      </c>
      <c r="K6" s="215">
        <v>9529.5</v>
      </c>
      <c r="L6" s="215">
        <v>4357.7</v>
      </c>
      <c r="M6" s="215">
        <v>4051.81</v>
      </c>
      <c r="N6" s="215">
        <v>2826.5</v>
      </c>
      <c r="O6" s="216">
        <v>105.66</v>
      </c>
      <c r="P6" s="217">
        <v>672.8</v>
      </c>
      <c r="Q6" s="218">
        <v>901.2</v>
      </c>
      <c r="R6" s="217">
        <v>999.48</v>
      </c>
      <c r="S6" s="219">
        <v>709.26</v>
      </c>
      <c r="T6" s="219">
        <v>867.16</v>
      </c>
      <c r="U6" s="220">
        <v>839.94</v>
      </c>
      <c r="V6" s="220">
        <v>20.57</v>
      </c>
      <c r="W6" s="220">
        <v>27.82</v>
      </c>
      <c r="X6" s="220">
        <v>31.76</v>
      </c>
      <c r="Y6" s="220">
        <v>185.74</v>
      </c>
      <c r="Z6" s="220">
        <v>232.34</v>
      </c>
      <c r="AA6" s="220">
        <v>0.82799999999999996</v>
      </c>
      <c r="AB6" s="220">
        <v>0</v>
      </c>
      <c r="AC6" s="220">
        <v>1531.05</v>
      </c>
      <c r="AD6" s="220">
        <v>660.59900000000005</v>
      </c>
      <c r="AE6" s="220">
        <v>808.29</v>
      </c>
      <c r="AF6" s="221">
        <v>136.03</v>
      </c>
      <c r="AG6" s="212"/>
    </row>
    <row r="7" spans="1:33" s="229" customFormat="1" ht="15" customHeight="1" x14ac:dyDescent="0.25">
      <c r="A7" s="222" t="s">
        <v>50</v>
      </c>
      <c r="B7" s="223">
        <f t="shared" ref="B7:M7" si="0">B5+B6</f>
        <v>69325</v>
      </c>
      <c r="C7" s="224">
        <f t="shared" si="0"/>
        <v>74980</v>
      </c>
      <c r="D7" s="224">
        <f t="shared" si="0"/>
        <v>79542.099999999991</v>
      </c>
      <c r="E7" s="224">
        <f t="shared" si="0"/>
        <v>66618.2</v>
      </c>
      <c r="F7" s="225">
        <f t="shared" si="0"/>
        <v>78787.5</v>
      </c>
      <c r="G7" s="225">
        <f t="shared" si="0"/>
        <v>81474.2</v>
      </c>
      <c r="H7" s="225">
        <f t="shared" si="0"/>
        <v>78856.800000000003</v>
      </c>
      <c r="I7" s="225">
        <f t="shared" si="0"/>
        <v>81670</v>
      </c>
      <c r="J7" s="225">
        <f t="shared" si="0"/>
        <v>89466.5</v>
      </c>
      <c r="K7" s="225">
        <f t="shared" si="0"/>
        <v>92769.9</v>
      </c>
      <c r="L7" s="225">
        <f t="shared" si="0"/>
        <v>94833.2</v>
      </c>
      <c r="M7" s="225">
        <f t="shared" si="0"/>
        <v>93250.81</v>
      </c>
      <c r="N7" s="225">
        <f>N5+N6</f>
        <v>95030.399999999994</v>
      </c>
      <c r="O7" s="225">
        <f>O5+O6</f>
        <v>94775.75</v>
      </c>
      <c r="P7" s="225">
        <f>P5+P6</f>
        <v>96618.900000000009</v>
      </c>
      <c r="Q7" s="224">
        <f>SUM(Q5:Q6)</f>
        <v>97827.12</v>
      </c>
      <c r="R7" s="225">
        <v>101495.851</v>
      </c>
      <c r="S7" s="225">
        <v>108792.974</v>
      </c>
      <c r="T7" s="226">
        <f>SUM(T5:T6)</f>
        <v>108697.11500000001</v>
      </c>
      <c r="U7" s="227">
        <v>115821.723</v>
      </c>
      <c r="V7" s="227">
        <v>107062.357</v>
      </c>
      <c r="W7" s="227">
        <v>106867.755</v>
      </c>
      <c r="X7" s="227">
        <v>106884.753</v>
      </c>
      <c r="Y7" s="227">
        <v>110286.568</v>
      </c>
      <c r="Z7" s="227">
        <v>107469.94099999999</v>
      </c>
      <c r="AA7" s="227">
        <v>119562.253</v>
      </c>
      <c r="AB7" s="227">
        <f t="shared" ref="AB7:AF7" si="1">SUM(AB5:AB6)</f>
        <v>117824.425</v>
      </c>
      <c r="AC7" s="227">
        <f t="shared" si="1"/>
        <v>114583.3</v>
      </c>
      <c r="AD7" s="227">
        <f t="shared" si="1"/>
        <v>99249.76</v>
      </c>
      <c r="AE7" s="227">
        <f t="shared" si="1"/>
        <v>98734.976999999999</v>
      </c>
      <c r="AF7" s="228">
        <f t="shared" si="1"/>
        <v>96517.016000000003</v>
      </c>
    </row>
    <row r="8" spans="1:33" ht="15" customHeight="1" x14ac:dyDescent="0.25">
      <c r="A8" s="192" t="s">
        <v>51</v>
      </c>
      <c r="B8" s="213">
        <v>18245</v>
      </c>
      <c r="C8" s="214">
        <v>16030</v>
      </c>
      <c r="D8" s="214">
        <v>16804.8</v>
      </c>
      <c r="E8" s="214">
        <v>18599.599999999999</v>
      </c>
      <c r="F8" s="215">
        <v>17815.2</v>
      </c>
      <c r="G8" s="215">
        <v>17757.2</v>
      </c>
      <c r="H8" s="215">
        <v>16733.5</v>
      </c>
      <c r="I8" s="215">
        <v>21046.400000000001</v>
      </c>
      <c r="J8" s="215">
        <v>18208.7</v>
      </c>
      <c r="K8" s="215">
        <v>20510.599999999999</v>
      </c>
      <c r="L8" s="215">
        <v>17428</v>
      </c>
      <c r="M8" s="215">
        <v>14671</v>
      </c>
      <c r="N8" s="215">
        <v>17871.2</v>
      </c>
      <c r="O8" s="230">
        <v>20453.433000000001</v>
      </c>
      <c r="P8" s="217">
        <v>21521.316999999999</v>
      </c>
      <c r="Q8" s="231">
        <v>26932.115000000002</v>
      </c>
      <c r="R8" s="217">
        <v>32888.271000000001</v>
      </c>
      <c r="S8" s="232">
        <v>30672.880000000001</v>
      </c>
      <c r="T8" s="232">
        <v>38494.644999999997</v>
      </c>
      <c r="U8" s="233">
        <v>19984.805</v>
      </c>
      <c r="V8" s="233">
        <v>23733.285</v>
      </c>
      <c r="W8" s="233">
        <v>23175.722000000002</v>
      </c>
      <c r="X8" s="233">
        <v>21318.315999999999</v>
      </c>
      <c r="Y8" s="233">
        <v>19310.384999999998</v>
      </c>
      <c r="Z8" s="233">
        <v>21565.737000000001</v>
      </c>
      <c r="AA8" s="233">
        <v>25499.294999999998</v>
      </c>
      <c r="AB8" s="233">
        <v>30582.455999999998</v>
      </c>
      <c r="AC8" s="233">
        <v>33861.012999999999</v>
      </c>
      <c r="AD8" s="233">
        <v>33777.964999999997</v>
      </c>
      <c r="AE8" s="233">
        <v>36410.408000000003</v>
      </c>
      <c r="AF8" s="234">
        <v>39855.368999999999</v>
      </c>
      <c r="AG8" s="235"/>
    </row>
    <row r="9" spans="1:33" ht="15" customHeight="1" x14ac:dyDescent="0.25">
      <c r="A9" s="192" t="s">
        <v>52</v>
      </c>
      <c r="B9" s="213">
        <v>26927</v>
      </c>
      <c r="C9" s="214">
        <v>36325</v>
      </c>
      <c r="D9" s="214">
        <v>33699.300000000003</v>
      </c>
      <c r="E9" s="214">
        <v>40099.800000000003</v>
      </c>
      <c r="F9" s="215">
        <v>45271.199999999997</v>
      </c>
      <c r="G9" s="215">
        <v>92315.9</v>
      </c>
      <c r="H9" s="215">
        <v>114084</v>
      </c>
      <c r="I9" s="215">
        <v>141653.1</v>
      </c>
      <c r="J9" s="215">
        <v>165728.4</v>
      </c>
      <c r="K9" s="215">
        <v>223623.2</v>
      </c>
      <c r="L9" s="215">
        <v>228722.6</v>
      </c>
      <c r="M9" s="215">
        <v>261119</v>
      </c>
      <c r="N9" s="215">
        <v>375464.08</v>
      </c>
      <c r="O9" s="230">
        <v>477513.02299999999</v>
      </c>
      <c r="P9" s="217">
        <v>339722.62699999998</v>
      </c>
      <c r="Q9" s="218">
        <v>361152.43300000002</v>
      </c>
      <c r="R9" s="230">
        <v>354908.35399999999</v>
      </c>
      <c r="S9" s="217">
        <v>332781.08799999999</v>
      </c>
      <c r="T9" s="217">
        <v>363804.984</v>
      </c>
      <c r="U9" s="236">
        <v>550158.29599999997</v>
      </c>
      <c r="V9" s="236">
        <v>511025.92099999997</v>
      </c>
      <c r="W9" s="236">
        <v>477096.56199999998</v>
      </c>
      <c r="X9" s="236">
        <v>422844.68300000002</v>
      </c>
      <c r="Y9" s="236">
        <v>408325.81</v>
      </c>
      <c r="Z9" s="236">
        <v>389346.77299999999</v>
      </c>
      <c r="AA9" s="236">
        <v>444487.44699999999</v>
      </c>
      <c r="AB9" s="236">
        <v>516128.13699999999</v>
      </c>
      <c r="AC9" s="236">
        <v>567615.63199999998</v>
      </c>
      <c r="AD9" s="236">
        <v>617255.75199999998</v>
      </c>
      <c r="AE9" s="236">
        <v>549074.951</v>
      </c>
      <c r="AF9" s="237">
        <v>612719.98800000001</v>
      </c>
      <c r="AG9" s="235"/>
    </row>
    <row r="10" spans="1:33" ht="15" customHeight="1" x14ac:dyDescent="0.25">
      <c r="A10" s="192" t="s">
        <v>97</v>
      </c>
      <c r="B10" s="213"/>
      <c r="C10" s="214"/>
      <c r="D10" s="214"/>
      <c r="E10" s="214"/>
      <c r="F10" s="215"/>
      <c r="G10" s="215"/>
      <c r="H10" s="215"/>
      <c r="I10" s="215"/>
      <c r="J10" s="215">
        <v>14778.8</v>
      </c>
      <c r="K10" s="215">
        <v>23387.3</v>
      </c>
      <c r="L10" s="215">
        <v>16239.5</v>
      </c>
      <c r="M10" s="215">
        <v>11616.33</v>
      </c>
      <c r="N10" s="215">
        <v>14574.613000000005</v>
      </c>
      <c r="O10" s="216">
        <v>0</v>
      </c>
      <c r="P10" s="216">
        <v>0</v>
      </c>
      <c r="Q10" s="218">
        <v>0</v>
      </c>
      <c r="R10" s="230">
        <v>0</v>
      </c>
      <c r="S10" s="230">
        <v>0</v>
      </c>
      <c r="T10" s="217">
        <v>0</v>
      </c>
      <c r="U10" s="236">
        <v>0</v>
      </c>
      <c r="V10" s="236">
        <v>0</v>
      </c>
      <c r="W10" s="236">
        <v>0</v>
      </c>
      <c r="X10" s="236">
        <v>0</v>
      </c>
      <c r="Y10" s="236">
        <v>0</v>
      </c>
      <c r="Z10" s="236">
        <v>0</v>
      </c>
      <c r="AA10" s="236">
        <v>0</v>
      </c>
      <c r="AB10" s="236">
        <v>0</v>
      </c>
      <c r="AC10" s="236">
        <v>0</v>
      </c>
      <c r="AD10" s="236">
        <v>0</v>
      </c>
      <c r="AE10" s="236">
        <v>0</v>
      </c>
      <c r="AF10" s="237">
        <v>0</v>
      </c>
      <c r="AG10" s="235"/>
    </row>
    <row r="11" spans="1:33" ht="15" customHeight="1" x14ac:dyDescent="0.25">
      <c r="A11" s="192" t="s">
        <v>53</v>
      </c>
      <c r="B11" s="213">
        <v>7400</v>
      </c>
      <c r="C11" s="214">
        <v>9755</v>
      </c>
      <c r="D11" s="214">
        <v>8557.2999999999993</v>
      </c>
      <c r="E11" s="214">
        <v>8423.9</v>
      </c>
      <c r="F11" s="215">
        <v>8635.2000000000007</v>
      </c>
      <c r="G11" s="215">
        <v>7715.2</v>
      </c>
      <c r="H11" s="215">
        <v>8744.9</v>
      </c>
      <c r="I11" s="215">
        <v>8407</v>
      </c>
      <c r="J11" s="215">
        <v>0</v>
      </c>
      <c r="K11" s="215">
        <v>0</v>
      </c>
      <c r="L11" s="215">
        <v>0</v>
      </c>
      <c r="M11" s="215">
        <v>0</v>
      </c>
      <c r="N11" s="215">
        <v>0</v>
      </c>
      <c r="O11" s="230">
        <v>8718.6229999999996</v>
      </c>
      <c r="P11" s="230">
        <f>8397.628+1</f>
        <v>8398.6280000000006</v>
      </c>
      <c r="Q11" s="231">
        <v>10174.405000000001</v>
      </c>
      <c r="R11" s="230">
        <v>9177.2250000000004</v>
      </c>
      <c r="S11" s="217">
        <v>9002.9110000000001</v>
      </c>
      <c r="T11" s="217">
        <v>8889.5139999999992</v>
      </c>
      <c r="U11" s="236">
        <v>9298.3379999999997</v>
      </c>
      <c r="V11" s="236">
        <v>8397.9369999999999</v>
      </c>
      <c r="W11" s="236">
        <v>8943.8510000000006</v>
      </c>
      <c r="X11" s="236">
        <v>8747.0059999999994</v>
      </c>
      <c r="Y11" s="236">
        <v>8326.52</v>
      </c>
      <c r="Z11" s="236">
        <v>8362.5010000000002</v>
      </c>
      <c r="AA11" s="236">
        <v>9611.2720000000008</v>
      </c>
      <c r="AB11" s="236">
        <v>8844.1740000000009</v>
      </c>
      <c r="AC11" s="236">
        <v>10450.102000000001</v>
      </c>
      <c r="AD11" s="236">
        <v>6963.4110000000001</v>
      </c>
      <c r="AE11" s="236">
        <v>5982.942</v>
      </c>
      <c r="AF11" s="237">
        <v>5762.8389999999999</v>
      </c>
      <c r="AG11" s="235"/>
    </row>
    <row r="12" spans="1:33" ht="15" customHeight="1" x14ac:dyDescent="0.25">
      <c r="A12" s="192" t="s">
        <v>54</v>
      </c>
      <c r="B12" s="213">
        <v>0.4</v>
      </c>
      <c r="C12" s="214">
        <v>2</v>
      </c>
      <c r="D12" s="214">
        <v>0</v>
      </c>
      <c r="E12" s="214">
        <v>0.3</v>
      </c>
      <c r="F12" s="215">
        <v>0.2</v>
      </c>
      <c r="G12" s="215">
        <v>0</v>
      </c>
      <c r="H12" s="215">
        <v>7.8</v>
      </c>
      <c r="I12" s="215">
        <v>7.2</v>
      </c>
      <c r="J12" s="215">
        <v>0</v>
      </c>
      <c r="K12" s="215">
        <v>0</v>
      </c>
      <c r="L12" s="215">
        <v>0</v>
      </c>
      <c r="M12" s="215">
        <v>0</v>
      </c>
      <c r="N12" s="215">
        <v>0.6</v>
      </c>
      <c r="O12" s="216">
        <v>0.6</v>
      </c>
      <c r="P12" s="216">
        <v>1</v>
      </c>
      <c r="Q12" s="218">
        <v>0.72499999999999998</v>
      </c>
      <c r="R12" s="230">
        <v>0.77500000000000002</v>
      </c>
      <c r="S12" s="238">
        <v>0.64600000000000002</v>
      </c>
      <c r="T12" s="238">
        <v>0.4</v>
      </c>
      <c r="U12" s="220">
        <v>0.57999999999999996</v>
      </c>
      <c r="V12" s="220">
        <v>0.4</v>
      </c>
      <c r="W12" s="220">
        <v>1.03</v>
      </c>
      <c r="X12" s="220">
        <v>1.5</v>
      </c>
      <c r="Y12" s="220">
        <v>0.78</v>
      </c>
      <c r="Z12" s="220">
        <v>1.25</v>
      </c>
      <c r="AA12" s="220">
        <v>1.4</v>
      </c>
      <c r="AB12" s="220">
        <v>1.03</v>
      </c>
      <c r="AC12" s="220">
        <v>0.52500000000000002</v>
      </c>
      <c r="AD12" s="220">
        <v>0</v>
      </c>
      <c r="AE12" s="220">
        <v>0.02</v>
      </c>
      <c r="AF12" s="221">
        <v>7.0000000000000007E-2</v>
      </c>
      <c r="AG12" s="235"/>
    </row>
    <row r="13" spans="1:33" ht="15" customHeight="1" x14ac:dyDescent="0.25">
      <c r="A13" s="222" t="s">
        <v>55</v>
      </c>
      <c r="B13" s="223">
        <f t="shared" ref="B13:N13" si="2">SUM(B8:B12)</f>
        <v>52572.4</v>
      </c>
      <c r="C13" s="224">
        <f t="shared" si="2"/>
        <v>62112</v>
      </c>
      <c r="D13" s="224">
        <f t="shared" si="2"/>
        <v>59061.400000000009</v>
      </c>
      <c r="E13" s="224">
        <f t="shared" si="2"/>
        <v>67123.600000000006</v>
      </c>
      <c r="F13" s="225">
        <f t="shared" si="2"/>
        <v>71721.799999999988</v>
      </c>
      <c r="G13" s="225">
        <f t="shared" si="2"/>
        <v>117788.29999999999</v>
      </c>
      <c r="H13" s="225">
        <f t="shared" si="2"/>
        <v>139570.19999999998</v>
      </c>
      <c r="I13" s="225">
        <f t="shared" si="2"/>
        <v>171113.7</v>
      </c>
      <c r="J13" s="225">
        <f t="shared" si="2"/>
        <v>198715.9</v>
      </c>
      <c r="K13" s="225">
        <f t="shared" si="2"/>
        <v>267521.10000000003</v>
      </c>
      <c r="L13" s="225">
        <f t="shared" si="2"/>
        <v>262390.09999999998</v>
      </c>
      <c r="M13" s="225">
        <f t="shared" si="2"/>
        <v>287406.33</v>
      </c>
      <c r="N13" s="225">
        <f t="shared" si="2"/>
        <v>407910.49300000002</v>
      </c>
      <c r="O13" s="225">
        <f t="shared" ref="O13:Q13" si="3">SUM(O8:O12)</f>
        <v>506685.679</v>
      </c>
      <c r="P13" s="225">
        <f t="shared" si="3"/>
        <v>369643.57199999999</v>
      </c>
      <c r="Q13" s="224">
        <f t="shared" si="3"/>
        <v>398259.67800000001</v>
      </c>
      <c r="R13" s="225">
        <v>396974.625</v>
      </c>
      <c r="S13" s="225">
        <v>372457.52500000002</v>
      </c>
      <c r="T13" s="226">
        <f>SUM(T8:T12)</f>
        <v>411189.54300000006</v>
      </c>
      <c r="U13" s="227">
        <v>579442.01899999997</v>
      </c>
      <c r="V13" s="227">
        <v>543157.54300000006</v>
      </c>
      <c r="W13" s="227">
        <v>509217.16500000004</v>
      </c>
      <c r="X13" s="227">
        <v>452911.505</v>
      </c>
      <c r="Y13" s="227">
        <v>435963.49500000005</v>
      </c>
      <c r="Z13" s="227">
        <v>419276.261</v>
      </c>
      <c r="AA13" s="227">
        <v>479599.41399999999</v>
      </c>
      <c r="AB13" s="227">
        <f t="shared" ref="AB13" si="4">SUM(AB8:AB12)</f>
        <v>555555.79700000002</v>
      </c>
      <c r="AC13" s="227">
        <f t="shared" ref="AC13:AF13" si="5">SUM(AC8:AC12)</f>
        <v>611927.272</v>
      </c>
      <c r="AD13" s="227">
        <f t="shared" si="5"/>
        <v>657997.12799999991</v>
      </c>
      <c r="AE13" s="227">
        <f t="shared" si="5"/>
        <v>591468.32100000011</v>
      </c>
      <c r="AF13" s="228">
        <f t="shared" si="5"/>
        <v>658338.26599999995</v>
      </c>
    </row>
    <row r="14" spans="1:33" ht="15" customHeight="1" x14ac:dyDescent="0.25">
      <c r="A14" s="192" t="s">
        <v>56</v>
      </c>
      <c r="B14" s="213">
        <v>204729</v>
      </c>
      <c r="C14" s="214">
        <v>226147</v>
      </c>
      <c r="D14" s="214">
        <v>251559.1</v>
      </c>
      <c r="E14" s="214">
        <v>306822.59999999998</v>
      </c>
      <c r="F14" s="215">
        <v>304093.09999999998</v>
      </c>
      <c r="G14" s="215">
        <v>320018.2</v>
      </c>
      <c r="H14" s="215">
        <v>321500.5</v>
      </c>
      <c r="I14" s="215">
        <v>305138</v>
      </c>
      <c r="J14" s="215">
        <v>310775.90000000002</v>
      </c>
      <c r="K14" s="215">
        <v>332876.40000000002</v>
      </c>
      <c r="L14" s="215">
        <v>381027</v>
      </c>
      <c r="M14" s="215">
        <v>388427</v>
      </c>
      <c r="N14" s="215">
        <v>368668</v>
      </c>
      <c r="O14" s="230">
        <v>392774.1</v>
      </c>
      <c r="P14" s="217">
        <v>440813.47700000001</v>
      </c>
      <c r="Q14" s="218">
        <v>444449.446</v>
      </c>
      <c r="R14" s="230">
        <v>429703.11200000002</v>
      </c>
      <c r="S14" s="239">
        <v>367536.277</v>
      </c>
      <c r="T14" s="232">
        <v>368604</v>
      </c>
      <c r="U14" s="233">
        <v>320161.94099999999</v>
      </c>
      <c r="V14" s="233">
        <v>356905.68800000002</v>
      </c>
      <c r="W14" s="233">
        <v>361735.11099999998</v>
      </c>
      <c r="X14" s="233">
        <v>375096.93099999998</v>
      </c>
      <c r="Y14" s="233">
        <v>409081.73200000002</v>
      </c>
      <c r="Z14" s="233">
        <v>365903.38099999999</v>
      </c>
      <c r="AA14" s="233">
        <v>403391.61700000003</v>
      </c>
      <c r="AB14" s="233">
        <v>403132.81099999999</v>
      </c>
      <c r="AC14" s="233">
        <v>415559.516</v>
      </c>
      <c r="AD14" s="233">
        <v>443029.62599999999</v>
      </c>
      <c r="AE14" s="233">
        <v>460041.217</v>
      </c>
      <c r="AF14" s="234">
        <v>441315.31800000003</v>
      </c>
      <c r="AG14" s="235"/>
    </row>
    <row r="15" spans="1:33" ht="15" customHeight="1" x14ac:dyDescent="0.25">
      <c r="A15" s="192" t="s">
        <v>163</v>
      </c>
      <c r="B15" s="213">
        <v>0</v>
      </c>
      <c r="C15" s="214"/>
      <c r="D15" s="214">
        <v>0</v>
      </c>
      <c r="E15" s="214"/>
      <c r="F15" s="215">
        <v>0</v>
      </c>
      <c r="G15" s="215"/>
      <c r="H15" s="215">
        <v>0</v>
      </c>
      <c r="I15" s="215"/>
      <c r="J15" s="215">
        <v>0</v>
      </c>
      <c r="K15" s="215">
        <v>0</v>
      </c>
      <c r="L15" s="215">
        <v>0</v>
      </c>
      <c r="M15" s="215">
        <v>0</v>
      </c>
      <c r="N15" s="215">
        <v>0</v>
      </c>
      <c r="O15" s="230">
        <v>0</v>
      </c>
      <c r="P15" s="217">
        <v>0</v>
      </c>
      <c r="Q15" s="218">
        <v>348249.603</v>
      </c>
      <c r="R15" s="230">
        <v>344119.20899999997</v>
      </c>
      <c r="S15" s="230">
        <v>259625.62899999999</v>
      </c>
      <c r="T15" s="217">
        <v>269352.647</v>
      </c>
      <c r="U15" s="236">
        <v>277353.43</v>
      </c>
      <c r="V15" s="236">
        <v>299224.03200000001</v>
      </c>
      <c r="W15" s="236">
        <v>299003.87199999997</v>
      </c>
      <c r="X15" s="236">
        <v>280888.31900000002</v>
      </c>
      <c r="Y15" s="236">
        <v>274318.10800000001</v>
      </c>
      <c r="Z15" s="236">
        <v>267205.40000000002</v>
      </c>
      <c r="AA15" s="236">
        <v>249753.37100000001</v>
      </c>
      <c r="AB15" s="236">
        <v>218051.951</v>
      </c>
      <c r="AC15" s="236">
        <v>193625.93799999999</v>
      </c>
      <c r="AD15" s="236">
        <v>179399.56700000001</v>
      </c>
      <c r="AE15" s="236">
        <v>172928.05900000001</v>
      </c>
      <c r="AF15" s="237">
        <v>160722.674</v>
      </c>
      <c r="AG15" s="235"/>
    </row>
    <row r="16" spans="1:33" ht="15" customHeight="1" x14ac:dyDescent="0.25">
      <c r="A16" s="192" t="s">
        <v>164</v>
      </c>
      <c r="B16" s="213">
        <v>67077</v>
      </c>
      <c r="C16" s="214">
        <v>44497</v>
      </c>
      <c r="D16" s="214">
        <v>35401.300000000003</v>
      </c>
      <c r="E16" s="214">
        <v>41906.400000000001</v>
      </c>
      <c r="F16" s="215">
        <v>49298.2</v>
      </c>
      <c r="G16" s="215">
        <v>51613.8</v>
      </c>
      <c r="H16" s="215">
        <v>69449.399999999994</v>
      </c>
      <c r="I16" s="215">
        <v>56035</v>
      </c>
      <c r="J16" s="215">
        <v>54358.2</v>
      </c>
      <c r="K16" s="215">
        <v>62184.9</v>
      </c>
      <c r="L16" s="215">
        <v>41658.699999999997</v>
      </c>
      <c r="M16" s="215">
        <v>57418.16</v>
      </c>
      <c r="N16" s="215">
        <v>56306.5</v>
      </c>
      <c r="O16" s="230">
        <v>39846.6</v>
      </c>
      <c r="P16" s="217">
        <v>47323.834999999999</v>
      </c>
      <c r="Q16" s="240">
        <v>0</v>
      </c>
      <c r="R16" s="216">
        <v>0</v>
      </c>
      <c r="S16" s="216">
        <v>0</v>
      </c>
      <c r="T16" s="241">
        <v>0</v>
      </c>
      <c r="U16" s="242">
        <v>0</v>
      </c>
      <c r="V16" s="242">
        <v>0</v>
      </c>
      <c r="W16" s="242">
        <v>0</v>
      </c>
      <c r="X16" s="242">
        <v>0</v>
      </c>
      <c r="Y16" s="242">
        <v>0</v>
      </c>
      <c r="Z16" s="242">
        <v>0</v>
      </c>
      <c r="AA16" s="242">
        <v>0</v>
      </c>
      <c r="AB16" s="242">
        <v>0</v>
      </c>
      <c r="AC16" s="242">
        <v>0</v>
      </c>
      <c r="AD16" s="242">
        <v>0</v>
      </c>
      <c r="AE16" s="242">
        <v>0</v>
      </c>
      <c r="AF16" s="243">
        <v>0</v>
      </c>
      <c r="AG16" s="235"/>
    </row>
    <row r="17" spans="1:33" ht="15" customHeight="1" x14ac:dyDescent="0.25">
      <c r="A17" s="192" t="s">
        <v>57</v>
      </c>
      <c r="B17" s="213">
        <v>11246</v>
      </c>
      <c r="C17" s="214">
        <v>14020</v>
      </c>
      <c r="D17" s="214">
        <v>11910.6</v>
      </c>
      <c r="E17" s="214">
        <v>14443.4</v>
      </c>
      <c r="F17" s="215">
        <v>17249.900000000001</v>
      </c>
      <c r="G17" s="215">
        <v>20428.5</v>
      </c>
      <c r="H17" s="215">
        <v>26342.400000000001</v>
      </c>
      <c r="I17" s="215">
        <v>13987.9</v>
      </c>
      <c r="J17" s="215">
        <v>8374.6</v>
      </c>
      <c r="K17" s="215">
        <v>0</v>
      </c>
      <c r="L17" s="215">
        <v>0</v>
      </c>
      <c r="M17" s="215">
        <v>0</v>
      </c>
      <c r="N17" s="215">
        <v>0</v>
      </c>
      <c r="O17" s="216">
        <v>0</v>
      </c>
      <c r="P17" s="216">
        <v>0</v>
      </c>
      <c r="Q17" s="240">
        <v>0</v>
      </c>
      <c r="R17" s="216">
        <v>0</v>
      </c>
      <c r="S17" s="216">
        <v>0</v>
      </c>
      <c r="T17" s="241">
        <v>0</v>
      </c>
      <c r="U17" s="242">
        <v>0</v>
      </c>
      <c r="V17" s="242">
        <v>0</v>
      </c>
      <c r="W17" s="242">
        <v>0</v>
      </c>
      <c r="X17" s="242">
        <v>0</v>
      </c>
      <c r="Y17" s="242">
        <v>0</v>
      </c>
      <c r="Z17" s="242">
        <v>0</v>
      </c>
      <c r="AA17" s="242">
        <v>0</v>
      </c>
      <c r="AB17" s="242">
        <v>0</v>
      </c>
      <c r="AC17" s="242">
        <v>0</v>
      </c>
      <c r="AD17" s="242">
        <v>0</v>
      </c>
      <c r="AE17" s="242">
        <v>0</v>
      </c>
      <c r="AF17" s="243">
        <v>0</v>
      </c>
      <c r="AG17" s="13"/>
    </row>
    <row r="18" spans="1:33" ht="15" customHeight="1" x14ac:dyDescent="0.25">
      <c r="A18" s="192" t="s">
        <v>165</v>
      </c>
      <c r="B18" s="213">
        <v>0</v>
      </c>
      <c r="C18" s="214">
        <v>0</v>
      </c>
      <c r="D18" s="214">
        <v>1799.3</v>
      </c>
      <c r="E18" s="214">
        <v>2574</v>
      </c>
      <c r="F18" s="215">
        <v>3102.5</v>
      </c>
      <c r="G18" s="215">
        <v>2588</v>
      </c>
      <c r="H18" s="215">
        <v>2367.6</v>
      </c>
      <c r="I18" s="215">
        <v>2840.8</v>
      </c>
      <c r="J18" s="215">
        <v>2881</v>
      </c>
      <c r="K18" s="215">
        <v>0</v>
      </c>
      <c r="L18" s="215">
        <v>0</v>
      </c>
      <c r="M18" s="215">
        <v>0</v>
      </c>
      <c r="N18" s="215">
        <v>0</v>
      </c>
      <c r="O18" s="216">
        <v>0</v>
      </c>
      <c r="P18" s="216">
        <v>0</v>
      </c>
      <c r="Q18" s="240">
        <v>0</v>
      </c>
      <c r="R18" s="216">
        <v>0</v>
      </c>
      <c r="S18" s="216">
        <v>0</v>
      </c>
      <c r="T18" s="241">
        <v>0</v>
      </c>
      <c r="U18" s="242">
        <v>0</v>
      </c>
      <c r="V18" s="242">
        <v>0</v>
      </c>
      <c r="W18" s="242">
        <v>0</v>
      </c>
      <c r="X18" s="242">
        <v>0</v>
      </c>
      <c r="Y18" s="242">
        <v>0</v>
      </c>
      <c r="Z18" s="242">
        <v>0</v>
      </c>
      <c r="AA18" s="242">
        <v>0</v>
      </c>
      <c r="AB18" s="242">
        <v>0</v>
      </c>
      <c r="AC18" s="242">
        <v>0</v>
      </c>
      <c r="AD18" s="242">
        <v>0</v>
      </c>
      <c r="AE18" s="242">
        <v>0</v>
      </c>
      <c r="AF18" s="243">
        <v>0</v>
      </c>
      <c r="AG18" s="13"/>
    </row>
    <row r="19" spans="1:33" ht="15" customHeight="1" x14ac:dyDescent="0.25">
      <c r="A19" s="192" t="s">
        <v>166</v>
      </c>
      <c r="B19" s="213">
        <v>24012</v>
      </c>
      <c r="C19" s="214">
        <v>28087</v>
      </c>
      <c r="D19" s="214">
        <v>38770.400000000001</v>
      </c>
      <c r="E19" s="214">
        <v>66268.3</v>
      </c>
      <c r="F19" s="215">
        <v>53770.5</v>
      </c>
      <c r="G19" s="215">
        <v>70072.899999999994</v>
      </c>
      <c r="H19" s="215">
        <v>78862.7</v>
      </c>
      <c r="I19" s="215">
        <v>75764.100000000006</v>
      </c>
      <c r="J19" s="215">
        <v>91559.3</v>
      </c>
      <c r="K19" s="215">
        <v>81417.5</v>
      </c>
      <c r="L19" s="215">
        <v>46203.199999999997</v>
      </c>
      <c r="M19" s="215">
        <v>51553.11</v>
      </c>
      <c r="N19" s="215">
        <v>28820.49</v>
      </c>
      <c r="O19" s="230">
        <v>29146.73</v>
      </c>
      <c r="P19" s="217">
        <v>39346.534</v>
      </c>
      <c r="Q19" s="240">
        <v>0</v>
      </c>
      <c r="R19" s="216">
        <v>0</v>
      </c>
      <c r="S19" s="216">
        <v>0</v>
      </c>
      <c r="T19" s="241">
        <v>0</v>
      </c>
      <c r="U19" s="242">
        <v>0</v>
      </c>
      <c r="V19" s="242">
        <v>0</v>
      </c>
      <c r="W19" s="242">
        <v>0</v>
      </c>
      <c r="X19" s="242">
        <v>0</v>
      </c>
      <c r="Y19" s="242">
        <v>0</v>
      </c>
      <c r="Z19" s="242">
        <v>0</v>
      </c>
      <c r="AA19" s="242">
        <v>0</v>
      </c>
      <c r="AB19" s="242">
        <v>0</v>
      </c>
      <c r="AC19" s="242">
        <v>0</v>
      </c>
      <c r="AD19" s="242">
        <v>0</v>
      </c>
      <c r="AE19" s="242">
        <v>0</v>
      </c>
      <c r="AF19" s="243">
        <v>0</v>
      </c>
      <c r="AG19" s="13"/>
    </row>
    <row r="20" spans="1:33" ht="15" customHeight="1" x14ac:dyDescent="0.25">
      <c r="A20" s="192" t="s">
        <v>167</v>
      </c>
      <c r="B20" s="213">
        <v>130181</v>
      </c>
      <c r="C20" s="214">
        <v>127990</v>
      </c>
      <c r="D20" s="214">
        <v>143911.29999999999</v>
      </c>
      <c r="E20" s="214">
        <v>148655.9</v>
      </c>
      <c r="F20" s="215">
        <v>141411.9</v>
      </c>
      <c r="G20" s="215">
        <v>157095.4</v>
      </c>
      <c r="H20" s="215">
        <v>154013.6</v>
      </c>
      <c r="I20" s="215">
        <v>183710</v>
      </c>
      <c r="J20" s="215">
        <v>187108</v>
      </c>
      <c r="K20" s="215">
        <v>203020.6</v>
      </c>
      <c r="L20" s="215">
        <v>211082.2</v>
      </c>
      <c r="M20" s="215">
        <v>235958.76</v>
      </c>
      <c r="N20" s="215">
        <v>260150.73699999999</v>
      </c>
      <c r="O20" s="230">
        <v>268585.09999999998</v>
      </c>
      <c r="P20" s="217">
        <v>263192.89299999998</v>
      </c>
      <c r="Q20" s="240">
        <v>0</v>
      </c>
      <c r="R20" s="216">
        <v>0</v>
      </c>
      <c r="S20" s="216">
        <v>0</v>
      </c>
      <c r="T20" s="241">
        <v>0</v>
      </c>
      <c r="U20" s="242">
        <v>0</v>
      </c>
      <c r="V20" s="242">
        <v>0</v>
      </c>
      <c r="W20" s="242">
        <v>0</v>
      </c>
      <c r="X20" s="242">
        <v>0</v>
      </c>
      <c r="Y20" s="242">
        <v>0</v>
      </c>
      <c r="Z20" s="242">
        <v>0</v>
      </c>
      <c r="AA20" s="242">
        <v>0</v>
      </c>
      <c r="AB20" s="242">
        <v>0</v>
      </c>
      <c r="AC20" s="242">
        <v>0</v>
      </c>
      <c r="AD20" s="242">
        <v>0</v>
      </c>
      <c r="AE20" s="242">
        <v>0</v>
      </c>
      <c r="AF20" s="243">
        <v>0</v>
      </c>
      <c r="AG20" s="13"/>
    </row>
    <row r="21" spans="1:33" ht="15" customHeight="1" x14ac:dyDescent="0.25">
      <c r="A21" s="192" t="s">
        <v>58</v>
      </c>
      <c r="B21" s="213"/>
      <c r="C21" s="214"/>
      <c r="D21" s="214"/>
      <c r="E21" s="214">
        <v>3302</v>
      </c>
      <c r="F21" s="215">
        <v>9235</v>
      </c>
      <c r="G21" s="215">
        <v>2681</v>
      </c>
      <c r="H21" s="215">
        <v>0</v>
      </c>
      <c r="I21" s="215">
        <v>0</v>
      </c>
      <c r="J21" s="215">
        <v>0</v>
      </c>
      <c r="K21" s="215">
        <v>0</v>
      </c>
      <c r="L21" s="215">
        <v>0</v>
      </c>
      <c r="M21" s="215">
        <v>0</v>
      </c>
      <c r="N21" s="215">
        <v>0</v>
      </c>
      <c r="O21" s="216">
        <v>0</v>
      </c>
      <c r="P21" s="216">
        <v>0</v>
      </c>
      <c r="Q21" s="240">
        <v>0</v>
      </c>
      <c r="R21" s="216">
        <v>0</v>
      </c>
      <c r="S21" s="216">
        <v>0</v>
      </c>
      <c r="T21" s="241">
        <v>0</v>
      </c>
      <c r="U21" s="242">
        <v>0</v>
      </c>
      <c r="V21" s="242">
        <v>0</v>
      </c>
      <c r="W21" s="242">
        <v>0</v>
      </c>
      <c r="X21" s="242">
        <v>0</v>
      </c>
      <c r="Y21" s="242">
        <v>0</v>
      </c>
      <c r="Z21" s="242">
        <v>0</v>
      </c>
      <c r="AA21" s="242">
        <v>0</v>
      </c>
      <c r="AB21" s="242">
        <v>0</v>
      </c>
      <c r="AC21" s="242">
        <v>0</v>
      </c>
      <c r="AD21" s="242">
        <v>0</v>
      </c>
      <c r="AE21" s="242">
        <v>0</v>
      </c>
      <c r="AF21" s="243">
        <v>0</v>
      </c>
      <c r="AG21" s="13"/>
    </row>
    <row r="22" spans="1:33" ht="15" customHeight="1" x14ac:dyDescent="0.25">
      <c r="A22" s="222" t="s">
        <v>59</v>
      </c>
      <c r="B22" s="223">
        <f>SUM(B14:B20)</f>
        <v>437245</v>
      </c>
      <c r="C22" s="224">
        <f>SUM(C14:C20)</f>
        <v>440741</v>
      </c>
      <c r="D22" s="224">
        <f>SUM(D14:D20)</f>
        <v>483352</v>
      </c>
      <c r="E22" s="224">
        <f t="shared" ref="E22:Q22" si="6">SUM(E14:E21)</f>
        <v>583972.6</v>
      </c>
      <c r="F22" s="225">
        <f t="shared" si="6"/>
        <v>578161.1</v>
      </c>
      <c r="G22" s="225">
        <f t="shared" si="6"/>
        <v>624497.80000000005</v>
      </c>
      <c r="H22" s="225">
        <f t="shared" si="6"/>
        <v>652536.20000000007</v>
      </c>
      <c r="I22" s="225">
        <f t="shared" si="6"/>
        <v>637475.80000000005</v>
      </c>
      <c r="J22" s="225">
        <f t="shared" si="6"/>
        <v>655057</v>
      </c>
      <c r="K22" s="225">
        <f t="shared" si="6"/>
        <v>679499.4</v>
      </c>
      <c r="L22" s="225">
        <f t="shared" si="6"/>
        <v>679971.10000000009</v>
      </c>
      <c r="M22" s="225">
        <f t="shared" si="6"/>
        <v>733357.03</v>
      </c>
      <c r="N22" s="225">
        <f t="shared" si="6"/>
        <v>713945.72699999996</v>
      </c>
      <c r="O22" s="225">
        <f t="shared" si="6"/>
        <v>730352.52999999991</v>
      </c>
      <c r="P22" s="225">
        <f>SUM(P14:P21)</f>
        <v>790676.73900000006</v>
      </c>
      <c r="Q22" s="224">
        <f t="shared" si="6"/>
        <v>792699.049</v>
      </c>
      <c r="R22" s="225">
        <v>773822.321</v>
      </c>
      <c r="S22" s="225">
        <v>627161.90599999996</v>
      </c>
      <c r="T22" s="226">
        <f>SUM(T14:T21)</f>
        <v>637956.647</v>
      </c>
      <c r="U22" s="227">
        <v>597515.37100000004</v>
      </c>
      <c r="V22" s="227">
        <v>656129.72</v>
      </c>
      <c r="W22" s="227">
        <v>660738.98300000001</v>
      </c>
      <c r="X22" s="227">
        <v>655985.25</v>
      </c>
      <c r="Y22" s="227">
        <v>683399.84000000008</v>
      </c>
      <c r="Z22" s="227">
        <v>633108.78099999996</v>
      </c>
      <c r="AA22" s="227">
        <v>653144.98800000001</v>
      </c>
      <c r="AB22" s="227">
        <f t="shared" ref="AB22" si="7">SUM(AB14:AB15)</f>
        <v>621184.76199999999</v>
      </c>
      <c r="AC22" s="227">
        <f t="shared" ref="AC22:AF22" si="8">SUM(AC14:AC15)</f>
        <v>609185.45400000003</v>
      </c>
      <c r="AD22" s="227">
        <f t="shared" si="8"/>
        <v>622429.19299999997</v>
      </c>
      <c r="AE22" s="227">
        <f t="shared" si="8"/>
        <v>632969.27600000007</v>
      </c>
      <c r="AF22" s="228">
        <f t="shared" si="8"/>
        <v>602037.99200000009</v>
      </c>
    </row>
    <row r="23" spans="1:33" ht="15" customHeight="1" x14ac:dyDescent="0.25">
      <c r="A23" s="192" t="s">
        <v>60</v>
      </c>
      <c r="B23" s="213">
        <v>3329</v>
      </c>
      <c r="C23" s="214">
        <v>4404</v>
      </c>
      <c r="D23" s="214">
        <v>4392</v>
      </c>
      <c r="E23" s="214">
        <v>5199.3999999999996</v>
      </c>
      <c r="F23" s="215">
        <v>5802.8</v>
      </c>
      <c r="G23" s="215">
        <v>5461.4</v>
      </c>
      <c r="H23" s="215">
        <v>5141.8999999999996</v>
      </c>
      <c r="I23" s="215">
        <v>4840</v>
      </c>
      <c r="J23" s="215">
        <v>0</v>
      </c>
      <c r="K23" s="215">
        <v>0</v>
      </c>
      <c r="L23" s="215">
        <v>0</v>
      </c>
      <c r="M23" s="215">
        <v>0</v>
      </c>
      <c r="N23" s="215">
        <v>0</v>
      </c>
      <c r="O23" s="216">
        <v>0</v>
      </c>
      <c r="P23" s="216">
        <v>0</v>
      </c>
      <c r="Q23" s="214">
        <v>0</v>
      </c>
      <c r="R23" s="216">
        <v>0</v>
      </c>
      <c r="S23" s="215">
        <v>0</v>
      </c>
      <c r="T23" s="244">
        <v>0</v>
      </c>
      <c r="U23" s="245">
        <v>0</v>
      </c>
      <c r="V23" s="245">
        <v>0</v>
      </c>
      <c r="W23" s="245">
        <v>0</v>
      </c>
      <c r="X23" s="245">
        <v>0</v>
      </c>
      <c r="Y23" s="245">
        <v>0</v>
      </c>
      <c r="Z23" s="245">
        <v>0</v>
      </c>
      <c r="AA23" s="245">
        <v>0</v>
      </c>
      <c r="AB23" s="245">
        <v>0</v>
      </c>
      <c r="AC23" s="245">
        <v>0</v>
      </c>
      <c r="AD23" s="245">
        <v>0</v>
      </c>
      <c r="AE23" s="245">
        <v>0</v>
      </c>
      <c r="AF23" s="243">
        <v>0</v>
      </c>
      <c r="AG23" s="13"/>
    </row>
    <row r="24" spans="1:33" ht="15" customHeight="1" x14ac:dyDescent="0.25">
      <c r="A24" s="192" t="s">
        <v>61</v>
      </c>
      <c r="B24" s="213">
        <v>58</v>
      </c>
      <c r="C24" s="214">
        <v>0</v>
      </c>
      <c r="D24" s="214">
        <v>0</v>
      </c>
      <c r="E24" s="214">
        <v>0</v>
      </c>
      <c r="F24" s="215">
        <v>0</v>
      </c>
      <c r="G24" s="215">
        <v>0</v>
      </c>
      <c r="H24" s="215">
        <v>0</v>
      </c>
      <c r="I24" s="215">
        <v>0</v>
      </c>
      <c r="J24" s="215">
        <v>0</v>
      </c>
      <c r="K24" s="215">
        <v>0</v>
      </c>
      <c r="L24" s="215">
        <v>0</v>
      </c>
      <c r="M24" s="215">
        <v>0</v>
      </c>
      <c r="N24" s="215">
        <v>0</v>
      </c>
      <c r="O24" s="216">
        <v>0</v>
      </c>
      <c r="P24" s="216">
        <v>0</v>
      </c>
      <c r="Q24" s="214">
        <v>0</v>
      </c>
      <c r="R24" s="216">
        <v>0</v>
      </c>
      <c r="S24" s="215">
        <v>0</v>
      </c>
      <c r="T24" s="244">
        <v>0</v>
      </c>
      <c r="U24" s="245">
        <v>0</v>
      </c>
      <c r="V24" s="245">
        <v>0</v>
      </c>
      <c r="W24" s="245">
        <v>0</v>
      </c>
      <c r="X24" s="245">
        <v>0</v>
      </c>
      <c r="Y24" s="245">
        <v>0</v>
      </c>
      <c r="Z24" s="245">
        <v>0</v>
      </c>
      <c r="AA24" s="245">
        <v>0</v>
      </c>
      <c r="AB24" s="245">
        <v>0</v>
      </c>
      <c r="AC24" s="245">
        <v>0</v>
      </c>
      <c r="AD24" s="245">
        <v>0</v>
      </c>
      <c r="AE24" s="245">
        <v>0</v>
      </c>
      <c r="AF24" s="243">
        <v>0</v>
      </c>
      <c r="AG24" s="13"/>
    </row>
    <row r="25" spans="1:33" ht="15" customHeight="1" x14ac:dyDescent="0.25">
      <c r="A25" s="192" t="s">
        <v>62</v>
      </c>
      <c r="B25" s="213">
        <v>1940</v>
      </c>
      <c r="C25" s="214">
        <v>2610</v>
      </c>
      <c r="D25" s="214">
        <v>4289.3999999999996</v>
      </c>
      <c r="E25" s="214">
        <v>3285.7</v>
      </c>
      <c r="F25" s="215">
        <v>3049.3</v>
      </c>
      <c r="G25" s="215">
        <v>2675.4</v>
      </c>
      <c r="H25" s="215">
        <v>2361.1999999999998</v>
      </c>
      <c r="I25" s="215">
        <v>1088.2</v>
      </c>
      <c r="J25" s="215">
        <v>0</v>
      </c>
      <c r="K25" s="215">
        <v>0</v>
      </c>
      <c r="L25" s="215">
        <v>0</v>
      </c>
      <c r="M25" s="215">
        <v>0</v>
      </c>
      <c r="N25" s="215">
        <v>0</v>
      </c>
      <c r="O25" s="216">
        <v>0</v>
      </c>
      <c r="P25" s="216">
        <v>0</v>
      </c>
      <c r="Q25" s="214">
        <v>0</v>
      </c>
      <c r="R25" s="216">
        <v>0</v>
      </c>
      <c r="S25" s="215">
        <v>0</v>
      </c>
      <c r="T25" s="244">
        <v>0</v>
      </c>
      <c r="U25" s="245">
        <v>0</v>
      </c>
      <c r="V25" s="245">
        <v>0</v>
      </c>
      <c r="W25" s="245">
        <v>0</v>
      </c>
      <c r="X25" s="245">
        <v>0</v>
      </c>
      <c r="Y25" s="245">
        <v>0</v>
      </c>
      <c r="Z25" s="245">
        <v>0</v>
      </c>
      <c r="AA25" s="245">
        <v>0</v>
      </c>
      <c r="AB25" s="245">
        <v>0</v>
      </c>
      <c r="AC25" s="245">
        <v>0</v>
      </c>
      <c r="AD25" s="245">
        <v>0</v>
      </c>
      <c r="AE25" s="245">
        <v>0</v>
      </c>
      <c r="AF25" s="243">
        <v>0</v>
      </c>
      <c r="AG25" s="13"/>
    </row>
    <row r="26" spans="1:33" ht="15" customHeight="1" x14ac:dyDescent="0.25">
      <c r="A26" s="192" t="s">
        <v>63</v>
      </c>
      <c r="B26" s="213">
        <v>1841</v>
      </c>
      <c r="C26" s="214">
        <v>1807</v>
      </c>
      <c r="D26" s="214">
        <v>976.1</v>
      </c>
      <c r="E26" s="214">
        <v>1003.2</v>
      </c>
      <c r="F26" s="215">
        <v>1331.4</v>
      </c>
      <c r="G26" s="215">
        <v>1137.5</v>
      </c>
      <c r="H26" s="215">
        <v>572.4</v>
      </c>
      <c r="I26" s="215">
        <v>852.2</v>
      </c>
      <c r="J26" s="215">
        <v>0</v>
      </c>
      <c r="K26" s="215">
        <v>0</v>
      </c>
      <c r="L26" s="215">
        <v>0</v>
      </c>
      <c r="M26" s="215">
        <v>0</v>
      </c>
      <c r="N26" s="215">
        <v>0</v>
      </c>
      <c r="O26" s="216">
        <v>0</v>
      </c>
      <c r="P26" s="216">
        <v>0</v>
      </c>
      <c r="Q26" s="214">
        <v>0</v>
      </c>
      <c r="R26" s="216">
        <v>0</v>
      </c>
      <c r="S26" s="215">
        <v>0</v>
      </c>
      <c r="T26" s="244">
        <v>0</v>
      </c>
      <c r="U26" s="245">
        <v>0</v>
      </c>
      <c r="V26" s="245">
        <v>0</v>
      </c>
      <c r="W26" s="245">
        <v>0</v>
      </c>
      <c r="X26" s="245">
        <v>0</v>
      </c>
      <c r="Y26" s="245">
        <v>0</v>
      </c>
      <c r="Z26" s="245">
        <v>0</v>
      </c>
      <c r="AA26" s="245">
        <v>0</v>
      </c>
      <c r="AB26" s="245">
        <v>0</v>
      </c>
      <c r="AC26" s="245">
        <v>0</v>
      </c>
      <c r="AD26" s="245">
        <v>0</v>
      </c>
      <c r="AE26" s="245">
        <v>0</v>
      </c>
      <c r="AF26" s="243">
        <v>0</v>
      </c>
      <c r="AG26" s="13"/>
    </row>
    <row r="27" spans="1:33" ht="15" customHeight="1" x14ac:dyDescent="0.25">
      <c r="A27" s="192" t="s">
        <v>64</v>
      </c>
      <c r="B27" s="213">
        <v>25</v>
      </c>
      <c r="C27" s="214">
        <v>12</v>
      </c>
      <c r="D27" s="214">
        <v>5.0999999999999996</v>
      </c>
      <c r="E27" s="214">
        <v>25.2</v>
      </c>
      <c r="F27" s="215">
        <v>143.5</v>
      </c>
      <c r="G27" s="215">
        <v>257.5</v>
      </c>
      <c r="H27" s="215">
        <v>0.7</v>
      </c>
      <c r="I27" s="215">
        <v>2</v>
      </c>
      <c r="J27" s="215">
        <v>0</v>
      </c>
      <c r="K27" s="215">
        <v>0</v>
      </c>
      <c r="L27" s="215">
        <v>0</v>
      </c>
      <c r="M27" s="215">
        <v>0</v>
      </c>
      <c r="N27" s="215">
        <v>0</v>
      </c>
      <c r="O27" s="216">
        <v>0</v>
      </c>
      <c r="P27" s="216">
        <v>0</v>
      </c>
      <c r="Q27" s="214">
        <v>0</v>
      </c>
      <c r="R27" s="216">
        <v>0</v>
      </c>
      <c r="S27" s="215">
        <v>0</v>
      </c>
      <c r="T27" s="244">
        <v>0</v>
      </c>
      <c r="U27" s="245">
        <v>0</v>
      </c>
      <c r="V27" s="245">
        <v>0</v>
      </c>
      <c r="W27" s="245">
        <v>0</v>
      </c>
      <c r="X27" s="245">
        <v>0</v>
      </c>
      <c r="Y27" s="245">
        <v>0</v>
      </c>
      <c r="Z27" s="245">
        <v>0</v>
      </c>
      <c r="AA27" s="245">
        <v>0</v>
      </c>
      <c r="AB27" s="245">
        <v>0</v>
      </c>
      <c r="AC27" s="245">
        <v>0</v>
      </c>
      <c r="AD27" s="245">
        <v>0</v>
      </c>
      <c r="AE27" s="245">
        <v>0</v>
      </c>
      <c r="AF27" s="243">
        <v>0</v>
      </c>
      <c r="AG27" s="13"/>
    </row>
    <row r="28" spans="1:33" ht="15" customHeight="1" x14ac:dyDescent="0.25">
      <c r="A28" s="192" t="s">
        <v>65</v>
      </c>
      <c r="B28" s="213">
        <v>1196</v>
      </c>
      <c r="C28" s="214">
        <v>1564</v>
      </c>
      <c r="D28" s="214">
        <v>3843.1</v>
      </c>
      <c r="E28" s="214">
        <v>2532.9</v>
      </c>
      <c r="F28" s="215">
        <v>2500.8000000000002</v>
      </c>
      <c r="G28" s="215">
        <v>2029.8</v>
      </c>
      <c r="H28" s="215">
        <v>987.5</v>
      </c>
      <c r="I28" s="215">
        <v>1418.2</v>
      </c>
      <c r="J28" s="215">
        <v>0</v>
      </c>
      <c r="K28" s="215">
        <v>0</v>
      </c>
      <c r="L28" s="215">
        <v>0</v>
      </c>
      <c r="M28" s="215">
        <v>0</v>
      </c>
      <c r="N28" s="215">
        <v>0</v>
      </c>
      <c r="O28" s="216">
        <v>0</v>
      </c>
      <c r="P28" s="216">
        <v>0</v>
      </c>
      <c r="Q28" s="214">
        <v>0</v>
      </c>
      <c r="R28" s="216">
        <v>0</v>
      </c>
      <c r="S28" s="215">
        <v>0</v>
      </c>
      <c r="T28" s="244">
        <v>0</v>
      </c>
      <c r="U28" s="245">
        <v>0</v>
      </c>
      <c r="V28" s="245">
        <v>0</v>
      </c>
      <c r="W28" s="245">
        <v>0</v>
      </c>
      <c r="X28" s="245">
        <v>0</v>
      </c>
      <c r="Y28" s="245">
        <v>0</v>
      </c>
      <c r="Z28" s="245">
        <v>0</v>
      </c>
      <c r="AA28" s="245">
        <v>0</v>
      </c>
      <c r="AB28" s="245">
        <v>0</v>
      </c>
      <c r="AC28" s="245">
        <v>0</v>
      </c>
      <c r="AD28" s="245">
        <v>0</v>
      </c>
      <c r="AE28" s="245">
        <v>0</v>
      </c>
      <c r="AF28" s="243">
        <v>0</v>
      </c>
      <c r="AG28" s="13"/>
    </row>
    <row r="29" spans="1:33" ht="15" customHeight="1" x14ac:dyDescent="0.25">
      <c r="A29" s="192" t="s">
        <v>66</v>
      </c>
      <c r="B29" s="213">
        <v>360</v>
      </c>
      <c r="C29" s="214">
        <v>182</v>
      </c>
      <c r="D29" s="214">
        <v>157.1</v>
      </c>
      <c r="E29" s="214">
        <v>238.2</v>
      </c>
      <c r="F29" s="215">
        <v>282.7</v>
      </c>
      <c r="G29" s="215">
        <v>291.60000000000002</v>
      </c>
      <c r="H29" s="215">
        <v>51.3</v>
      </c>
      <c r="I29" s="215">
        <v>1092.8</v>
      </c>
      <c r="J29" s="215">
        <v>0</v>
      </c>
      <c r="K29" s="215">
        <v>0</v>
      </c>
      <c r="L29" s="215">
        <v>0</v>
      </c>
      <c r="M29" s="215">
        <v>0</v>
      </c>
      <c r="N29" s="215">
        <v>0</v>
      </c>
      <c r="O29" s="216">
        <v>0</v>
      </c>
      <c r="P29" s="216">
        <v>0</v>
      </c>
      <c r="Q29" s="214">
        <v>0</v>
      </c>
      <c r="R29" s="216">
        <v>0</v>
      </c>
      <c r="S29" s="215">
        <v>0</v>
      </c>
      <c r="T29" s="244">
        <v>0</v>
      </c>
      <c r="U29" s="245">
        <v>0</v>
      </c>
      <c r="V29" s="245">
        <v>0</v>
      </c>
      <c r="W29" s="245">
        <v>0</v>
      </c>
      <c r="X29" s="245">
        <v>0</v>
      </c>
      <c r="Y29" s="245">
        <v>0</v>
      </c>
      <c r="Z29" s="245">
        <v>0</v>
      </c>
      <c r="AA29" s="245">
        <v>0</v>
      </c>
      <c r="AB29" s="245">
        <v>0</v>
      </c>
      <c r="AC29" s="245">
        <v>0</v>
      </c>
      <c r="AD29" s="245">
        <v>0</v>
      </c>
      <c r="AE29" s="245">
        <v>0</v>
      </c>
      <c r="AF29" s="243">
        <v>0</v>
      </c>
      <c r="AG29" s="13"/>
    </row>
    <row r="30" spans="1:33" ht="15" customHeight="1" x14ac:dyDescent="0.25">
      <c r="A30" s="192" t="s">
        <v>67</v>
      </c>
      <c r="B30" s="213">
        <v>471</v>
      </c>
      <c r="C30" s="214">
        <v>399</v>
      </c>
      <c r="D30" s="214">
        <v>292.10000000000002</v>
      </c>
      <c r="E30" s="214">
        <v>309.5</v>
      </c>
      <c r="F30" s="215">
        <v>430</v>
      </c>
      <c r="G30" s="215">
        <v>352.8</v>
      </c>
      <c r="H30" s="215">
        <v>279.7</v>
      </c>
      <c r="I30" s="215">
        <v>226.6</v>
      </c>
      <c r="J30" s="215">
        <v>0</v>
      </c>
      <c r="K30" s="215">
        <v>102.2</v>
      </c>
      <c r="L30" s="215">
        <v>0</v>
      </c>
      <c r="M30" s="215">
        <v>0</v>
      </c>
      <c r="N30" s="215">
        <v>0</v>
      </c>
      <c r="O30" s="216">
        <v>0</v>
      </c>
      <c r="P30" s="216">
        <v>0</v>
      </c>
      <c r="Q30" s="214">
        <v>0</v>
      </c>
      <c r="R30" s="216">
        <v>0</v>
      </c>
      <c r="S30" s="215">
        <v>0</v>
      </c>
      <c r="T30" s="244">
        <v>0</v>
      </c>
      <c r="U30" s="245">
        <v>0</v>
      </c>
      <c r="V30" s="245">
        <v>0</v>
      </c>
      <c r="W30" s="245">
        <v>0</v>
      </c>
      <c r="X30" s="245">
        <v>0</v>
      </c>
      <c r="Y30" s="245">
        <v>0</v>
      </c>
      <c r="Z30" s="245">
        <v>0</v>
      </c>
      <c r="AA30" s="245">
        <v>0</v>
      </c>
      <c r="AB30" s="245">
        <v>0</v>
      </c>
      <c r="AC30" s="245">
        <v>0</v>
      </c>
      <c r="AD30" s="245">
        <v>0</v>
      </c>
      <c r="AE30" s="245">
        <v>0</v>
      </c>
      <c r="AF30" s="243">
        <v>0</v>
      </c>
      <c r="AG30" s="13"/>
    </row>
    <row r="31" spans="1:33" ht="15" customHeight="1" x14ac:dyDescent="0.25">
      <c r="A31" s="192" t="s">
        <v>68</v>
      </c>
      <c r="B31" s="213">
        <v>0</v>
      </c>
      <c r="C31" s="214">
        <v>0</v>
      </c>
      <c r="D31" s="214">
        <v>497.3</v>
      </c>
      <c r="E31" s="214">
        <v>868.3</v>
      </c>
      <c r="F31" s="215">
        <v>1076.8</v>
      </c>
      <c r="G31" s="215">
        <v>1654.7</v>
      </c>
      <c r="H31" s="215">
        <v>2363.6999999999998</v>
      </c>
      <c r="I31" s="215">
        <v>1356.8</v>
      </c>
      <c r="J31" s="215">
        <v>863.4</v>
      </c>
      <c r="K31" s="215">
        <v>1094.5</v>
      </c>
      <c r="L31" s="215">
        <v>722.8</v>
      </c>
      <c r="M31" s="215">
        <v>744.51</v>
      </c>
      <c r="N31" s="215">
        <v>272.3</v>
      </c>
      <c r="O31" s="230">
        <v>370.13</v>
      </c>
      <c r="P31" s="217">
        <v>2003.739</v>
      </c>
      <c r="Q31" s="218">
        <v>1539.155</v>
      </c>
      <c r="R31" s="230">
        <v>1784.0150000000001</v>
      </c>
      <c r="S31" s="217">
        <v>1822.835</v>
      </c>
      <c r="T31" s="217">
        <v>1964.3330000000001</v>
      </c>
      <c r="U31" s="236">
        <v>2594.41</v>
      </c>
      <c r="V31" s="236">
        <v>2310.9369999999999</v>
      </c>
      <c r="W31" s="236">
        <v>2221.6849999999999</v>
      </c>
      <c r="X31" s="236">
        <v>2426.23</v>
      </c>
      <c r="Y31" s="236">
        <v>2346.4340000000002</v>
      </c>
      <c r="Z31" s="236">
        <v>2368.6370000000002</v>
      </c>
      <c r="AA31" s="236">
        <v>1304.509</v>
      </c>
      <c r="AB31" s="236">
        <v>1181.585</v>
      </c>
      <c r="AC31" s="236">
        <v>714.77599999999995</v>
      </c>
      <c r="AD31" s="236">
        <v>685.29100000000005</v>
      </c>
      <c r="AE31" s="236">
        <v>1184.7940000000001</v>
      </c>
      <c r="AF31" s="237">
        <v>1437.943</v>
      </c>
      <c r="AG31" s="13"/>
    </row>
    <row r="32" spans="1:33" ht="15" customHeight="1" x14ac:dyDescent="0.25">
      <c r="A32" s="192" t="s">
        <v>69</v>
      </c>
      <c r="B32" s="213">
        <v>300</v>
      </c>
      <c r="C32" s="214">
        <v>168</v>
      </c>
      <c r="D32" s="214">
        <v>583.9</v>
      </c>
      <c r="E32" s="214">
        <v>1359.3</v>
      </c>
      <c r="F32" s="215">
        <v>1708</v>
      </c>
      <c r="G32" s="215">
        <v>3218</v>
      </c>
      <c r="H32" s="215">
        <v>6173.2</v>
      </c>
      <c r="I32" s="215">
        <v>7344</v>
      </c>
      <c r="J32" s="215">
        <v>0</v>
      </c>
      <c r="K32" s="215">
        <v>0</v>
      </c>
      <c r="L32" s="215">
        <v>0</v>
      </c>
      <c r="M32" s="215">
        <v>0</v>
      </c>
      <c r="N32" s="215">
        <v>0</v>
      </c>
      <c r="O32" s="216">
        <v>0</v>
      </c>
      <c r="P32" s="216">
        <v>0</v>
      </c>
      <c r="Q32" s="214">
        <v>0</v>
      </c>
      <c r="R32" s="230">
        <v>0</v>
      </c>
      <c r="S32" s="215">
        <v>0</v>
      </c>
      <c r="T32" s="244">
        <v>0</v>
      </c>
      <c r="U32" s="236">
        <v>0</v>
      </c>
      <c r="V32" s="236">
        <v>0</v>
      </c>
      <c r="W32" s="236">
        <v>0</v>
      </c>
      <c r="X32" s="236">
        <v>0</v>
      </c>
      <c r="Y32" s="236">
        <v>0</v>
      </c>
      <c r="Z32" s="236">
        <v>0</v>
      </c>
      <c r="AA32" s="236">
        <v>0</v>
      </c>
      <c r="AB32" s="236">
        <v>0</v>
      </c>
      <c r="AC32" s="236">
        <v>0</v>
      </c>
      <c r="AD32" s="236">
        <v>0</v>
      </c>
      <c r="AE32" s="236">
        <v>0</v>
      </c>
      <c r="AF32" s="237">
        <v>0</v>
      </c>
      <c r="AG32" s="13"/>
    </row>
    <row r="33" spans="1:33" ht="15" customHeight="1" x14ac:dyDescent="0.25">
      <c r="A33" s="192" t="s">
        <v>70</v>
      </c>
      <c r="B33" s="213">
        <v>0</v>
      </c>
      <c r="C33" s="214">
        <v>0</v>
      </c>
      <c r="D33" s="214">
        <v>13</v>
      </c>
      <c r="E33" s="214">
        <v>15.9</v>
      </c>
      <c r="F33" s="215">
        <v>12.2</v>
      </c>
      <c r="G33" s="215">
        <v>1</v>
      </c>
      <c r="H33" s="215">
        <v>1</v>
      </c>
      <c r="I33" s="215">
        <v>1</v>
      </c>
      <c r="J33" s="215">
        <v>0</v>
      </c>
      <c r="K33" s="215">
        <v>0</v>
      </c>
      <c r="L33" s="215">
        <v>0</v>
      </c>
      <c r="M33" s="215">
        <v>0</v>
      </c>
      <c r="N33" s="215">
        <v>0</v>
      </c>
      <c r="O33" s="216">
        <v>0</v>
      </c>
      <c r="P33" s="216">
        <v>0</v>
      </c>
      <c r="Q33" s="214">
        <v>0</v>
      </c>
      <c r="R33" s="230">
        <v>0</v>
      </c>
      <c r="S33" s="215">
        <v>0</v>
      </c>
      <c r="T33" s="244">
        <v>0</v>
      </c>
      <c r="U33" s="236">
        <v>0</v>
      </c>
      <c r="V33" s="236">
        <v>0</v>
      </c>
      <c r="W33" s="236">
        <v>0</v>
      </c>
      <c r="X33" s="236">
        <v>0</v>
      </c>
      <c r="Y33" s="236">
        <v>0</v>
      </c>
      <c r="Z33" s="236">
        <v>0</v>
      </c>
      <c r="AA33" s="236">
        <v>0</v>
      </c>
      <c r="AB33" s="236">
        <v>0</v>
      </c>
      <c r="AC33" s="236">
        <v>0</v>
      </c>
      <c r="AD33" s="236">
        <v>0</v>
      </c>
      <c r="AE33" s="236">
        <v>0</v>
      </c>
      <c r="AF33" s="237">
        <v>0</v>
      </c>
      <c r="AG33" s="13"/>
    </row>
    <row r="34" spans="1:33" ht="15" customHeight="1" x14ac:dyDescent="0.25">
      <c r="A34" s="192" t="s">
        <v>168</v>
      </c>
      <c r="B34" s="213"/>
      <c r="C34" s="214"/>
      <c r="D34" s="214"/>
      <c r="E34" s="214">
        <v>130</v>
      </c>
      <c r="F34" s="215"/>
      <c r="G34" s="215"/>
      <c r="H34" s="215"/>
      <c r="I34" s="215"/>
      <c r="J34" s="215">
        <v>0</v>
      </c>
      <c r="K34" s="215">
        <v>0</v>
      </c>
      <c r="L34" s="215">
        <v>0</v>
      </c>
      <c r="M34" s="215">
        <v>0</v>
      </c>
      <c r="N34" s="215">
        <v>0</v>
      </c>
      <c r="O34" s="216">
        <v>0</v>
      </c>
      <c r="P34" s="216">
        <v>0</v>
      </c>
      <c r="Q34" s="214">
        <v>0</v>
      </c>
      <c r="R34" s="230">
        <v>0</v>
      </c>
      <c r="S34" s="215">
        <v>0</v>
      </c>
      <c r="T34" s="244">
        <v>0</v>
      </c>
      <c r="U34" s="236">
        <v>0</v>
      </c>
      <c r="V34" s="236">
        <v>0</v>
      </c>
      <c r="W34" s="236">
        <v>1</v>
      </c>
      <c r="X34" s="236">
        <v>0</v>
      </c>
      <c r="Y34" s="236">
        <v>0</v>
      </c>
      <c r="Z34" s="236">
        <v>0</v>
      </c>
      <c r="AA34" s="236">
        <v>0</v>
      </c>
      <c r="AB34" s="236">
        <v>0</v>
      </c>
      <c r="AC34" s="236">
        <v>0</v>
      </c>
      <c r="AD34" s="236">
        <v>0</v>
      </c>
      <c r="AE34" s="236">
        <v>0</v>
      </c>
      <c r="AF34" s="237">
        <v>0</v>
      </c>
      <c r="AG34" s="13"/>
    </row>
    <row r="35" spans="1:33" ht="15" customHeight="1" x14ac:dyDescent="0.25">
      <c r="A35" s="192" t="s">
        <v>98</v>
      </c>
      <c r="B35" s="213"/>
      <c r="C35" s="214"/>
      <c r="D35" s="214"/>
      <c r="E35" s="214"/>
      <c r="F35" s="215"/>
      <c r="G35" s="215"/>
      <c r="H35" s="215"/>
      <c r="I35" s="215"/>
      <c r="J35" s="215">
        <v>3968.8</v>
      </c>
      <c r="K35" s="215">
        <v>4825.3</v>
      </c>
      <c r="L35" s="215">
        <v>6724.3</v>
      </c>
      <c r="M35" s="215">
        <v>6926.89</v>
      </c>
      <c r="N35" s="215">
        <v>6580.7930000000024</v>
      </c>
      <c r="O35" s="230">
        <v>11297.076000000001</v>
      </c>
      <c r="P35" s="230">
        <v>11593.851000000002</v>
      </c>
      <c r="Q35" s="218">
        <v>9625.3549999999996</v>
      </c>
      <c r="R35" s="230">
        <v>10738.547</v>
      </c>
      <c r="S35" s="217">
        <v>11327.298000000001</v>
      </c>
      <c r="T35" s="217">
        <v>12839.037</v>
      </c>
      <c r="U35" s="236">
        <v>11746.869000000001</v>
      </c>
      <c r="V35" s="236">
        <v>14885.698</v>
      </c>
      <c r="W35" s="236">
        <v>14583.107</v>
      </c>
      <c r="X35" s="236">
        <v>14830.748</v>
      </c>
      <c r="Y35" s="236">
        <v>13680.242</v>
      </c>
      <c r="Z35" s="236">
        <v>15873.056</v>
      </c>
      <c r="AA35" s="236">
        <v>14754.982</v>
      </c>
      <c r="AB35" s="236">
        <v>9025.1990000000005</v>
      </c>
      <c r="AC35" s="236">
        <v>8170.1890000000003</v>
      </c>
      <c r="AD35" s="236">
        <v>9735.8009999999995</v>
      </c>
      <c r="AE35" s="236">
        <v>10036.468000000001</v>
      </c>
      <c r="AF35" s="237">
        <v>7150.6210000000001</v>
      </c>
      <c r="AG35" s="13"/>
    </row>
    <row r="36" spans="1:33" ht="15" customHeight="1" x14ac:dyDescent="0.25">
      <c r="A36" s="192" t="s">
        <v>100</v>
      </c>
      <c r="B36" s="213"/>
      <c r="C36" s="214"/>
      <c r="D36" s="214"/>
      <c r="E36" s="214"/>
      <c r="F36" s="215"/>
      <c r="G36" s="215"/>
      <c r="H36" s="215"/>
      <c r="I36" s="215"/>
      <c r="J36" s="215">
        <v>3717.6</v>
      </c>
      <c r="K36" s="215">
        <v>2005.3</v>
      </c>
      <c r="L36" s="215">
        <v>3770.5</v>
      </c>
      <c r="M36" s="215">
        <v>3364.91</v>
      </c>
      <c r="N36" s="215">
        <v>4286.6970000000001</v>
      </c>
      <c r="O36" s="230">
        <v>8192.8029999999999</v>
      </c>
      <c r="P36" s="230">
        <v>9426.0080000000016</v>
      </c>
      <c r="Q36" s="218">
        <v>9500.3209999999999</v>
      </c>
      <c r="R36" s="230">
        <v>9302.1910000000007</v>
      </c>
      <c r="S36" s="217">
        <v>9299.4259999999995</v>
      </c>
      <c r="T36" s="217">
        <v>9018.6129999999994</v>
      </c>
      <c r="U36" s="236">
        <v>10167.263999999999</v>
      </c>
      <c r="V36" s="236">
        <v>10719.752</v>
      </c>
      <c r="W36" s="236">
        <v>9561.6569999999992</v>
      </c>
      <c r="X36" s="236">
        <v>12506.866</v>
      </c>
      <c r="Y36" s="236">
        <v>13348.308999999999</v>
      </c>
      <c r="Z36" s="236">
        <v>13232.025</v>
      </c>
      <c r="AA36" s="236">
        <v>8760.5740000000005</v>
      </c>
      <c r="AB36" s="236">
        <v>7691.1049999999996</v>
      </c>
      <c r="AC36" s="236">
        <v>8009.5119999999997</v>
      </c>
      <c r="AD36" s="236">
        <v>7327.357</v>
      </c>
      <c r="AE36" s="236">
        <v>7335.6580000000004</v>
      </c>
      <c r="AF36" s="237">
        <v>7040.6819999999998</v>
      </c>
      <c r="AG36" s="13"/>
    </row>
    <row r="37" spans="1:33" ht="15" customHeight="1" x14ac:dyDescent="0.25">
      <c r="A37" s="192" t="s">
        <v>99</v>
      </c>
      <c r="B37" s="213"/>
      <c r="C37" s="214"/>
      <c r="D37" s="214"/>
      <c r="E37" s="214"/>
      <c r="F37" s="215"/>
      <c r="G37" s="215"/>
      <c r="H37" s="215"/>
      <c r="I37" s="215"/>
      <c r="J37" s="215">
        <v>15672.3</v>
      </c>
      <c r="K37" s="215">
        <v>16352.2</v>
      </c>
      <c r="L37" s="215">
        <v>12429.8</v>
      </c>
      <c r="M37" s="215">
        <v>15211.45</v>
      </c>
      <c r="N37" s="215">
        <v>14297.4</v>
      </c>
      <c r="O37" s="230">
        <v>16046.974</v>
      </c>
      <c r="P37" s="217">
        <v>19439.204000000002</v>
      </c>
      <c r="Q37" s="231">
        <v>21990.46</v>
      </c>
      <c r="R37" s="230">
        <v>19790.442999999999</v>
      </c>
      <c r="S37" s="246">
        <v>23376.793000000001</v>
      </c>
      <c r="T37" s="238">
        <v>28598.656999999999</v>
      </c>
      <c r="U37" s="220">
        <v>30099.734</v>
      </c>
      <c r="V37" s="220">
        <v>29485.111000000001</v>
      </c>
      <c r="W37" s="220">
        <v>28739.75</v>
      </c>
      <c r="X37" s="220">
        <v>30691.627</v>
      </c>
      <c r="Y37" s="220">
        <v>24613.333999999999</v>
      </c>
      <c r="Z37" s="220">
        <v>24696.825000000001</v>
      </c>
      <c r="AA37" s="220">
        <v>29772.826000000001</v>
      </c>
      <c r="AB37" s="220">
        <v>25855.79</v>
      </c>
      <c r="AC37" s="220">
        <v>29857.458999999999</v>
      </c>
      <c r="AD37" s="220">
        <v>31164.802</v>
      </c>
      <c r="AE37" s="220">
        <v>31518.665000000001</v>
      </c>
      <c r="AF37" s="221">
        <v>29444.566999999999</v>
      </c>
      <c r="AG37" s="13"/>
    </row>
    <row r="38" spans="1:33" ht="15" customHeight="1" x14ac:dyDescent="0.25">
      <c r="A38" s="222" t="s">
        <v>71</v>
      </c>
      <c r="B38" s="223">
        <f>SUM(B23:B33)</f>
        <v>9520</v>
      </c>
      <c r="C38" s="224">
        <f>SUM(C23:C33)</f>
        <v>11146</v>
      </c>
      <c r="D38" s="224">
        <f>SUM(D23:D33)</f>
        <v>15049.1</v>
      </c>
      <c r="E38" s="224">
        <f>SUM(E23:E34)</f>
        <v>14967.599999999999</v>
      </c>
      <c r="F38" s="225">
        <f>SUM(F23:F34)</f>
        <v>16337.5</v>
      </c>
      <c r="G38" s="225">
        <f>SUM(G23:G34)</f>
        <v>17079.699999999997</v>
      </c>
      <c r="H38" s="225">
        <f>SUM(H23:H34)</f>
        <v>17932.599999999999</v>
      </c>
      <c r="I38" s="225">
        <f>SUM(I23:I34)</f>
        <v>18221.8</v>
      </c>
      <c r="J38" s="225">
        <f t="shared" ref="J38:O38" si="9">SUM(J23:J37)</f>
        <v>24222.1</v>
      </c>
      <c r="K38" s="225">
        <f t="shared" si="9"/>
        <v>24379.5</v>
      </c>
      <c r="L38" s="225">
        <f t="shared" si="9"/>
        <v>23647.4</v>
      </c>
      <c r="M38" s="225">
        <f t="shared" si="9"/>
        <v>26247.760000000002</v>
      </c>
      <c r="N38" s="225">
        <f t="shared" si="9"/>
        <v>25437.190000000002</v>
      </c>
      <c r="O38" s="225">
        <f t="shared" si="9"/>
        <v>35906.983</v>
      </c>
      <c r="P38" s="225">
        <f>SUM(P23:P37)</f>
        <v>42462.802000000011</v>
      </c>
      <c r="Q38" s="224">
        <f>SUM(Q23:Q37)</f>
        <v>42655.290999999997</v>
      </c>
      <c r="R38" s="225">
        <v>41615.195999999996</v>
      </c>
      <c r="S38" s="225">
        <v>45826.351999999999</v>
      </c>
      <c r="T38" s="226">
        <f>SUM(T23:T37)</f>
        <v>52420.639999999999</v>
      </c>
      <c r="U38" s="227">
        <v>54608.277000000002</v>
      </c>
      <c r="V38" s="227">
        <v>57401.498000000007</v>
      </c>
      <c r="W38" s="227">
        <v>55107.199000000001</v>
      </c>
      <c r="X38" s="227">
        <v>60455.470999999998</v>
      </c>
      <c r="Y38" s="227">
        <v>53988.319000000003</v>
      </c>
      <c r="Z38" s="227">
        <v>56170.543000000005</v>
      </c>
      <c r="AA38" s="227">
        <v>54592.891000000003</v>
      </c>
      <c r="AB38" s="227">
        <f t="shared" ref="AB38" si="10">SUM(AB23:AB37)</f>
        <v>43753.679000000004</v>
      </c>
      <c r="AC38" s="227">
        <f t="shared" ref="AC38:AF38" si="11">SUM(AC23:AC37)</f>
        <v>46751.936000000002</v>
      </c>
      <c r="AD38" s="227">
        <f t="shared" si="11"/>
        <v>48913.251000000004</v>
      </c>
      <c r="AE38" s="227">
        <f t="shared" si="11"/>
        <v>50075.585000000006</v>
      </c>
      <c r="AF38" s="228">
        <f t="shared" si="11"/>
        <v>45073.812999999995</v>
      </c>
    </row>
    <row r="39" spans="1:33" ht="15" customHeight="1" x14ac:dyDescent="0.25">
      <c r="A39" s="192" t="s">
        <v>72</v>
      </c>
      <c r="B39" s="213">
        <v>5.4</v>
      </c>
      <c r="C39" s="214">
        <v>5</v>
      </c>
      <c r="D39" s="214">
        <v>10.8</v>
      </c>
      <c r="E39" s="214">
        <v>31.7</v>
      </c>
      <c r="F39" s="215">
        <v>51.8</v>
      </c>
      <c r="G39" s="215">
        <v>118.7</v>
      </c>
      <c r="H39" s="215">
        <v>188.2</v>
      </c>
      <c r="I39" s="215">
        <v>317.10000000000002</v>
      </c>
      <c r="J39" s="215">
        <v>423.6</v>
      </c>
      <c r="K39" s="215">
        <v>1863.5</v>
      </c>
      <c r="L39" s="215">
        <v>2180.6999999999998</v>
      </c>
      <c r="M39" s="215">
        <v>1386.71</v>
      </c>
      <c r="N39" s="215">
        <v>2306.6999999999998</v>
      </c>
      <c r="O39" s="230">
        <v>2870.9659999999999</v>
      </c>
      <c r="P39" s="217">
        <v>3084.9839999999999</v>
      </c>
      <c r="Q39" s="218">
        <v>2683.357</v>
      </c>
      <c r="R39" s="230">
        <v>2719.5619999999999</v>
      </c>
      <c r="S39" s="232">
        <v>2514.7779999999998</v>
      </c>
      <c r="T39" s="232">
        <v>6761.9449999999997</v>
      </c>
      <c r="U39" s="245">
        <v>3060.2089999999998</v>
      </c>
      <c r="V39" s="245">
        <v>2597.7379999999998</v>
      </c>
      <c r="W39" s="245">
        <v>2679.8</v>
      </c>
      <c r="X39" s="245">
        <v>2718.6129999999998</v>
      </c>
      <c r="Y39" s="245">
        <v>2915.9140000000002</v>
      </c>
      <c r="Z39" s="245">
        <v>2471.8470000000002</v>
      </c>
      <c r="AA39" s="245">
        <v>2545.4470000000001</v>
      </c>
      <c r="AB39" s="245">
        <v>2676.4029999999998</v>
      </c>
      <c r="AC39" s="245">
        <v>2366.0839999999998</v>
      </c>
      <c r="AD39" s="245">
        <v>2479.9569999999999</v>
      </c>
      <c r="AE39" s="245">
        <v>2018.481</v>
      </c>
      <c r="AF39" s="243">
        <v>2465.58</v>
      </c>
    </row>
    <row r="40" spans="1:33" ht="15" customHeight="1" x14ac:dyDescent="0.25">
      <c r="A40" s="192" t="s">
        <v>169</v>
      </c>
      <c r="B40" s="213"/>
      <c r="C40" s="214"/>
      <c r="D40" s="214"/>
      <c r="E40" s="214"/>
      <c r="F40" s="215"/>
      <c r="G40" s="215">
        <v>6281</v>
      </c>
      <c r="H40" s="215">
        <v>5913.6</v>
      </c>
      <c r="I40" s="215">
        <v>6933</v>
      </c>
      <c r="J40" s="215">
        <v>25162.2</v>
      </c>
      <c r="K40" s="215">
        <v>28904</v>
      </c>
      <c r="L40" s="215">
        <v>19845.8</v>
      </c>
      <c r="M40" s="215">
        <v>20159.400000000001</v>
      </c>
      <c r="N40" s="215">
        <v>9770</v>
      </c>
      <c r="O40" s="230">
        <v>11851.885</v>
      </c>
      <c r="P40" s="217">
        <v>10072.161</v>
      </c>
      <c r="Q40" s="240">
        <v>5979.9049999999997</v>
      </c>
      <c r="R40" s="230">
        <v>3885.4780000000001</v>
      </c>
      <c r="S40" s="230">
        <v>7829.8819999999996</v>
      </c>
      <c r="T40" s="217">
        <v>15802.68</v>
      </c>
      <c r="U40" s="245">
        <v>12997.532999999999</v>
      </c>
      <c r="V40" s="245">
        <v>18222.617999999999</v>
      </c>
      <c r="W40" s="245">
        <v>15895.427</v>
      </c>
      <c r="X40" s="245">
        <v>18568.027999999998</v>
      </c>
      <c r="Y40" s="245">
        <v>21409.857</v>
      </c>
      <c r="Z40" s="245">
        <v>19769.432000000001</v>
      </c>
      <c r="AA40" s="245">
        <v>18660.819</v>
      </c>
      <c r="AB40" s="245">
        <v>14046.814</v>
      </c>
      <c r="AC40" s="245">
        <v>9218.7420000000002</v>
      </c>
      <c r="AD40" s="245">
        <v>25</v>
      </c>
      <c r="AE40" s="245">
        <v>30</v>
      </c>
      <c r="AF40" s="243">
        <v>25</v>
      </c>
    </row>
    <row r="41" spans="1:33" ht="15" customHeight="1" x14ac:dyDescent="0.25">
      <c r="A41" s="192" t="s">
        <v>83</v>
      </c>
      <c r="B41" s="213"/>
      <c r="C41" s="214"/>
      <c r="D41" s="214"/>
      <c r="E41" s="214"/>
      <c r="F41" s="215"/>
      <c r="G41" s="215">
        <v>93.8</v>
      </c>
      <c r="H41" s="215">
        <v>303.60000000000002</v>
      </c>
      <c r="I41" s="215">
        <v>361.2</v>
      </c>
      <c r="J41" s="215">
        <v>918.5</v>
      </c>
      <c r="K41" s="215">
        <v>1063.5</v>
      </c>
      <c r="L41" s="215">
        <v>539.70000000000005</v>
      </c>
      <c r="M41" s="215">
        <v>354.64</v>
      </c>
      <c r="N41" s="215">
        <v>695.97</v>
      </c>
      <c r="O41" s="230">
        <v>783.97</v>
      </c>
      <c r="P41" s="216">
        <v>0</v>
      </c>
      <c r="Q41" s="218">
        <v>645.29999999999995</v>
      </c>
      <c r="R41" s="230">
        <v>300.14</v>
      </c>
      <c r="S41" s="217">
        <v>514.91899999999998</v>
      </c>
      <c r="T41" s="217">
        <v>1640.8150000000001</v>
      </c>
      <c r="U41" s="245">
        <v>1806.6</v>
      </c>
      <c r="V41" s="245">
        <v>1836.89</v>
      </c>
      <c r="W41" s="245">
        <v>1408.559</v>
      </c>
      <c r="X41" s="245">
        <v>1355.0409999999999</v>
      </c>
      <c r="Y41" s="245">
        <v>653.96</v>
      </c>
      <c r="Z41" s="245">
        <v>7.0000000000000007E-2</v>
      </c>
      <c r="AA41" s="245">
        <v>0</v>
      </c>
      <c r="AB41" s="245">
        <v>0</v>
      </c>
      <c r="AC41" s="245">
        <v>0</v>
      </c>
      <c r="AD41" s="245">
        <v>0</v>
      </c>
      <c r="AE41" s="245">
        <v>0</v>
      </c>
      <c r="AF41" s="243">
        <v>0</v>
      </c>
    </row>
    <row r="42" spans="1:33" ht="15" customHeight="1" x14ac:dyDescent="0.25">
      <c r="A42" s="192" t="s">
        <v>111</v>
      </c>
      <c r="B42" s="213"/>
      <c r="C42" s="214"/>
      <c r="D42" s="214"/>
      <c r="E42" s="214"/>
      <c r="F42" s="215"/>
      <c r="G42" s="215"/>
      <c r="H42" s="215"/>
      <c r="I42" s="215"/>
      <c r="J42" s="215"/>
      <c r="K42" s="215"/>
      <c r="L42" s="215">
        <v>20.399999999999999</v>
      </c>
      <c r="M42" s="215">
        <v>0</v>
      </c>
      <c r="N42" s="215">
        <v>8.74</v>
      </c>
      <c r="O42" s="230">
        <v>16.149999999999999</v>
      </c>
      <c r="P42" s="230">
        <v>151.32</v>
      </c>
      <c r="Q42" s="218">
        <v>155.69999999999999</v>
      </c>
      <c r="R42" s="230">
        <v>152.03</v>
      </c>
      <c r="S42" s="217">
        <v>144.80000000000001</v>
      </c>
      <c r="T42" s="217">
        <v>32.612000000000002</v>
      </c>
      <c r="U42" s="245">
        <v>31.68</v>
      </c>
      <c r="V42" s="245">
        <v>33.07</v>
      </c>
      <c r="W42" s="245">
        <v>32.229999999999997</v>
      </c>
      <c r="X42" s="245">
        <v>33.43</v>
      </c>
      <c r="Y42" s="245">
        <v>33.770000000000003</v>
      </c>
      <c r="Z42" s="245">
        <v>33.270000000000003</v>
      </c>
      <c r="AA42" s="245">
        <v>0</v>
      </c>
      <c r="AB42" s="245">
        <v>0</v>
      </c>
      <c r="AC42" s="245">
        <v>0</v>
      </c>
      <c r="AD42" s="245">
        <v>0</v>
      </c>
      <c r="AE42" s="245">
        <v>0</v>
      </c>
      <c r="AF42" s="243">
        <v>0</v>
      </c>
    </row>
    <row r="43" spans="1:33" ht="15" customHeight="1" x14ac:dyDescent="0.25">
      <c r="A43" s="192" t="s">
        <v>101</v>
      </c>
      <c r="B43" s="213"/>
      <c r="C43" s="214"/>
      <c r="D43" s="214"/>
      <c r="E43" s="214"/>
      <c r="F43" s="215"/>
      <c r="G43" s="215"/>
      <c r="H43" s="215"/>
      <c r="I43" s="215"/>
      <c r="J43" s="215">
        <v>617.20000000000005</v>
      </c>
      <c r="K43" s="215">
        <v>1640</v>
      </c>
      <c r="L43" s="215">
        <v>2216.1999999999998</v>
      </c>
      <c r="M43" s="215">
        <v>2023.46</v>
      </c>
      <c r="N43" s="215">
        <v>3350.2069999999999</v>
      </c>
      <c r="O43" s="230">
        <v>3789.8910000000001</v>
      </c>
      <c r="P43" s="217">
        <v>6344.817</v>
      </c>
      <c r="Q43" s="218">
        <v>9812.5130000000008</v>
      </c>
      <c r="R43" s="230">
        <v>10513.004000000001</v>
      </c>
      <c r="S43" s="217">
        <v>15173.727000000001</v>
      </c>
      <c r="T43" s="217">
        <v>17586.626</v>
      </c>
      <c r="U43" s="245">
        <v>19586.161</v>
      </c>
      <c r="V43" s="245">
        <v>25956.616000000002</v>
      </c>
      <c r="W43" s="245">
        <v>21928.618999999999</v>
      </c>
      <c r="X43" s="245">
        <v>22343.596000000001</v>
      </c>
      <c r="Y43" s="245">
        <v>20695.64</v>
      </c>
      <c r="Z43" s="245">
        <v>18349.483</v>
      </c>
      <c r="AA43" s="245">
        <v>15512.688</v>
      </c>
      <c r="AB43" s="245">
        <v>13880.87</v>
      </c>
      <c r="AC43" s="245">
        <v>11751.733</v>
      </c>
      <c r="AD43" s="245">
        <v>8919.9619999999995</v>
      </c>
      <c r="AE43" s="245">
        <v>9630.2909999999993</v>
      </c>
      <c r="AF43" s="243">
        <v>8673.9240000000009</v>
      </c>
      <c r="AG43" s="13"/>
    </row>
    <row r="44" spans="1:33" ht="15" customHeight="1" x14ac:dyDescent="0.25">
      <c r="A44" s="192" t="s">
        <v>93</v>
      </c>
      <c r="B44" s="213">
        <v>0</v>
      </c>
      <c r="C44" s="214">
        <v>0</v>
      </c>
      <c r="D44" s="214">
        <v>14.9</v>
      </c>
      <c r="E44" s="214">
        <v>2.2000000000000002</v>
      </c>
      <c r="F44" s="215">
        <v>7.1</v>
      </c>
      <c r="G44" s="215">
        <v>72.099999999999994</v>
      </c>
      <c r="H44" s="215">
        <v>90.7</v>
      </c>
      <c r="I44" s="215">
        <v>21.5</v>
      </c>
      <c r="J44" s="215">
        <v>20.8</v>
      </c>
      <c r="K44" s="215">
        <v>266.5</v>
      </c>
      <c r="L44" s="215">
        <v>263.10000000000002</v>
      </c>
      <c r="M44" s="215">
        <v>311.55</v>
      </c>
      <c r="N44" s="215">
        <v>232.33099999999999</v>
      </c>
      <c r="O44" s="230">
        <v>374.298</v>
      </c>
      <c r="P44" s="217">
        <v>453.37</v>
      </c>
      <c r="Q44" s="218">
        <v>513.81600000000003</v>
      </c>
      <c r="R44" s="230">
        <v>450.82499999999999</v>
      </c>
      <c r="S44" s="217">
        <v>399.63900000000001</v>
      </c>
      <c r="T44" s="217">
        <v>620.06700000000001</v>
      </c>
      <c r="U44" s="245">
        <v>672.8</v>
      </c>
      <c r="V44" s="245">
        <v>662.20899999999995</v>
      </c>
      <c r="W44" s="245">
        <v>599.98900000000003</v>
      </c>
      <c r="X44" s="245">
        <v>422.03500000000003</v>
      </c>
      <c r="Y44" s="245">
        <v>171.726</v>
      </c>
      <c r="Z44" s="245">
        <v>363.81400000000002</v>
      </c>
      <c r="AA44" s="245">
        <v>343.38200000000001</v>
      </c>
      <c r="AB44" s="245">
        <v>373.68</v>
      </c>
      <c r="AC44" s="245">
        <v>310.79399999999998</v>
      </c>
      <c r="AD44" s="245">
        <v>278.435</v>
      </c>
      <c r="AE44" s="245">
        <v>269.42099999999999</v>
      </c>
      <c r="AF44" s="243">
        <v>524.41899999999998</v>
      </c>
    </row>
    <row r="45" spans="1:33" ht="15" customHeight="1" x14ac:dyDescent="0.25">
      <c r="A45" s="192" t="s">
        <v>73</v>
      </c>
      <c r="B45" s="213">
        <v>3695</v>
      </c>
      <c r="C45" s="214">
        <v>17004</v>
      </c>
      <c r="D45" s="214">
        <v>6725.7</v>
      </c>
      <c r="E45" s="214">
        <v>11680.5</v>
      </c>
      <c r="F45" s="215">
        <v>9419.2999999999993</v>
      </c>
      <c r="G45" s="215">
        <v>11003</v>
      </c>
      <c r="H45" s="215">
        <v>8501.4</v>
      </c>
      <c r="I45" s="215">
        <v>8344.5</v>
      </c>
      <c r="J45" s="215">
        <v>5300</v>
      </c>
      <c r="K45" s="215">
        <v>13164.1</v>
      </c>
      <c r="L45" s="215">
        <v>3781.1</v>
      </c>
      <c r="M45" s="215">
        <v>5208.8999999999996</v>
      </c>
      <c r="N45" s="215">
        <v>3891.12</v>
      </c>
      <c r="O45" s="230">
        <v>3120.7020000000002</v>
      </c>
      <c r="P45" s="217">
        <v>4173.6989999999996</v>
      </c>
      <c r="Q45" s="240">
        <v>2655.1680000000001</v>
      </c>
      <c r="R45" s="230">
        <v>3125.8359999999998</v>
      </c>
      <c r="S45" s="217">
        <v>3338.3760000000002</v>
      </c>
      <c r="T45" s="217">
        <v>2138.0309999999999</v>
      </c>
      <c r="U45" s="245">
        <v>3363.5309999999999</v>
      </c>
      <c r="V45" s="245">
        <v>5024.9610000000002</v>
      </c>
      <c r="W45" s="245">
        <v>4057.3620000000001</v>
      </c>
      <c r="X45" s="245">
        <v>3818.5369999999998</v>
      </c>
      <c r="Y45" s="245">
        <v>3630.16</v>
      </c>
      <c r="Z45" s="245">
        <v>4224.6099999999997</v>
      </c>
      <c r="AA45" s="245">
        <v>3861.7449999999999</v>
      </c>
      <c r="AB45" s="245">
        <v>5822.52</v>
      </c>
      <c r="AC45" s="245">
        <v>8460.0139999999992</v>
      </c>
      <c r="AD45" s="245">
        <v>6184.5889999999999</v>
      </c>
      <c r="AE45" s="245">
        <v>8572.8760000000002</v>
      </c>
      <c r="AF45" s="243">
        <v>5484.7709999999997</v>
      </c>
    </row>
    <row r="46" spans="1:33" ht="15" customHeight="1" x14ac:dyDescent="0.25">
      <c r="A46" s="192" t="s">
        <v>102</v>
      </c>
      <c r="B46" s="213"/>
      <c r="C46" s="214"/>
      <c r="D46" s="214"/>
      <c r="E46" s="214"/>
      <c r="F46" s="215"/>
      <c r="G46" s="215"/>
      <c r="H46" s="215"/>
      <c r="I46" s="215"/>
      <c r="J46" s="215">
        <v>14.1</v>
      </c>
      <c r="K46" s="215">
        <v>12.3</v>
      </c>
      <c r="L46" s="215">
        <v>105.1</v>
      </c>
      <c r="M46" s="215">
        <v>92.4</v>
      </c>
      <c r="N46" s="215">
        <v>27.640999999999998</v>
      </c>
      <c r="O46" s="230">
        <v>105.551</v>
      </c>
      <c r="P46" s="230">
        <v>142.673</v>
      </c>
      <c r="Q46" s="240">
        <f>155.173+2</f>
        <v>157.173</v>
      </c>
      <c r="R46" s="230">
        <v>305.17500000000001</v>
      </c>
      <c r="S46" s="217">
        <v>435.988</v>
      </c>
      <c r="T46" s="217">
        <v>451.58</v>
      </c>
      <c r="U46" s="245">
        <v>295.25900000000001</v>
      </c>
      <c r="V46" s="245">
        <v>338.36700000000002</v>
      </c>
      <c r="W46" s="245">
        <v>322.90600000000001</v>
      </c>
      <c r="X46" s="245">
        <v>246.196</v>
      </c>
      <c r="Y46" s="245">
        <v>275.50200000000001</v>
      </c>
      <c r="Z46" s="245">
        <v>325.99900000000002</v>
      </c>
      <c r="AA46" s="245">
        <v>273.01400000000001</v>
      </c>
      <c r="AB46" s="245">
        <v>263.74299999999999</v>
      </c>
      <c r="AC46" s="245">
        <v>275.59399999999999</v>
      </c>
      <c r="AD46" s="245">
        <v>289.08600000000001</v>
      </c>
      <c r="AE46" s="245">
        <v>285.06900000000002</v>
      </c>
      <c r="AF46" s="243">
        <v>237.25800000000001</v>
      </c>
    </row>
    <row r="47" spans="1:33" ht="15" customHeight="1" x14ac:dyDescent="0.25">
      <c r="A47" s="192" t="s">
        <v>105</v>
      </c>
      <c r="B47" s="213"/>
      <c r="C47" s="214"/>
      <c r="D47" s="214"/>
      <c r="E47" s="214"/>
      <c r="F47" s="215"/>
      <c r="G47" s="215"/>
      <c r="H47" s="215"/>
      <c r="I47" s="215"/>
      <c r="J47" s="215"/>
      <c r="K47" s="215">
        <v>3.9</v>
      </c>
      <c r="L47" s="215">
        <v>25.5</v>
      </c>
      <c r="M47" s="215">
        <v>44.436999999999998</v>
      </c>
      <c r="N47" s="215">
        <v>0</v>
      </c>
      <c r="O47" s="216">
        <v>0</v>
      </c>
      <c r="P47" s="216">
        <v>0</v>
      </c>
      <c r="Q47" s="218">
        <v>0</v>
      </c>
      <c r="R47" s="230">
        <v>0</v>
      </c>
      <c r="S47" s="230">
        <v>0</v>
      </c>
      <c r="T47" s="217">
        <v>0</v>
      </c>
      <c r="U47" s="245">
        <v>0</v>
      </c>
      <c r="V47" s="245">
        <v>0</v>
      </c>
      <c r="W47" s="245">
        <v>0</v>
      </c>
      <c r="X47" s="245">
        <v>0</v>
      </c>
      <c r="Y47" s="245">
        <v>0</v>
      </c>
      <c r="Z47" s="245">
        <v>0</v>
      </c>
      <c r="AA47" s="245">
        <v>0</v>
      </c>
      <c r="AB47" s="245">
        <v>0</v>
      </c>
      <c r="AC47" s="245">
        <v>0</v>
      </c>
      <c r="AD47" s="245">
        <v>0</v>
      </c>
      <c r="AE47" s="245">
        <v>0</v>
      </c>
      <c r="AF47" s="243">
        <v>0</v>
      </c>
    </row>
    <row r="48" spans="1:33" ht="15" customHeight="1" x14ac:dyDescent="0.25">
      <c r="A48" s="192" t="s">
        <v>117</v>
      </c>
      <c r="B48" s="213"/>
      <c r="C48" s="214"/>
      <c r="D48" s="214"/>
      <c r="E48" s="214"/>
      <c r="F48" s="215"/>
      <c r="G48" s="215"/>
      <c r="H48" s="215"/>
      <c r="I48" s="215"/>
      <c r="J48" s="215"/>
      <c r="K48" s="215"/>
      <c r="L48" s="215"/>
      <c r="M48" s="215"/>
      <c r="N48" s="215">
        <v>75.307000000000002</v>
      </c>
      <c r="O48" s="230">
        <v>154.12900000000002</v>
      </c>
      <c r="P48" s="230">
        <v>120.10700000000001</v>
      </c>
      <c r="Q48" s="218">
        <v>203.75</v>
      </c>
      <c r="R48" s="230">
        <v>187.72300000000001</v>
      </c>
      <c r="S48" s="217">
        <v>218.28800000000001</v>
      </c>
      <c r="T48" s="217">
        <v>247</v>
      </c>
      <c r="U48" s="242">
        <v>335.56</v>
      </c>
      <c r="V48" s="242">
        <v>435.673</v>
      </c>
      <c r="W48" s="245">
        <v>375.31900000000002</v>
      </c>
      <c r="X48" s="245">
        <v>300.95999999999998</v>
      </c>
      <c r="Y48" s="245">
        <v>258.57100000000003</v>
      </c>
      <c r="Z48" s="245">
        <v>332.983</v>
      </c>
      <c r="AA48" s="245">
        <v>172.48699999999999</v>
      </c>
      <c r="AB48" s="245">
        <v>264.72500000000002</v>
      </c>
      <c r="AC48" s="245">
        <v>359.904</v>
      </c>
      <c r="AD48" s="245">
        <v>254.244</v>
      </c>
      <c r="AE48" s="245">
        <v>433.36799999999999</v>
      </c>
      <c r="AF48" s="243">
        <v>228.04400000000001</v>
      </c>
    </row>
    <row r="49" spans="1:33" ht="15" customHeight="1" x14ac:dyDescent="0.25">
      <c r="A49" s="192" t="s">
        <v>170</v>
      </c>
      <c r="B49" s="213">
        <v>176</v>
      </c>
      <c r="C49" s="214">
        <v>460</v>
      </c>
      <c r="D49" s="214">
        <v>416.9</v>
      </c>
      <c r="E49" s="214">
        <v>503.7</v>
      </c>
      <c r="F49" s="215">
        <v>558.70000000000005</v>
      </c>
      <c r="G49" s="215">
        <v>740.2</v>
      </c>
      <c r="H49" s="215">
        <v>738.8</v>
      </c>
      <c r="I49" s="215">
        <v>973.6</v>
      </c>
      <c r="J49" s="215">
        <v>1184.0999999999999</v>
      </c>
      <c r="K49" s="215">
        <v>10133.799999999999</v>
      </c>
      <c r="L49" s="215">
        <v>12614.3</v>
      </c>
      <c r="M49" s="215">
        <v>6672.83</v>
      </c>
      <c r="N49" s="215">
        <v>18482.975999999999</v>
      </c>
      <c r="O49" s="230">
        <v>12861.041000000001</v>
      </c>
      <c r="P49" s="217">
        <v>15508.527</v>
      </c>
      <c r="Q49" s="231">
        <v>12905.638999999999</v>
      </c>
      <c r="R49" s="230">
        <v>14601.611000000001</v>
      </c>
      <c r="S49" s="217">
        <v>13793.668</v>
      </c>
      <c r="T49" s="217">
        <v>15304.737999999999</v>
      </c>
      <c r="U49" s="245">
        <v>14467.16</v>
      </c>
      <c r="V49" s="245">
        <v>14035.54</v>
      </c>
      <c r="W49" s="245">
        <v>14636.956</v>
      </c>
      <c r="X49" s="245">
        <v>12562.356</v>
      </c>
      <c r="Y49" s="245">
        <v>16750.344000000001</v>
      </c>
      <c r="Z49" s="245">
        <v>17537.261999999999</v>
      </c>
      <c r="AA49" s="245">
        <v>16757.778999999999</v>
      </c>
      <c r="AB49" s="245">
        <v>14673.66</v>
      </c>
      <c r="AC49" s="245">
        <v>19667.310000000001</v>
      </c>
      <c r="AD49" s="245">
        <v>22052.292000000001</v>
      </c>
      <c r="AE49" s="245">
        <v>20550.312000000002</v>
      </c>
      <c r="AF49" s="243">
        <v>14956.964</v>
      </c>
    </row>
    <row r="50" spans="1:33" ht="15" customHeight="1" x14ac:dyDescent="0.25">
      <c r="A50" s="192" t="s">
        <v>110</v>
      </c>
      <c r="B50" s="213"/>
      <c r="C50" s="214"/>
      <c r="D50" s="214"/>
      <c r="E50" s="214"/>
      <c r="F50" s="215"/>
      <c r="G50" s="215"/>
      <c r="H50" s="215"/>
      <c r="I50" s="215"/>
      <c r="J50" s="215"/>
      <c r="K50" s="215"/>
      <c r="L50" s="215">
        <v>0.5</v>
      </c>
      <c r="M50" s="215">
        <v>0.03</v>
      </c>
      <c r="N50" s="215">
        <v>1.3080000000000001</v>
      </c>
      <c r="O50" s="216">
        <v>0</v>
      </c>
      <c r="P50" s="216">
        <v>0</v>
      </c>
      <c r="Q50" s="218">
        <v>0</v>
      </c>
      <c r="R50" s="230">
        <v>0</v>
      </c>
      <c r="S50" s="230">
        <v>0</v>
      </c>
      <c r="T50" s="217">
        <v>0</v>
      </c>
      <c r="U50" s="245">
        <v>0</v>
      </c>
      <c r="V50" s="245">
        <v>0</v>
      </c>
      <c r="W50" s="245">
        <v>0</v>
      </c>
      <c r="X50" s="245">
        <v>0</v>
      </c>
      <c r="Y50" s="245">
        <v>0</v>
      </c>
      <c r="Z50" s="245">
        <v>0</v>
      </c>
      <c r="AA50" s="245">
        <v>0</v>
      </c>
      <c r="AB50" s="245">
        <v>0</v>
      </c>
      <c r="AC50" s="245">
        <v>0</v>
      </c>
      <c r="AD50" s="245">
        <v>0</v>
      </c>
      <c r="AE50" s="245">
        <v>0</v>
      </c>
      <c r="AF50" s="243">
        <v>0</v>
      </c>
    </row>
    <row r="51" spans="1:33" ht="15" customHeight="1" x14ac:dyDescent="0.25">
      <c r="A51" s="192" t="s">
        <v>82</v>
      </c>
      <c r="B51" s="213"/>
      <c r="C51" s="214"/>
      <c r="D51" s="214"/>
      <c r="E51" s="214"/>
      <c r="F51" s="215"/>
      <c r="G51" s="215">
        <v>4.9000000000000004</v>
      </c>
      <c r="H51" s="215">
        <v>9</v>
      </c>
      <c r="I51" s="215">
        <v>12.5</v>
      </c>
      <c r="J51" s="215">
        <v>0</v>
      </c>
      <c r="K51" s="215">
        <v>18.100000000000001</v>
      </c>
      <c r="L51" s="215">
        <v>31.9</v>
      </c>
      <c r="M51" s="215">
        <v>16.936</v>
      </c>
      <c r="N51" s="215">
        <v>27.364999999999998</v>
      </c>
      <c r="O51" s="216">
        <v>0</v>
      </c>
      <c r="P51" s="216">
        <v>0</v>
      </c>
      <c r="Q51" s="218">
        <v>0</v>
      </c>
      <c r="R51" s="230">
        <v>0</v>
      </c>
      <c r="S51" s="230">
        <v>0</v>
      </c>
      <c r="T51" s="217">
        <v>0</v>
      </c>
      <c r="U51" s="245">
        <v>0</v>
      </c>
      <c r="V51" s="245">
        <v>0</v>
      </c>
      <c r="W51" s="245">
        <v>0</v>
      </c>
      <c r="X51" s="245">
        <v>0</v>
      </c>
      <c r="Y51" s="245">
        <v>0</v>
      </c>
      <c r="Z51" s="245">
        <v>0</v>
      </c>
      <c r="AA51" s="245">
        <v>0</v>
      </c>
      <c r="AB51" s="245">
        <v>0</v>
      </c>
      <c r="AC51" s="245">
        <v>0</v>
      </c>
      <c r="AD51" s="245">
        <v>0</v>
      </c>
      <c r="AE51" s="245">
        <v>0</v>
      </c>
      <c r="AF51" s="243">
        <v>0</v>
      </c>
    </row>
    <row r="52" spans="1:33" ht="15" customHeight="1" x14ac:dyDescent="0.25">
      <c r="A52" s="192" t="s">
        <v>74</v>
      </c>
      <c r="B52" s="213">
        <v>0</v>
      </c>
      <c r="C52" s="214">
        <v>0</v>
      </c>
      <c r="D52" s="214">
        <v>1.1000000000000001</v>
      </c>
      <c r="E52" s="214">
        <v>1.3</v>
      </c>
      <c r="F52" s="215">
        <v>0</v>
      </c>
      <c r="G52" s="215">
        <v>0</v>
      </c>
      <c r="H52" s="215">
        <v>0</v>
      </c>
      <c r="I52" s="215">
        <v>0</v>
      </c>
      <c r="J52" s="215">
        <v>0</v>
      </c>
      <c r="K52" s="215">
        <v>0</v>
      </c>
      <c r="L52" s="215">
        <v>0</v>
      </c>
      <c r="M52" s="215">
        <v>0</v>
      </c>
      <c r="N52" s="215">
        <v>0</v>
      </c>
      <c r="O52" s="216">
        <v>0</v>
      </c>
      <c r="P52" s="216">
        <v>0</v>
      </c>
      <c r="Q52" s="218">
        <v>0</v>
      </c>
      <c r="R52" s="230">
        <v>0</v>
      </c>
      <c r="S52" s="230">
        <v>0</v>
      </c>
      <c r="T52" s="217">
        <v>0</v>
      </c>
      <c r="U52" s="245">
        <v>0</v>
      </c>
      <c r="V52" s="245">
        <v>0</v>
      </c>
      <c r="W52" s="245">
        <v>0</v>
      </c>
      <c r="X52" s="245">
        <v>0</v>
      </c>
      <c r="Y52" s="245">
        <v>0</v>
      </c>
      <c r="Z52" s="245">
        <v>0</v>
      </c>
      <c r="AA52" s="245">
        <v>0</v>
      </c>
      <c r="AB52" s="245">
        <v>0</v>
      </c>
      <c r="AC52" s="245">
        <v>0</v>
      </c>
      <c r="AD52" s="245">
        <v>0</v>
      </c>
      <c r="AE52" s="245">
        <v>0</v>
      </c>
      <c r="AF52" s="243">
        <v>0</v>
      </c>
    </row>
    <row r="53" spans="1:33" ht="15" customHeight="1" x14ac:dyDescent="0.25">
      <c r="A53" s="192" t="s">
        <v>171</v>
      </c>
      <c r="B53" s="213">
        <v>120</v>
      </c>
      <c r="C53" s="214">
        <v>178</v>
      </c>
      <c r="D53" s="214">
        <v>153.19999999999999</v>
      </c>
      <c r="E53" s="214">
        <v>388</v>
      </c>
      <c r="F53" s="215">
        <v>488.7</v>
      </c>
      <c r="G53" s="215">
        <v>375.9</v>
      </c>
      <c r="H53" s="215">
        <v>298.3</v>
      </c>
      <c r="I53" s="215">
        <v>555.70000000000005</v>
      </c>
      <c r="J53" s="215">
        <v>555</v>
      </c>
      <c r="K53" s="215">
        <v>1403</v>
      </c>
      <c r="L53" s="215">
        <v>1585.8</v>
      </c>
      <c r="M53" s="215">
        <v>1972.1</v>
      </c>
      <c r="N53" s="215">
        <v>1957.694</v>
      </c>
      <c r="O53" s="230">
        <v>2365.5770000000002</v>
      </c>
      <c r="P53" s="230">
        <v>1434.162</v>
      </c>
      <c r="Q53" s="231">
        <v>1730.3520000000001</v>
      </c>
      <c r="R53" s="230">
        <v>1141.2639999999999</v>
      </c>
      <c r="S53" s="217">
        <v>1308.4259999999999</v>
      </c>
      <c r="T53" s="217">
        <v>1930.8720000000001</v>
      </c>
      <c r="U53" s="245">
        <v>3014.78</v>
      </c>
      <c r="V53" s="245">
        <v>3396.33</v>
      </c>
      <c r="W53" s="245">
        <v>3652</v>
      </c>
      <c r="X53" s="245">
        <v>3826.2820000000002</v>
      </c>
      <c r="Y53" s="245">
        <v>4414.4650000000001</v>
      </c>
      <c r="Z53" s="245">
        <v>4262.9380000000001</v>
      </c>
      <c r="AA53" s="245">
        <v>4200.7430000000004</v>
      </c>
      <c r="AB53" s="245">
        <v>4623.4489999999996</v>
      </c>
      <c r="AC53" s="245">
        <v>3505.9960000000001</v>
      </c>
      <c r="AD53" s="245">
        <v>3482.652</v>
      </c>
      <c r="AE53" s="245">
        <v>3743.5479999999998</v>
      </c>
      <c r="AF53" s="243">
        <v>4067.002</v>
      </c>
    </row>
    <row r="54" spans="1:33" ht="15" customHeight="1" x14ac:dyDescent="0.25">
      <c r="A54" s="192" t="s">
        <v>75</v>
      </c>
      <c r="B54" s="213">
        <v>0</v>
      </c>
      <c r="C54" s="214">
        <v>0</v>
      </c>
      <c r="D54" s="214">
        <v>13</v>
      </c>
      <c r="E54" s="214">
        <v>8.9</v>
      </c>
      <c r="F54" s="215">
        <v>5</v>
      </c>
      <c r="G54" s="215">
        <v>3</v>
      </c>
      <c r="H54" s="215">
        <v>5</v>
      </c>
      <c r="I54" s="215">
        <v>9</v>
      </c>
      <c r="J54" s="215">
        <v>0</v>
      </c>
      <c r="K54" s="215">
        <v>482.8</v>
      </c>
      <c r="L54" s="215">
        <v>693.5</v>
      </c>
      <c r="M54" s="215">
        <v>254.08</v>
      </c>
      <c r="N54" s="215">
        <v>7.77</v>
      </c>
      <c r="O54" s="230">
        <v>226.57</v>
      </c>
      <c r="P54" s="230">
        <v>306.92</v>
      </c>
      <c r="Q54" s="218">
        <v>1257.73</v>
      </c>
      <c r="R54" s="230">
        <v>553.22</v>
      </c>
      <c r="S54" s="217">
        <v>590.37</v>
      </c>
      <c r="T54" s="217">
        <v>326.74</v>
      </c>
      <c r="U54" s="245">
        <v>202.95</v>
      </c>
      <c r="V54" s="245">
        <v>550.75</v>
      </c>
      <c r="W54" s="245">
        <v>959.61</v>
      </c>
      <c r="X54" s="245">
        <v>1070.67</v>
      </c>
      <c r="Y54" s="245">
        <v>839.52</v>
      </c>
      <c r="Z54" s="245">
        <v>366.03</v>
      </c>
      <c r="AA54" s="245">
        <v>84.86</v>
      </c>
      <c r="AB54" s="245">
        <v>257.95</v>
      </c>
      <c r="AC54" s="245">
        <v>201</v>
      </c>
      <c r="AD54" s="245">
        <v>564.51599999999996</v>
      </c>
      <c r="AE54" s="245">
        <v>533</v>
      </c>
      <c r="AF54" s="243">
        <v>293.89</v>
      </c>
    </row>
    <row r="55" spans="1:33" ht="15" customHeight="1" x14ac:dyDescent="0.25">
      <c r="A55" s="192" t="s">
        <v>172</v>
      </c>
      <c r="B55" s="213">
        <v>0</v>
      </c>
      <c r="C55" s="214">
        <v>0</v>
      </c>
      <c r="D55" s="214">
        <v>2697.8</v>
      </c>
      <c r="E55" s="214">
        <v>4027.1</v>
      </c>
      <c r="F55" s="215">
        <v>2935</v>
      </c>
      <c r="G55" s="215">
        <v>0</v>
      </c>
      <c r="H55" s="215">
        <v>0</v>
      </c>
      <c r="I55" s="215">
        <v>0</v>
      </c>
      <c r="J55" s="215">
        <v>0</v>
      </c>
      <c r="K55" s="215">
        <v>0</v>
      </c>
      <c r="L55" s="215">
        <v>0</v>
      </c>
      <c r="M55" s="215">
        <v>0</v>
      </c>
      <c r="N55" s="215">
        <v>0</v>
      </c>
      <c r="O55" s="216">
        <v>0</v>
      </c>
      <c r="P55" s="216">
        <v>0</v>
      </c>
      <c r="Q55" s="218">
        <v>0</v>
      </c>
      <c r="R55" s="230">
        <v>0</v>
      </c>
      <c r="S55" s="230">
        <v>0</v>
      </c>
      <c r="T55" s="217">
        <v>0</v>
      </c>
      <c r="U55" s="245">
        <v>0</v>
      </c>
      <c r="V55" s="245">
        <v>0</v>
      </c>
      <c r="W55" s="245">
        <v>0</v>
      </c>
      <c r="X55" s="245">
        <v>0</v>
      </c>
      <c r="Y55" s="245">
        <v>0</v>
      </c>
      <c r="Z55" s="245">
        <v>0</v>
      </c>
      <c r="AA55" s="245">
        <v>0</v>
      </c>
      <c r="AB55" s="245">
        <v>0</v>
      </c>
      <c r="AC55" s="245">
        <v>0</v>
      </c>
      <c r="AD55" s="245">
        <v>0</v>
      </c>
      <c r="AE55" s="245">
        <v>0</v>
      </c>
      <c r="AF55" s="243">
        <v>0</v>
      </c>
    </row>
    <row r="56" spans="1:33" ht="15" customHeight="1" x14ac:dyDescent="0.25">
      <c r="A56" s="192" t="s">
        <v>76</v>
      </c>
      <c r="B56" s="213">
        <v>42</v>
      </c>
      <c r="C56" s="214">
        <v>55</v>
      </c>
      <c r="D56" s="214">
        <v>57.6</v>
      </c>
      <c r="E56" s="214">
        <v>61.6</v>
      </c>
      <c r="F56" s="215">
        <v>68.400000000000006</v>
      </c>
      <c r="G56" s="215">
        <v>49.7</v>
      </c>
      <c r="H56" s="215">
        <v>35.5</v>
      </c>
      <c r="I56" s="215">
        <v>19.2</v>
      </c>
      <c r="J56" s="215">
        <v>20.5</v>
      </c>
      <c r="K56" s="215">
        <v>0</v>
      </c>
      <c r="L56" s="215">
        <v>0</v>
      </c>
      <c r="M56" s="215">
        <v>74.17</v>
      </c>
      <c r="N56" s="215">
        <v>0</v>
      </c>
      <c r="O56" s="216">
        <v>0</v>
      </c>
      <c r="P56" s="216">
        <v>0</v>
      </c>
      <c r="Q56" s="218">
        <v>0</v>
      </c>
      <c r="R56" s="230">
        <v>0</v>
      </c>
      <c r="S56" s="230">
        <v>0</v>
      </c>
      <c r="T56" s="217">
        <v>0</v>
      </c>
      <c r="U56" s="245">
        <v>0</v>
      </c>
      <c r="V56" s="245">
        <v>0</v>
      </c>
      <c r="W56" s="245">
        <v>0</v>
      </c>
      <c r="X56" s="245">
        <v>0</v>
      </c>
      <c r="Y56" s="245">
        <v>0</v>
      </c>
      <c r="Z56" s="245">
        <v>0</v>
      </c>
      <c r="AA56" s="245">
        <v>0</v>
      </c>
      <c r="AB56" s="245">
        <v>0</v>
      </c>
      <c r="AC56" s="245">
        <v>0</v>
      </c>
      <c r="AD56" s="245">
        <v>0</v>
      </c>
      <c r="AE56" s="245">
        <v>0</v>
      </c>
      <c r="AF56" s="243">
        <v>0</v>
      </c>
    </row>
    <row r="57" spans="1:33" ht="15" customHeight="1" x14ac:dyDescent="0.25">
      <c r="A57" s="192" t="s">
        <v>173</v>
      </c>
      <c r="B57" s="213">
        <v>16.399999999999999</v>
      </c>
      <c r="C57" s="214">
        <v>6</v>
      </c>
      <c r="D57" s="214">
        <v>5.5</v>
      </c>
      <c r="E57" s="214">
        <v>246</v>
      </c>
      <c r="F57" s="215">
        <v>110.3</v>
      </c>
      <c r="G57" s="215">
        <v>263</v>
      </c>
      <c r="H57" s="215">
        <v>290.39999999999998</v>
      </c>
      <c r="I57" s="215">
        <v>226.9</v>
      </c>
      <c r="J57" s="215">
        <v>187.6</v>
      </c>
      <c r="K57" s="215">
        <v>248</v>
      </c>
      <c r="L57" s="215">
        <v>223.4</v>
      </c>
      <c r="M57" s="215">
        <v>216.97</v>
      </c>
      <c r="N57" s="215">
        <v>248.61199999999999</v>
      </c>
      <c r="O57" s="230">
        <v>280.41700000000003</v>
      </c>
      <c r="P57" s="230">
        <v>260.79000000000002</v>
      </c>
      <c r="Q57" s="218">
        <v>274.01799999999997</v>
      </c>
      <c r="R57" s="230">
        <v>525.72400000000005</v>
      </c>
      <c r="S57" s="217">
        <v>236.51300000000001</v>
      </c>
      <c r="T57" s="217">
        <v>312.23200000000003</v>
      </c>
      <c r="U57" s="245">
        <v>405.67099999999999</v>
      </c>
      <c r="V57" s="245">
        <v>444.12400000000002</v>
      </c>
      <c r="W57" s="245">
        <v>369.44400000000002</v>
      </c>
      <c r="X57" s="245">
        <v>479.74099999999999</v>
      </c>
      <c r="Y57" s="245">
        <v>454.25200000000001</v>
      </c>
      <c r="Z57" s="245">
        <v>457.05399999999997</v>
      </c>
      <c r="AA57" s="245">
        <v>474.70800000000003</v>
      </c>
      <c r="AB57" s="245">
        <v>450.286</v>
      </c>
      <c r="AC57" s="245">
        <v>279.96899999999999</v>
      </c>
      <c r="AD57" s="245">
        <v>111.318</v>
      </c>
      <c r="AE57" s="245">
        <v>80.209999999999994</v>
      </c>
      <c r="AF57" s="243">
        <v>81.677000000000007</v>
      </c>
    </row>
    <row r="58" spans="1:33" ht="15" customHeight="1" x14ac:dyDescent="0.25">
      <c r="A58" s="192" t="s">
        <v>77</v>
      </c>
      <c r="B58" s="213"/>
      <c r="C58" s="214"/>
      <c r="D58" s="214"/>
      <c r="E58" s="214">
        <v>445</v>
      </c>
      <c r="F58" s="215">
        <v>507.8</v>
      </c>
      <c r="G58" s="215">
        <v>587.4</v>
      </c>
      <c r="H58" s="215">
        <v>3197.6</v>
      </c>
      <c r="I58" s="215">
        <v>2660.8</v>
      </c>
      <c r="J58" s="215">
        <v>4032.5</v>
      </c>
      <c r="K58" s="215">
        <v>3761.7</v>
      </c>
      <c r="L58" s="215">
        <v>4527.3999999999996</v>
      </c>
      <c r="M58" s="215">
        <v>4279</v>
      </c>
      <c r="N58" s="215">
        <v>4369.8100000000004</v>
      </c>
      <c r="O58" s="230">
        <v>3620.4870000000001</v>
      </c>
      <c r="P58" s="217">
        <v>1819.425</v>
      </c>
      <c r="Q58" s="240">
        <v>1519.4459999999999</v>
      </c>
      <c r="R58" s="230">
        <v>1244.2639999999999</v>
      </c>
      <c r="S58" s="217">
        <v>958.42200000000003</v>
      </c>
      <c r="T58" s="217">
        <v>215.77500000000001</v>
      </c>
      <c r="U58" s="242">
        <v>231.53</v>
      </c>
      <c r="V58" s="242">
        <v>871.86</v>
      </c>
      <c r="W58" s="245">
        <v>947.94399999999996</v>
      </c>
      <c r="X58" s="245">
        <v>1156.953</v>
      </c>
      <c r="Y58" s="245">
        <v>1186.3109999999999</v>
      </c>
      <c r="Z58" s="245">
        <v>1053.5640000000001</v>
      </c>
      <c r="AA58" s="245">
        <v>681.16</v>
      </c>
      <c r="AB58" s="245">
        <v>810.51499999999999</v>
      </c>
      <c r="AC58" s="245">
        <v>317.30799999999999</v>
      </c>
      <c r="AD58" s="245">
        <v>207.14</v>
      </c>
      <c r="AE58" s="245">
        <v>196.971</v>
      </c>
      <c r="AF58" s="243">
        <v>318.09100000000001</v>
      </c>
    </row>
    <row r="59" spans="1:33" ht="15" customHeight="1" x14ac:dyDescent="0.25">
      <c r="A59" s="192" t="s">
        <v>174</v>
      </c>
      <c r="B59" s="213">
        <v>34392</v>
      </c>
      <c r="C59" s="214">
        <v>34853</v>
      </c>
      <c r="D59" s="214">
        <v>30453.9</v>
      </c>
      <c r="E59" s="214">
        <v>53265.3</v>
      </c>
      <c r="F59" s="215">
        <v>24360.3</v>
      </c>
      <c r="G59" s="215">
        <v>21923.8</v>
      </c>
      <c r="H59" s="215">
        <v>20781.5</v>
      </c>
      <c r="I59" s="215">
        <v>22803.599999999999</v>
      </c>
      <c r="J59" s="215">
        <v>16419.5</v>
      </c>
      <c r="K59" s="215">
        <v>17339</v>
      </c>
      <c r="L59" s="215">
        <v>23423.1</v>
      </c>
      <c r="M59" s="215">
        <v>20432</v>
      </c>
      <c r="N59" s="215">
        <v>24314.766000000007</v>
      </c>
      <c r="O59" s="230">
        <v>27293.053</v>
      </c>
      <c r="P59" s="217">
        <v>21930.522000000001</v>
      </c>
      <c r="Q59" s="218">
        <v>20044.954000000002</v>
      </c>
      <c r="R59" s="230">
        <v>25091.215</v>
      </c>
      <c r="S59" s="217">
        <v>23264.207999999999</v>
      </c>
      <c r="T59" s="217">
        <v>20833.762999999999</v>
      </c>
      <c r="U59" s="245">
        <v>23361.29</v>
      </c>
      <c r="V59" s="245">
        <v>23469.72</v>
      </c>
      <c r="W59" s="245">
        <v>30326.159</v>
      </c>
      <c r="X59" s="245">
        <v>21710.562999999998</v>
      </c>
      <c r="Y59" s="245">
        <v>27793.115000000002</v>
      </c>
      <c r="Z59" s="245">
        <v>31175.263999999999</v>
      </c>
      <c r="AA59" s="245">
        <v>30503.955000000002</v>
      </c>
      <c r="AB59" s="245">
        <v>23470.777999999998</v>
      </c>
      <c r="AC59" s="245">
        <v>29819.866000000002</v>
      </c>
      <c r="AD59" s="245">
        <v>34994.546000000002</v>
      </c>
      <c r="AE59" s="245">
        <v>51792.624000000003</v>
      </c>
      <c r="AF59" s="243">
        <v>58777.517</v>
      </c>
    </row>
    <row r="60" spans="1:33" ht="15" customHeight="1" x14ac:dyDescent="0.25">
      <c r="A60" s="192" t="s">
        <v>175</v>
      </c>
      <c r="B60" s="213">
        <v>28796</v>
      </c>
      <c r="C60" s="214">
        <v>38636</v>
      </c>
      <c r="D60" s="214">
        <v>49769.2</v>
      </c>
      <c r="E60" s="214">
        <v>45582.6</v>
      </c>
      <c r="F60" s="215">
        <v>47632.1</v>
      </c>
      <c r="G60" s="215">
        <v>42020.2</v>
      </c>
      <c r="H60" s="215">
        <v>44566.5</v>
      </c>
      <c r="I60" s="215">
        <v>33664.199999999997</v>
      </c>
      <c r="J60" s="215">
        <v>44113.599999999999</v>
      </c>
      <c r="K60" s="215">
        <v>45675</v>
      </c>
      <c r="L60" s="215">
        <v>48224.9</v>
      </c>
      <c r="M60" s="215">
        <v>43580</v>
      </c>
      <c r="N60" s="215">
        <v>50438.760999999999</v>
      </c>
      <c r="O60" s="230">
        <v>55466.337</v>
      </c>
      <c r="P60" s="230">
        <v>52836.794000000031</v>
      </c>
      <c r="Q60" s="231">
        <v>43123.158000000003</v>
      </c>
      <c r="R60" s="217">
        <v>43870.932000000001</v>
      </c>
      <c r="S60" s="238">
        <v>40513.146999999997</v>
      </c>
      <c r="T60" s="238">
        <v>31442.705000000002</v>
      </c>
      <c r="U60" s="245">
        <v>30052.466</v>
      </c>
      <c r="V60" s="245">
        <v>37032.364999999998</v>
      </c>
      <c r="W60" s="245">
        <v>35543.877</v>
      </c>
      <c r="X60" s="245">
        <v>34516.014000000003</v>
      </c>
      <c r="Y60" s="245">
        <v>34102.925000000003</v>
      </c>
      <c r="Z60" s="245">
        <v>45015.468000000001</v>
      </c>
      <c r="AA60" s="245">
        <v>25916.036</v>
      </c>
      <c r="AB60" s="245">
        <v>31644.282999999999</v>
      </c>
      <c r="AC60" s="245">
        <v>33582.131999999998</v>
      </c>
      <c r="AD60" s="245">
        <v>30216.322</v>
      </c>
      <c r="AE60" s="245">
        <v>36284.218000000001</v>
      </c>
      <c r="AF60" s="243">
        <v>35908.82</v>
      </c>
    </row>
    <row r="61" spans="1:33" ht="15" customHeight="1" x14ac:dyDescent="0.25">
      <c r="A61" s="222" t="s">
        <v>78</v>
      </c>
      <c r="B61" s="223">
        <f t="shared" ref="B61:G61" si="12">SUM(B39:B60)</f>
        <v>67242.8</v>
      </c>
      <c r="C61" s="224">
        <f t="shared" si="12"/>
        <v>91197</v>
      </c>
      <c r="D61" s="224">
        <f t="shared" si="12"/>
        <v>90319.6</v>
      </c>
      <c r="E61" s="224">
        <f t="shared" si="12"/>
        <v>116243.9</v>
      </c>
      <c r="F61" s="225">
        <f t="shared" si="12"/>
        <v>86144.5</v>
      </c>
      <c r="G61" s="225">
        <f t="shared" si="12"/>
        <v>83536.7</v>
      </c>
      <c r="H61" s="225">
        <f t="shared" ref="H61:N61" si="13">SUM(H39:H60)</f>
        <v>84920.1</v>
      </c>
      <c r="I61" s="225">
        <f t="shared" si="13"/>
        <v>76902.799999999988</v>
      </c>
      <c r="J61" s="225">
        <f t="shared" si="13"/>
        <v>98969.2</v>
      </c>
      <c r="K61" s="225">
        <f t="shared" si="13"/>
        <v>125979.20000000001</v>
      </c>
      <c r="L61" s="225">
        <f t="shared" si="13"/>
        <v>120302.39999999999</v>
      </c>
      <c r="M61" s="225">
        <f t="shared" si="13"/>
        <v>107079.613</v>
      </c>
      <c r="N61" s="225">
        <f t="shared" si="13"/>
        <v>120207.07799999999</v>
      </c>
      <c r="O61" s="225">
        <f t="shared" ref="O61:Q61" si="14">SUM(O39:O60)</f>
        <v>125181.024</v>
      </c>
      <c r="P61" s="225">
        <f t="shared" si="14"/>
        <v>118640.27100000004</v>
      </c>
      <c r="Q61" s="224">
        <f t="shared" si="14"/>
        <v>103661.97899999999</v>
      </c>
      <c r="R61" s="225">
        <v>108668.00300000001</v>
      </c>
      <c r="S61" s="225">
        <v>111235.151</v>
      </c>
      <c r="T61" s="226">
        <f>SUM(T39:T60)</f>
        <v>115648.18100000001</v>
      </c>
      <c r="U61" s="227">
        <v>113885.18000000001</v>
      </c>
      <c r="V61" s="227">
        <v>134908.83100000001</v>
      </c>
      <c r="W61" s="227">
        <v>133736.201</v>
      </c>
      <c r="X61" s="227">
        <v>125129.01499999998</v>
      </c>
      <c r="Y61" s="227">
        <v>135586.03200000001</v>
      </c>
      <c r="Z61" s="227">
        <v>145739.08799999999</v>
      </c>
      <c r="AA61" s="227">
        <v>119988.823</v>
      </c>
      <c r="AB61" s="227">
        <f t="shared" ref="AB61" si="15">SUM(AB39:AB60)</f>
        <v>113259.67599999998</v>
      </c>
      <c r="AC61" s="227">
        <f t="shared" ref="AC61:AF61" si="16">SUM(AC39:AC60)</f>
        <v>120116.446</v>
      </c>
      <c r="AD61" s="227">
        <f t="shared" si="16"/>
        <v>110060.05900000001</v>
      </c>
      <c r="AE61" s="227">
        <f t="shared" si="16"/>
        <v>134420.389</v>
      </c>
      <c r="AF61" s="228">
        <f t="shared" si="16"/>
        <v>132042.95699999999</v>
      </c>
    </row>
    <row r="62" spans="1:33" ht="15" customHeight="1" x14ac:dyDescent="0.25">
      <c r="A62" s="192" t="s">
        <v>79</v>
      </c>
      <c r="B62" s="213">
        <v>0</v>
      </c>
      <c r="C62" s="214">
        <v>0</v>
      </c>
      <c r="D62" s="214">
        <v>22985.8</v>
      </c>
      <c r="E62" s="214">
        <v>30004</v>
      </c>
      <c r="F62" s="215">
        <v>22957.3</v>
      </c>
      <c r="G62" s="215">
        <v>26146.400000000001</v>
      </c>
      <c r="H62" s="215">
        <v>22896.7</v>
      </c>
      <c r="I62" s="215">
        <v>19315.099999999999</v>
      </c>
      <c r="J62" s="215">
        <v>25670.400000000001</v>
      </c>
      <c r="K62" s="215">
        <v>26225.58</v>
      </c>
      <c r="L62" s="215">
        <v>32805</v>
      </c>
      <c r="M62" s="215">
        <v>30159.71</v>
      </c>
      <c r="N62" s="215">
        <v>17391.599999999999</v>
      </c>
      <c r="O62" s="230">
        <v>22537.188000000002</v>
      </c>
      <c r="P62" s="217">
        <v>15928.081</v>
      </c>
      <c r="Q62" s="218">
        <v>13782.816000000001</v>
      </c>
      <c r="R62" s="217">
        <v>14511.915999999999</v>
      </c>
      <c r="S62" s="232">
        <v>12852.601000000001</v>
      </c>
      <c r="T62" s="232">
        <v>11941.879000000001</v>
      </c>
      <c r="U62" s="233">
        <v>7679.9830000000002</v>
      </c>
      <c r="V62" s="233">
        <v>7147.81</v>
      </c>
      <c r="W62" s="233">
        <v>7621.1059999999998</v>
      </c>
      <c r="X62" s="233">
        <v>10490.602000000001</v>
      </c>
      <c r="Y62" s="233">
        <v>13009.431</v>
      </c>
      <c r="Z62" s="233">
        <v>15001.665000000001</v>
      </c>
      <c r="AA62" s="233">
        <v>10923.218999999999</v>
      </c>
      <c r="AB62" s="233">
        <v>14874.576999999999</v>
      </c>
      <c r="AC62" s="233">
        <v>13225.731</v>
      </c>
      <c r="AD62" s="233">
        <v>21469.987000000001</v>
      </c>
      <c r="AE62" s="233">
        <v>18749.887999999999</v>
      </c>
      <c r="AF62" s="234">
        <v>15273.409</v>
      </c>
      <c r="AG62" s="212"/>
    </row>
    <row r="63" spans="1:33" ht="15" customHeight="1" x14ac:dyDescent="0.25">
      <c r="A63" s="192" t="s">
        <v>80</v>
      </c>
      <c r="B63" s="213">
        <v>0</v>
      </c>
      <c r="C63" s="214">
        <v>0</v>
      </c>
      <c r="D63" s="214">
        <v>2000</v>
      </c>
      <c r="E63" s="214">
        <v>3000</v>
      </c>
      <c r="F63" s="215">
        <v>5000</v>
      </c>
      <c r="G63" s="215">
        <v>6321.3</v>
      </c>
      <c r="H63" s="215">
        <v>3590.2</v>
      </c>
      <c r="I63" s="215">
        <v>2457.6</v>
      </c>
      <c r="J63" s="215">
        <v>3486.1</v>
      </c>
      <c r="K63" s="215">
        <v>9684.7999999999993</v>
      </c>
      <c r="L63" s="215">
        <v>12339</v>
      </c>
      <c r="M63" s="215">
        <v>14937</v>
      </c>
      <c r="N63" s="215">
        <v>13007.8</v>
      </c>
      <c r="O63" s="230">
        <v>9644.35</v>
      </c>
      <c r="P63" s="217">
        <v>12429.565000000001</v>
      </c>
      <c r="Q63" s="218">
        <v>16406.967000000001</v>
      </c>
      <c r="R63" s="230">
        <v>21474.774000000001</v>
      </c>
      <c r="S63" s="217">
        <v>21948.964</v>
      </c>
      <c r="T63" s="217">
        <v>39367.161999999997</v>
      </c>
      <c r="U63" s="236">
        <v>42740.525000000001</v>
      </c>
      <c r="V63" s="236">
        <v>47664.752</v>
      </c>
      <c r="W63" s="236">
        <v>50142.98</v>
      </c>
      <c r="X63" s="236">
        <v>46288.875999999997</v>
      </c>
      <c r="Y63" s="236">
        <v>41991.46</v>
      </c>
      <c r="Z63" s="236">
        <v>57118.004999999997</v>
      </c>
      <c r="AA63" s="236">
        <v>48276.021000000001</v>
      </c>
      <c r="AB63" s="236">
        <v>45174.419000000002</v>
      </c>
      <c r="AC63" s="236">
        <v>35156.54</v>
      </c>
      <c r="AD63" s="236">
        <v>36181.525000000001</v>
      </c>
      <c r="AE63" s="236">
        <v>33185.767999999996</v>
      </c>
      <c r="AF63" s="237">
        <v>32456.735000000001</v>
      </c>
      <c r="AG63" s="212"/>
    </row>
    <row r="64" spans="1:33" ht="15" customHeight="1" x14ac:dyDescent="0.25">
      <c r="A64" s="192" t="s">
        <v>176</v>
      </c>
      <c r="B64" s="213">
        <v>112425</v>
      </c>
      <c r="C64" s="214">
        <v>141922</v>
      </c>
      <c r="D64" s="214">
        <v>157881</v>
      </c>
      <c r="E64" s="214">
        <v>165054.79999999999</v>
      </c>
      <c r="F64" s="215">
        <v>243772.7</v>
      </c>
      <c r="G64" s="215">
        <v>236198.6</v>
      </c>
      <c r="H64" s="215">
        <v>326687.8</v>
      </c>
      <c r="I64" s="215">
        <v>335861.1</v>
      </c>
      <c r="J64" s="215">
        <v>360818.5</v>
      </c>
      <c r="K64" s="215">
        <v>424569</v>
      </c>
      <c r="L64" s="215">
        <v>402799.2</v>
      </c>
      <c r="M64" s="215">
        <v>420889.14500000002</v>
      </c>
      <c r="N64" s="215">
        <v>444016.87099999998</v>
      </c>
      <c r="O64" s="230">
        <v>449791.26299999998</v>
      </c>
      <c r="P64" s="217">
        <v>503967.33299999998</v>
      </c>
      <c r="Q64" s="240">
        <v>460896.223</v>
      </c>
      <c r="R64" s="230">
        <v>371530.90500000003</v>
      </c>
      <c r="S64" s="230">
        <v>307004.66399999999</v>
      </c>
      <c r="T64" s="217">
        <v>340794.21899999998</v>
      </c>
      <c r="U64" s="236">
        <v>368356.09399999998</v>
      </c>
      <c r="V64" s="236">
        <v>362448.09299999999</v>
      </c>
      <c r="W64" s="236">
        <v>387195.73700000002</v>
      </c>
      <c r="X64" s="236">
        <v>349139.44</v>
      </c>
      <c r="Y64" s="236">
        <v>375461.641</v>
      </c>
      <c r="Z64" s="236">
        <v>289021.53200000001</v>
      </c>
      <c r="AA64" s="236">
        <v>299358.609</v>
      </c>
      <c r="AB64" s="236">
        <v>286540.90700000001</v>
      </c>
      <c r="AC64" s="236">
        <v>296312.43599999999</v>
      </c>
      <c r="AD64" s="236">
        <v>275186.59299999999</v>
      </c>
      <c r="AE64" s="236">
        <v>262383.64</v>
      </c>
      <c r="AF64" s="237">
        <v>237871.19699999999</v>
      </c>
      <c r="AG64" s="212"/>
    </row>
    <row r="65" spans="1:33" ht="15" customHeight="1" x14ac:dyDescent="0.25">
      <c r="A65" s="192" t="s">
        <v>177</v>
      </c>
      <c r="B65" s="213">
        <v>91348</v>
      </c>
      <c r="C65" s="214">
        <v>152589</v>
      </c>
      <c r="D65" s="214">
        <v>208722.4</v>
      </c>
      <c r="E65" s="214">
        <v>210240</v>
      </c>
      <c r="F65" s="215">
        <v>235562</v>
      </c>
      <c r="G65" s="215">
        <v>269619.59999999998</v>
      </c>
      <c r="H65" s="215">
        <v>278750.2</v>
      </c>
      <c r="I65" s="215">
        <v>283440.33</v>
      </c>
      <c r="J65" s="215">
        <v>309407.40000000002</v>
      </c>
      <c r="K65" s="215">
        <v>348472</v>
      </c>
      <c r="L65" s="215">
        <v>400173.7</v>
      </c>
      <c r="M65" s="215">
        <v>403552.16800000001</v>
      </c>
      <c r="N65" s="215">
        <v>480116.68399999995</v>
      </c>
      <c r="O65" s="230">
        <v>548492.54099999997</v>
      </c>
      <c r="P65" s="217">
        <v>543683.005</v>
      </c>
      <c r="Q65" s="231">
        <v>511379.82199999999</v>
      </c>
      <c r="R65" s="246">
        <v>496052.30800000002</v>
      </c>
      <c r="S65" s="246">
        <v>475350.761</v>
      </c>
      <c r="T65" s="238">
        <v>445943.565</v>
      </c>
      <c r="U65" s="220">
        <v>426094.96100000001</v>
      </c>
      <c r="V65" s="220">
        <v>475578.08600000001</v>
      </c>
      <c r="W65" s="220">
        <v>480238.17499999999</v>
      </c>
      <c r="X65" s="220">
        <v>492035.23300000001</v>
      </c>
      <c r="Y65" s="220">
        <v>519561.34899999999</v>
      </c>
      <c r="Z65" s="220">
        <v>503171.11</v>
      </c>
      <c r="AA65" s="220">
        <v>501527.67200000002</v>
      </c>
      <c r="AB65" s="220">
        <v>508708.38900000002</v>
      </c>
      <c r="AC65" s="220">
        <v>555494.09100000001</v>
      </c>
      <c r="AD65" s="220">
        <v>630472.74199999997</v>
      </c>
      <c r="AE65" s="220">
        <v>622227.75600000005</v>
      </c>
      <c r="AF65" s="221">
        <v>582376.66399999999</v>
      </c>
      <c r="AG65" s="212"/>
    </row>
    <row r="66" spans="1:33" ht="15" customHeight="1" x14ac:dyDescent="0.25">
      <c r="A66" s="222" t="s">
        <v>81</v>
      </c>
      <c r="B66" s="223">
        <f t="shared" ref="B66:M66" si="17">SUM(B62:B65)</f>
        <v>203773</v>
      </c>
      <c r="C66" s="224">
        <f t="shared" si="17"/>
        <v>294511</v>
      </c>
      <c r="D66" s="224">
        <f t="shared" si="17"/>
        <v>391589.19999999995</v>
      </c>
      <c r="E66" s="224">
        <f t="shared" si="17"/>
        <v>408298.8</v>
      </c>
      <c r="F66" s="225">
        <f t="shared" si="17"/>
        <v>507292</v>
      </c>
      <c r="G66" s="225">
        <f t="shared" si="17"/>
        <v>538285.89999999991</v>
      </c>
      <c r="H66" s="225">
        <f t="shared" si="17"/>
        <v>631924.9</v>
      </c>
      <c r="I66" s="225">
        <f t="shared" si="17"/>
        <v>641074.13</v>
      </c>
      <c r="J66" s="225">
        <f t="shared" si="17"/>
        <v>699382.4</v>
      </c>
      <c r="K66" s="225">
        <f t="shared" si="17"/>
        <v>808951.38</v>
      </c>
      <c r="L66" s="225">
        <f t="shared" si="17"/>
        <v>848116.9</v>
      </c>
      <c r="M66" s="225">
        <f t="shared" si="17"/>
        <v>869538.02300000004</v>
      </c>
      <c r="N66" s="225">
        <f t="shared" ref="N66:Q66" si="18">SUM(N62:N65)</f>
        <v>954532.95499999996</v>
      </c>
      <c r="O66" s="225">
        <f t="shared" si="18"/>
        <v>1030465.3419999999</v>
      </c>
      <c r="P66" s="225">
        <f t="shared" si="18"/>
        <v>1076007.9839999999</v>
      </c>
      <c r="Q66" s="224">
        <f t="shared" si="18"/>
        <v>1002465.828</v>
      </c>
      <c r="R66" s="247">
        <v>903569.90300000005</v>
      </c>
      <c r="S66" s="225">
        <v>817156.99</v>
      </c>
      <c r="T66" s="226">
        <f>SUM(T62:T65)</f>
        <v>838046.82499999995</v>
      </c>
      <c r="U66" s="248">
        <v>844871.56299999997</v>
      </c>
      <c r="V66" s="248">
        <v>892838.74099999992</v>
      </c>
      <c r="W66" s="227">
        <v>925197.99800000002</v>
      </c>
      <c r="X66" s="227">
        <v>897954.15100000007</v>
      </c>
      <c r="Y66" s="227">
        <v>950023.88100000005</v>
      </c>
      <c r="Z66" s="227">
        <v>864312.31199999992</v>
      </c>
      <c r="AA66" s="249">
        <v>860085.52099999995</v>
      </c>
      <c r="AB66" s="249">
        <f t="shared" ref="AB66" si="19">SUM(AB62:AB65)</f>
        <v>855298.29200000002</v>
      </c>
      <c r="AC66" s="248">
        <f t="shared" ref="AC66:AF66" si="20">SUM(AC62:AC65)</f>
        <v>900188.79799999995</v>
      </c>
      <c r="AD66" s="248">
        <f t="shared" si="20"/>
        <v>963310.84699999995</v>
      </c>
      <c r="AE66" s="248">
        <f t="shared" si="20"/>
        <v>936547.05200000014</v>
      </c>
      <c r="AF66" s="228">
        <f t="shared" si="20"/>
        <v>867978.005</v>
      </c>
    </row>
    <row r="67" spans="1:33" ht="15" customHeight="1" thickBot="1" x14ac:dyDescent="0.3">
      <c r="A67" s="192" t="s">
        <v>106</v>
      </c>
      <c r="B67" s="213"/>
      <c r="C67" s="214"/>
      <c r="D67" s="214"/>
      <c r="E67" s="214"/>
      <c r="F67" s="215">
        <v>2</v>
      </c>
      <c r="G67" s="215"/>
      <c r="H67" s="215"/>
      <c r="I67" s="215"/>
      <c r="J67" s="215">
        <v>1</v>
      </c>
      <c r="K67" s="215">
        <v>-1</v>
      </c>
      <c r="L67" s="216">
        <v>-0.2</v>
      </c>
      <c r="M67" s="216">
        <v>0</v>
      </c>
      <c r="N67" s="215"/>
      <c r="O67" s="250"/>
      <c r="P67" s="250"/>
      <c r="Q67" s="251"/>
      <c r="R67" s="250"/>
      <c r="S67" s="252"/>
      <c r="T67" s="253"/>
      <c r="U67" s="254"/>
      <c r="V67" s="254"/>
      <c r="W67" s="255"/>
      <c r="X67" s="255"/>
      <c r="Y67" s="255"/>
      <c r="Z67" s="255"/>
      <c r="AA67" s="253"/>
      <c r="AB67" s="253"/>
      <c r="AC67" s="254"/>
      <c r="AD67" s="254"/>
      <c r="AE67" s="254"/>
      <c r="AF67" s="256"/>
    </row>
    <row r="68" spans="1:33" ht="15" thickBot="1" x14ac:dyDescent="0.3">
      <c r="A68" s="257" t="s">
        <v>41</v>
      </c>
      <c r="B68" s="258">
        <f>B7+B13+B22+B38+B61+B66</f>
        <v>839678.20000000007</v>
      </c>
      <c r="C68" s="259">
        <f>C7+C13+C22+C38+C61+C66</f>
        <v>974687</v>
      </c>
      <c r="D68" s="259">
        <f>D7+D13+D22+D38+D61+D66</f>
        <v>1118913.3999999999</v>
      </c>
      <c r="E68" s="259">
        <f>E7+E13+E22+E38+E61+E66+E67</f>
        <v>1257224.7</v>
      </c>
      <c r="F68" s="260">
        <f>F7+F13+F22+F38+F61+F66+F67</f>
        <v>1338446.3999999999</v>
      </c>
      <c r="G68" s="260">
        <f>G7+G13+G22+G38+G61+G66+G67</f>
        <v>1462662.5999999999</v>
      </c>
      <c r="H68" s="260">
        <f>H7+H13+H22+H38+H61+H66+H67</f>
        <v>1605740.8</v>
      </c>
      <c r="I68" s="260">
        <f>SUM(I5:I66)-I7-I13-I22-I38-I61-I66-I67</f>
        <v>1626458.2300000004</v>
      </c>
      <c r="J68" s="260">
        <f t="shared" ref="J68:Q68" si="21">J7+J13+J22+J38+J61+J66+J67</f>
        <v>1765814.1</v>
      </c>
      <c r="K68" s="260">
        <f t="shared" si="21"/>
        <v>1999099.48</v>
      </c>
      <c r="L68" s="260">
        <f t="shared" si="21"/>
        <v>2029260.9000000001</v>
      </c>
      <c r="M68" s="260">
        <f t="shared" si="21"/>
        <v>2116879.5659999996</v>
      </c>
      <c r="N68" s="260">
        <f t="shared" si="21"/>
        <v>2317063.8429999999</v>
      </c>
      <c r="O68" s="261">
        <f t="shared" si="21"/>
        <v>2523367.3079999997</v>
      </c>
      <c r="P68" s="260">
        <f>P7+P13+P22+P38+P61+P66+P67</f>
        <v>2494050.2680000002</v>
      </c>
      <c r="Q68" s="259">
        <f t="shared" si="21"/>
        <v>2437568.9450000003</v>
      </c>
      <c r="R68" s="260">
        <v>2326145.8990000002</v>
      </c>
      <c r="S68" s="260">
        <v>2082630.898</v>
      </c>
      <c r="T68" s="262">
        <f>T7+T13+T22+T38+T61+T66+T67</f>
        <v>2163958.9510000004</v>
      </c>
      <c r="U68" s="263">
        <v>2306144.1329999999</v>
      </c>
      <c r="V68" s="263">
        <f t="shared" ref="V68:AB68" si="22">V7+V13+V22+V38+V61+V66+V67</f>
        <v>2391498.69</v>
      </c>
      <c r="W68" s="263">
        <f t="shared" si="22"/>
        <v>2390865.301</v>
      </c>
      <c r="X68" s="263">
        <f t="shared" si="22"/>
        <v>2299320.1449999996</v>
      </c>
      <c r="Y68" s="263">
        <v>2369248.1350000002</v>
      </c>
      <c r="Z68" s="263">
        <f t="shared" si="22"/>
        <v>2226076.926</v>
      </c>
      <c r="AA68" s="263">
        <v>2286973.89</v>
      </c>
      <c r="AB68" s="263">
        <f t="shared" si="22"/>
        <v>2306876.6310000001</v>
      </c>
      <c r="AC68" s="263">
        <f t="shared" ref="AC68:AF68" si="23">AC7+AC13+AC22+AC38+AC61+AC66+AC67</f>
        <v>2402753.2060000002</v>
      </c>
      <c r="AD68" s="264">
        <f t="shared" si="23"/>
        <v>2501960.2379999999</v>
      </c>
      <c r="AE68" s="264">
        <f t="shared" si="23"/>
        <v>2444215.6</v>
      </c>
      <c r="AF68" s="265">
        <f t="shared" si="23"/>
        <v>2401988.0490000001</v>
      </c>
    </row>
    <row r="69" spans="1:33" ht="16.5" thickTop="1" x14ac:dyDescent="0.25">
      <c r="A69" s="16" t="s">
        <v>178</v>
      </c>
      <c r="P69" s="39"/>
    </row>
    <row r="70" spans="1:33" x14ac:dyDescent="0.25">
      <c r="A70" s="48" t="s">
        <v>179</v>
      </c>
      <c r="T70" s="13"/>
      <c r="U70" s="13"/>
      <c r="V70" s="13"/>
      <c r="W70" s="13"/>
      <c r="X70" s="13"/>
      <c r="Y70" s="13"/>
      <c r="Z70" s="13"/>
      <c r="AA70" s="13"/>
      <c r="AB70" s="13"/>
      <c r="AC70" s="13"/>
      <c r="AD70" s="13"/>
      <c r="AE70" s="13"/>
      <c r="AF70" s="13"/>
    </row>
    <row r="71" spans="1:33" x14ac:dyDescent="0.25">
      <c r="A71" s="48" t="s">
        <v>180</v>
      </c>
      <c r="Q71" s="13"/>
      <c r="R71" s="13"/>
      <c r="T71" s="13"/>
      <c r="U71" s="13"/>
      <c r="V71" s="13"/>
      <c r="W71" s="13"/>
      <c r="X71" s="13"/>
      <c r="Y71" s="13"/>
      <c r="Z71" s="13"/>
      <c r="AA71" s="13"/>
      <c r="AB71" s="13"/>
      <c r="AC71" s="13"/>
      <c r="AD71" s="13"/>
      <c r="AE71" s="13"/>
      <c r="AF71" s="13"/>
    </row>
    <row r="72" spans="1:33" x14ac:dyDescent="0.25">
      <c r="A72" s="48" t="s">
        <v>181</v>
      </c>
    </row>
    <row r="73" spans="1:33" x14ac:dyDescent="0.25">
      <c r="A73" s="42" t="s">
        <v>182</v>
      </c>
    </row>
    <row r="74" spans="1:33" x14ac:dyDescent="0.25">
      <c r="A74" s="48" t="s">
        <v>183</v>
      </c>
    </row>
    <row r="75" spans="1:33" x14ac:dyDescent="0.25">
      <c r="A75" s="48" t="s">
        <v>184</v>
      </c>
    </row>
    <row r="76" spans="1:33" x14ac:dyDescent="0.25">
      <c r="A76" s="48" t="s">
        <v>139</v>
      </c>
    </row>
  </sheetData>
  <sheetProtection algorithmName="SHA-512" hashValue="wzq9CNVCg0T3VB9YsqtkSw6X9/8Iv/elRMJh6Kz+l+9gpoJZKA4UAMz71gVVO7K/RT6aYr2EnHUnEb3mMYE37A==" saltValue="bD88DwPoEgVJ+FEWCPsg7g==" spinCount="100000" sheet="1" objects="1" scenarios="1"/>
  <phoneticPr fontId="3" type="noConversion"/>
  <pageMargins left="1" right="1" top="1" bottom="1" header="0.5" footer="0.5"/>
  <pageSetup scale="35" orientation="portrait" r:id="rId1"/>
  <headerFooter>
    <oddHeader xml:space="preserve">&amp;L&amp;"Segoe UI,Bold"2022 Material Recovery and Waste Generation Rates Report&amp;R&amp;"Times New Roman,Bold"&amp;14 </oddHeader>
    <oddFooter>&amp;L&amp;"Segoe UI,Regular"&amp;9Oregon Department of Environmental Quality&amp;C
&amp;R&amp;"Segoe UI,Regular"&amp;9 2022 Material Recovery and Waste Generation Rates</oddFooter>
  </headerFooter>
  <ignoredErrors>
    <ignoredError sqref="I68 Q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B106CA2C11604DBD6905309554CCDB" ma:contentTypeVersion="5" ma:contentTypeDescription="Create a new document." ma:contentTypeScope="" ma:versionID="1d019b096993553311a2b47d9cb3d4cd">
  <xsd:schema xmlns:xsd="http://www.w3.org/2001/XMLSchema" xmlns:xs="http://www.w3.org/2001/XMLSchema" xmlns:p="http://schemas.microsoft.com/office/2006/metadata/properties" xmlns:ns1="http://schemas.microsoft.com/sharepoint/v3" xmlns:ns2="dc18a3b2-3086-4ce2-b39d-ebd996d20923" xmlns:ns3="4d0624c3-f678-473a-aaed-aa14d03be472" targetNamespace="http://schemas.microsoft.com/office/2006/metadata/properties" ma:root="true" ma:fieldsID="a456ce34c370e4c3e5e53ffa9a2257cc" ns1:_="" ns2:_="" ns3:_="">
    <xsd:import namespace="http://schemas.microsoft.com/sharepoint/v3"/>
    <xsd:import namespace="dc18a3b2-3086-4ce2-b39d-ebd996d20923"/>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s" minOccurs="0"/>
                <xsd:element ref="ns2:Document_x0020_Description" minOccurs="0"/>
                <xsd:element ref="ns3:SharedWithUsers" minOccurs="0"/>
                <xsd:element ref="ns2:Third_x002d_Party_x0020_Do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18a3b2-3086-4ce2-b39d-ebd996d20923" elementFormDefault="qualified">
    <xsd:import namespace="http://schemas.microsoft.com/office/2006/documentManagement/types"/>
    <xsd:import namespace="http://schemas.microsoft.com/office/infopath/2007/PartnerControls"/>
    <xsd:element name="Tags" ma:index="10" nillable="true" ma:displayName="Tags" ma:internalName="Tags">
      <xsd:simpleType>
        <xsd:restriction base="dms:Text">
          <xsd:maxLength value="255"/>
        </xsd:restriction>
      </xsd:simpleType>
    </xsd:element>
    <xsd:element name="Document_x0020_Description" ma:index="11" nillable="true" ma:displayName="Document Description" ma:internalName="Document_x0020_Description">
      <xsd:simpleType>
        <xsd:restriction base="dms:Note">
          <xsd:maxLength value="255"/>
        </xsd:restriction>
      </xsd:simpleType>
    </xsd:element>
    <xsd:element name="Third_x002d_Party_x0020_Doc" ma:index="13" nillable="true" ma:displayName="Third-Party Doc" ma:default="Unspecified" ma:format="Dropdown" ma:internalName="Third_x002d_Party_x0020_Doc">
      <xsd:simpleType>
        <xsd:restriction base="dms:Choice">
          <xsd:enumeration value="Unspecified"/>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Description xmlns="dc18a3b2-3086-4ce2-b39d-ebd996d20923" xsi:nil="true"/>
    <PublishingExpirationDate xmlns="http://schemas.microsoft.com/sharepoint/v3" xsi:nil="true"/>
    <Tags xmlns="dc18a3b2-3086-4ce2-b39d-ebd996d20923" xsi:nil="true"/>
    <PublishingStartDate xmlns="http://schemas.microsoft.com/sharepoint/v3" xsi:nil="true"/>
    <Third_x002d_Party_x0020_Doc xmlns="dc18a3b2-3086-4ce2-b39d-ebd996d20923">Unspecified</Third_x002d_Party_x0020_Doc>
  </documentManagement>
</p:properties>
</file>

<file path=customXml/itemProps1.xml><?xml version="1.0" encoding="utf-8"?>
<ds:datastoreItem xmlns:ds="http://schemas.openxmlformats.org/officeDocument/2006/customXml" ds:itemID="{498A3766-CDD8-47BF-8CB7-8D507376192F}"/>
</file>

<file path=customXml/itemProps2.xml><?xml version="1.0" encoding="utf-8"?>
<ds:datastoreItem xmlns:ds="http://schemas.openxmlformats.org/officeDocument/2006/customXml" ds:itemID="{506BCA6D-C63D-4297-A99A-6E9AE06FAA9A}"/>
</file>

<file path=customXml/itemProps3.xml><?xml version="1.0" encoding="utf-8"?>
<ds:datastoreItem xmlns:ds="http://schemas.openxmlformats.org/officeDocument/2006/customXml" ds:itemID="{DCAB1E2B-BFC5-46A6-B1A9-7106D6DD0D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 Page</vt:lpstr>
      <vt:lpstr>Table 1</vt:lpstr>
      <vt:lpstr>Table 2</vt:lpstr>
      <vt:lpstr>Table 3</vt:lpstr>
      <vt:lpstr>Table 4</vt:lpstr>
      <vt:lpstr>Table 5</vt:lpstr>
      <vt:lpstr>Table 6</vt:lpstr>
      <vt:lpstr>Table 7</vt:lpstr>
      <vt:lpstr>Table 8</vt:lpstr>
      <vt:lpstr>Table 9</vt:lpstr>
      <vt:lpstr>Disposition96</vt:lpstr>
      <vt:lpstr>'Table 1'!Print_Area</vt:lpstr>
      <vt:lpstr>'Table 2'!Print_Area</vt:lpstr>
      <vt:lpstr>'Table 3'!Print_Area</vt:lpstr>
      <vt:lpstr>'Table 4'!Print_Area</vt:lpstr>
      <vt:lpstr>'Table 5'!Print_Area</vt:lpstr>
      <vt:lpstr>'Table 6'!Print_Area</vt:lpstr>
      <vt:lpstr>'Table 7'!Print_Area</vt:lpstr>
      <vt:lpstr>'Table 8'!Print_Area</vt:lpstr>
      <vt:lpstr>'Table 9'!Print_Area</vt:lpstr>
      <vt:lpstr>'Table 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Oregon</dc:creator>
  <cp:lastModifiedBy>SHEPPERD Michelle</cp:lastModifiedBy>
  <cp:lastPrinted>2020-04-20T16:41:40Z</cp:lastPrinted>
  <dcterms:created xsi:type="dcterms:W3CDTF">1997-04-15T16:18:03Z</dcterms:created>
  <dcterms:modified xsi:type="dcterms:W3CDTF">2024-05-15T22:30:08Z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-13841824</vt:i4>
  </property>
  <property fmtid="{D5CDD505-2E9C-101B-9397-08002B2CF9AE}" pid="3" name="_EmailSubject">
    <vt:lpwstr>Updated Tables 1 - 9</vt:lpwstr>
  </property>
  <property fmtid="{D5CDD505-2E9C-101B-9397-08002B2CF9AE}" pid="4" name="_AuthorEmail">
    <vt:lpwstr>Allaway.David@deq.state.or.us</vt:lpwstr>
  </property>
  <property fmtid="{D5CDD505-2E9C-101B-9397-08002B2CF9AE}" pid="5" name="_AuthorEmailDisplayName">
    <vt:lpwstr>ALLAWAY David</vt:lpwstr>
  </property>
  <property fmtid="{D5CDD505-2E9C-101B-9397-08002B2CF9AE}" pid="6" name="_PreviousAdHocReviewCycleID">
    <vt:i4>-954192106</vt:i4>
  </property>
  <property fmtid="{D5CDD505-2E9C-101B-9397-08002B2CF9AE}" pid="7" name="_ReviewingToolsShownOnce">
    <vt:lpwstr/>
  </property>
  <property fmtid="{D5CDD505-2E9C-101B-9397-08002B2CF9AE}" pid="8" name="MSIP_Label_0bef47d3-7438-460f-b1fd-1b90a7e4b511_Enabled">
    <vt:lpwstr>true</vt:lpwstr>
  </property>
  <property fmtid="{D5CDD505-2E9C-101B-9397-08002B2CF9AE}" pid="9" name="MSIP_Label_0bef47d3-7438-460f-b1fd-1b90a7e4b511_SetDate">
    <vt:lpwstr>2024-02-07T18:49:29Z</vt:lpwstr>
  </property>
  <property fmtid="{D5CDD505-2E9C-101B-9397-08002B2CF9AE}" pid="10" name="MSIP_Label_0bef47d3-7438-460f-b1fd-1b90a7e4b511_Method">
    <vt:lpwstr>Privileged</vt:lpwstr>
  </property>
  <property fmtid="{D5CDD505-2E9C-101B-9397-08002B2CF9AE}" pid="11" name="MSIP_Label_0bef47d3-7438-460f-b1fd-1b90a7e4b511_Name">
    <vt:lpwstr>Level 3 - Restricted (Items)</vt:lpwstr>
  </property>
  <property fmtid="{D5CDD505-2E9C-101B-9397-08002B2CF9AE}" pid="12" name="MSIP_Label_0bef47d3-7438-460f-b1fd-1b90a7e4b511_SiteId">
    <vt:lpwstr>aa3f6932-fa7c-47b4-a0ce-a598cad161cf</vt:lpwstr>
  </property>
  <property fmtid="{D5CDD505-2E9C-101B-9397-08002B2CF9AE}" pid="13" name="MSIP_Label_0bef47d3-7438-460f-b1fd-1b90a7e4b511_ActionId">
    <vt:lpwstr>a067f633-c67a-4f45-b4f3-3d19f00c5adf</vt:lpwstr>
  </property>
  <property fmtid="{D5CDD505-2E9C-101B-9397-08002B2CF9AE}" pid="14" name="MSIP_Label_0bef47d3-7438-460f-b1fd-1b90a7e4b511_ContentBits">
    <vt:lpwstr>2</vt:lpwstr>
  </property>
  <property fmtid="{D5CDD505-2E9C-101B-9397-08002B2CF9AE}" pid="15" name="ContentTypeId">
    <vt:lpwstr>0x0101001EB106CA2C11604DBD6905309554CCDB</vt:lpwstr>
  </property>
</Properties>
</file>