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autoCompressPictures="0" defaultThemeVersion="124226"/>
  <mc:AlternateContent xmlns:mc="http://schemas.openxmlformats.org/markup-compatibility/2006">
    <mc:Choice Requires="x15">
      <x15ac:absPath xmlns:x15ac="http://schemas.microsoft.com/office/spreadsheetml/2010/11/ac" url="C:\Users\loneill\Downloads\"/>
    </mc:Choice>
  </mc:AlternateContent>
  <xr:revisionPtr revIDLastSave="0" documentId="8_{B775EE99-96A2-4F97-8EAA-4E30277A27B4}" xr6:coauthVersionLast="47" xr6:coauthVersionMax="47" xr10:uidLastSave="{00000000-0000-0000-0000-000000000000}"/>
  <bookViews>
    <workbookView xWindow="-108" yWindow="-108" windowWidth="23256" windowHeight="12576" xr2:uid="{00000000-000D-0000-FFFF-FFFF00000000}"/>
  </bookViews>
  <sheets>
    <sheet name="Cover Page" sheetId="1" r:id="rId1"/>
    <sheet name="Values" sheetId="3" r:id="rId2"/>
    <sheet name="Functions" sheetId="2" r:id="rId3"/>
    <sheet name="Subscores" sheetId="5" r:id="rId4"/>
    <sheet name="Scores" sheetId="4" r:id="rId5"/>
    <sheet name="Site Layout Field Form" sheetId="11" r:id="rId6"/>
    <sheet name="PAA Field Form" sheetId="12" r:id="rId7"/>
    <sheet name="EAA Field Form" sheetId="13" r:id="rId8"/>
    <sheet name="Extra PAA Transects or Data" sheetId="14" r:id="rId9"/>
    <sheet name="lists" sheetId="7" state="hidden" r:id="rId10"/>
    <sheet name="KEY" sheetId="8" state="hidden" r:id="rId11"/>
    <sheet name="ESRI_MAPINFO_SHEET" sheetId="10" state="veryHidden" r:id="rId12"/>
  </sheets>
  <externalReferences>
    <externalReference r:id="rId13"/>
  </externalReferences>
  <definedNames>
    <definedName name="ABC">lists!$J$5:$J$7</definedName>
    <definedName name="ABCD">lists!$K$5:$K$8</definedName>
    <definedName name="ABCDE">lists!$I$5:$I$9</definedName>
    <definedName name="ABCDEFG">lists!$L$5:$L$11</definedName>
    <definedName name="AqPerm">Values!$K$75</definedName>
    <definedName name="AquaPerm">'Cover Page'!$C$13</definedName>
    <definedName name="Armor">Functions!$K$22</definedName>
    <definedName name="Barriers">Functions!$K$18</definedName>
    <definedName name="BedVar">Functions!$K$44</definedName>
    <definedName name="Cover">Functions!$K$8</definedName>
    <definedName name="CoverContext">Subscores!$G$106</definedName>
    <definedName name="DomStreamType">'Cover Page'!$G$11</definedName>
    <definedName name="DwnFld">Values!$K$44</definedName>
    <definedName name="DwnFP">Values!$K$40</definedName>
    <definedName name="Ecoregion">'Cover Page'!$G$16</definedName>
    <definedName name="Embed">Functions!$K$40</definedName>
    <definedName name="Erode">Values!$K$79</definedName>
    <definedName name="ErodeOptions">lists!$G$11:$G$13</definedName>
    <definedName name="Erodibility">'Cover Page'!$C$14</definedName>
    <definedName name="Erosion">Functions!$K$24</definedName>
    <definedName name="Exclusion">Functions!$K$20</definedName>
    <definedName name="Fish">Values!$K$9</definedName>
    <definedName name="Flow">lists!$C$18:$C$20</definedName>
    <definedName name="FlowMod">Values!$K$32</definedName>
    <definedName name="FlowRest">Values!$K$65</definedName>
    <definedName name="Gradient">'Cover Page'!$F$14</definedName>
    <definedName name="HabFeat">Values!$K$67</definedName>
    <definedName name="HL">lists!$C$11:$C$12</definedName>
    <definedName name="ImpArea">Values!$K$36</definedName>
    <definedName name="ImpoundDS">Values!$K$48</definedName>
    <definedName name="ImpoundUS">Values!$K$46</definedName>
    <definedName name="Incision">Functions!$K$38</definedName>
    <definedName name="InvVeg">Functions!$K$10</definedName>
    <definedName name="LatMigr">Functions!$K$34</definedName>
    <definedName name="LgTree">Functions!$K$14</definedName>
    <definedName name="NoxWeed">Functions!$K$10</definedName>
    <definedName name="NutrImp">Values!$K$26</definedName>
    <definedName name="OBFlow">Functions!$K$26</definedName>
    <definedName name="Passage">Values!$K$51</definedName>
    <definedName name="PassageDn">Values!$I$52</definedName>
    <definedName name="PassageUp">Values!$I$51</definedName>
    <definedName name="Position">Values!$K$63</definedName>
    <definedName name="_xlnm.Print_Area" localSheetId="0">'Cover Page'!$A$1:$H$47</definedName>
    <definedName name="_xlnm.Print_Area" localSheetId="7">'EAA Field Form'!$A$1:$T$31</definedName>
    <definedName name="_xlnm.Print_Area" localSheetId="2">Functions!$A$1:$K$44</definedName>
    <definedName name="_xlnm.Print_Area" localSheetId="6">'PAA Field Form'!$A$1:$S$45</definedName>
    <definedName name="_xlnm.Print_Area" localSheetId="4">Scores!$A$1:$E$28</definedName>
    <definedName name="_xlnm.Print_Area" localSheetId="5">'Site Layout Field Form'!$A$1:$L$39</definedName>
    <definedName name="_xlnm.Print_Area" localSheetId="1">Values!$A$1:$K$79</definedName>
    <definedName name="Protect">Values!$K$34</definedName>
    <definedName name="Question34567">[1]VegData!$AL$2:$AL$5</definedName>
    <definedName name="Question34568">[1]VegData!$AL$2:$AL$5</definedName>
    <definedName name="RarAmRep">Values!$K$12</definedName>
    <definedName name="RarBdMm">Values!$K$17</definedName>
    <definedName name="RarInvert">Values!$K$19</definedName>
    <definedName name="RarPlant">Values!$K$21</definedName>
    <definedName name="RipArea">Values!$K$38</definedName>
    <definedName name="RipCon">Values!$K$61</definedName>
    <definedName name="RipWidth">Functions!$K$16</definedName>
    <definedName name="Runoff">Values!$K$73</definedName>
    <definedName name="SedList">Values!$K$24</definedName>
    <definedName name="SideChan">Functions!$K$32</definedName>
    <definedName name="SoilPerm">Values!$K$77</definedName>
    <definedName name="SoilPerm_local">'Cover Page'!$F$13</definedName>
    <definedName name="Source">Values!$K$54</definedName>
    <definedName name="Species">lists!$I$16:$I$19</definedName>
    <definedName name="StreamType">lists!$A$5:$A$22</definedName>
    <definedName name="SubFeat">Values!$K$69</definedName>
    <definedName name="SurrLand">Values!$K$56</definedName>
    <definedName name="TempImp">Values!$K$30</definedName>
    <definedName name="ThermFeat">Values!$K$70</definedName>
    <definedName name="ToxImp">Values!$K$28</definedName>
    <definedName name="Waterbird">Values!$K$14</definedName>
    <definedName name="waterbirds">lists!$I$22:$I$24</definedName>
    <definedName name="Watershed">lists!$G$20</definedName>
    <definedName name="WetVeg">Functions!$K$28</definedName>
    <definedName name="Wood">Functions!$K$36</definedName>
    <definedName name="WoodyVeg">Functions!$K$12</definedName>
    <definedName name="YN">lists!$G$5:$G$6</definedName>
    <definedName name="Z_6A4D8547_5570_4765_8A78_68572E1AC55E_.wvu.Cols" localSheetId="4" hidden="1">Scores!$D:$D,Scores!$IY:$IY,Scores!$JB:$JC,Scores!$SU:$SU,Scores!$SX:$SY,Scores!$ACQ:$ACQ,Scores!$ACT:$ACU,Scores!$AMM:$AMM,Scores!$AMP:$AMQ,Scores!$AWI:$AWI,Scores!$AWL:$AWM,Scores!$BGE:$BGE,Scores!$BGH:$BGI,Scores!$BQA:$BQA,Scores!$BQD:$BQE,Scores!$BZW:$BZW,Scores!$BZZ:$CAA,Scores!$CJS:$CJS,Scores!$CJV:$CJW,Scores!$CTO:$CTO,Scores!$CTR:$CTS,Scores!$DDK:$DDK,Scores!$DDN:$DDO,Scores!$DNG:$DNG,Scores!$DNJ:$DNK,Scores!$DXC:$DXC,Scores!$DXF:$DXG,Scores!$EGY:$EGY,Scores!$EHB:$EHC,Scores!$EQU:$EQU,Scores!$EQX:$EQY,Scores!$FAQ:$FAQ,Scores!$FAT:$FAU,Scores!$FKM:$FKM,Scores!$FKP:$FKQ,Scores!$FUI:$FUI,Scores!$FUL:$FUM,Scores!$GEE:$GEE,Scores!$GEH:$GEI,Scores!$GOA:$GOA,Scores!$GOD:$GOE,Scores!$GXW:$GXW,Scores!$GXZ:$GYA,Scores!$HHS:$HHS,Scores!$HHV:$HHW,Scores!$HRO:$HRO,Scores!$HRR:$HRS,Scores!$IBK:$IBK,Scores!$IBN:$IBO,Scores!$ILG:$ILG,Scores!$ILJ:$ILK,Scores!$IVC:$IVC,Scores!$IVF:$IVG,Scores!$JEY:$JEY,Scores!$JFB:$JFC,Scores!$JOU:$JOU,Scores!$JOX:$JOY,Scores!$JYQ:$JYQ,Scores!$JYT:$JYU,Scores!$KIM:$KIM,Scores!$KIP:$KIQ,Scores!$KSI:$KSI,Scores!$KSL:$KSM,Scores!$LCE:$LCE,Scores!$LCH:$LCI,Scores!$LMA:$LMA,Scores!$LMD:$LME,Scores!$LVW:$LVW,Scores!$LVZ:$LWA,Scores!$MFS:$MFS,Scores!$MFV:$MFW,Scores!$MPO:$MPO,Scores!$MPR:$MPS,Scores!$MZK:$MZK,Scores!$MZN:$MZO,Scores!$NJG:$NJG,Scores!$NJJ:$NJK,Scores!$NTC:$NTC,Scores!$NTF:$NTG,Scores!$OCY:$OCY,Scores!$ODB:$ODC,Scores!$OMU:$OMU,Scores!$OMX:$OMY,Scores!$OWQ:$OWQ,Scores!$OWT:$OWU,Scores!$PGM:$PGM,Scores!$PGP:$PGQ,Scores!$PQI:$PQI,Scores!$PQL:$PQM,Scores!$QAE:$QAE,Scores!$QAH:$QAI,Scores!$QKA:$QKA,Scores!$QKD:$QKE,Scores!$QTW:$QTW,Scores!$QTZ:$QUA,Scores!$RDS:$RDS,Scores!$RDV:$RDW,Scores!$RNO:$RNO,Scores!$RNR:$RNS,Scores!$RXK:$RXK,Scores!$RXN:$RXO,Scores!$SHG:$SHG,Scores!$SHJ:$SHK,Scores!$SRC:$SRC,Scores!$SRF:$SRG,Scores!$TAY:$TAY,Scores!$TBB:$TBC,Scores!$TKU:$TKU,Scores!$TKX:$TKY,Scores!$TUQ:$TUQ,Scores!$TUT:$TUU,Scores!$UEM:$UEM,Scores!$UEP:$UEQ,Scores!$UOI:$UOI,Scores!$UOL:$UOM,Scores!$UYE:$UYE,Scores!$UYH:$UYI,Scores!$VIA:$VIA,Scores!$VID:$VIE,Scores!$VRW:$VRW,Scores!$VRZ:$VSA,Scores!$WBS:$WBS,Scores!$WBV:$WBW,Scores!$WLO:$WLO,Scores!$WLR:$WLS,Scores!$WVK:$WVK,Scores!$WVN:$WVO</definedName>
    <definedName name="Z_6A4D8547_5570_4765_8A78_68572E1AC55E_.wvu.PrintArea" localSheetId="4" hidden="1">Scores!$A$1:$H$25</definedName>
    <definedName name="Z_76D76C6A_AC69_4DBD_AC07_822026509EDA_.wvu.Cols" localSheetId="4" hidden="1">Scores!$D:$D,Scores!$IY:$IY,Scores!$JB:$JC,Scores!$SU:$SU,Scores!$SX:$SY,Scores!$ACQ:$ACQ,Scores!$ACT:$ACU,Scores!$AMM:$AMM,Scores!$AMP:$AMQ,Scores!$AWI:$AWI,Scores!$AWL:$AWM,Scores!$BGE:$BGE,Scores!$BGH:$BGI,Scores!$BQA:$BQA,Scores!$BQD:$BQE,Scores!$BZW:$BZW,Scores!$BZZ:$CAA,Scores!$CJS:$CJS,Scores!$CJV:$CJW,Scores!$CTO:$CTO,Scores!$CTR:$CTS,Scores!$DDK:$DDK,Scores!$DDN:$DDO,Scores!$DNG:$DNG,Scores!$DNJ:$DNK,Scores!$DXC:$DXC,Scores!$DXF:$DXG,Scores!$EGY:$EGY,Scores!$EHB:$EHC,Scores!$EQU:$EQU,Scores!$EQX:$EQY,Scores!$FAQ:$FAQ,Scores!$FAT:$FAU,Scores!$FKM:$FKM,Scores!$FKP:$FKQ,Scores!$FUI:$FUI,Scores!$FUL:$FUM,Scores!$GEE:$GEE,Scores!$GEH:$GEI,Scores!$GOA:$GOA,Scores!$GOD:$GOE,Scores!$GXW:$GXW,Scores!$GXZ:$GYA,Scores!$HHS:$HHS,Scores!$HHV:$HHW,Scores!$HRO:$HRO,Scores!$HRR:$HRS,Scores!$IBK:$IBK,Scores!$IBN:$IBO,Scores!$ILG:$ILG,Scores!$ILJ:$ILK,Scores!$IVC:$IVC,Scores!$IVF:$IVG,Scores!$JEY:$JEY,Scores!$JFB:$JFC,Scores!$JOU:$JOU,Scores!$JOX:$JOY,Scores!$JYQ:$JYQ,Scores!$JYT:$JYU,Scores!$KIM:$KIM,Scores!$KIP:$KIQ,Scores!$KSI:$KSI,Scores!$KSL:$KSM,Scores!$LCE:$LCE,Scores!$LCH:$LCI,Scores!$LMA:$LMA,Scores!$LMD:$LME,Scores!$LVW:$LVW,Scores!$LVZ:$LWA,Scores!$MFS:$MFS,Scores!$MFV:$MFW,Scores!$MPO:$MPO,Scores!$MPR:$MPS,Scores!$MZK:$MZK,Scores!$MZN:$MZO,Scores!$NJG:$NJG,Scores!$NJJ:$NJK,Scores!$NTC:$NTC,Scores!$NTF:$NTG,Scores!$OCY:$OCY,Scores!$ODB:$ODC,Scores!$OMU:$OMU,Scores!$OMX:$OMY,Scores!$OWQ:$OWQ,Scores!$OWT:$OWU,Scores!$PGM:$PGM,Scores!$PGP:$PGQ,Scores!$PQI:$PQI,Scores!$PQL:$PQM,Scores!$QAE:$QAE,Scores!$QAH:$QAI,Scores!$QKA:$QKA,Scores!$QKD:$QKE,Scores!$QTW:$QTW,Scores!$QTZ:$QUA,Scores!$RDS:$RDS,Scores!$RDV:$RDW,Scores!$RNO:$RNO,Scores!$RNR:$RNS,Scores!$RXK:$RXK,Scores!$RXN:$RXO,Scores!$SHG:$SHG,Scores!$SHJ:$SHK,Scores!$SRC:$SRC,Scores!$SRF:$SRG,Scores!$TAY:$TAY,Scores!$TBB:$TBC,Scores!$TKU:$TKU,Scores!$TKX:$TKY,Scores!$TUQ:$TUQ,Scores!$TUT:$TUU,Scores!$UEM:$UEM,Scores!$UEP:$UEQ,Scores!$UOI:$UOI,Scores!$UOL:$UOM,Scores!$UYE:$UYE,Scores!$UYH:$UYI,Scores!$VIA:$VIA,Scores!$VID:$VIE,Scores!$VRW:$VRW,Scores!$VRZ:$VSA,Scores!$WBS:$WBS,Scores!$WBV:$WBW,Scores!$WLO:$WLO,Scores!$WLR:$WLS,Scores!$WVK:$WVK,Scores!$WVN:$WVO</definedName>
    <definedName name="Z_76D76C6A_AC69_4DBD_AC07_822026509EDA_.wvu.PrintArea" localSheetId="4" hidden="1">Scores!$A$1:$H$25</definedName>
    <definedName name="Z_D0935927_5E0F_4648_A725_887C75D046FC_.wvu.Cols" localSheetId="4" hidden="1">Scores!$D:$D,Scores!$IY:$IY,Scores!$JB:$JC,Scores!$SU:$SU,Scores!$SX:$SY,Scores!$ACQ:$ACQ,Scores!$ACT:$ACU,Scores!$AMM:$AMM,Scores!$AMP:$AMQ,Scores!$AWI:$AWI,Scores!$AWL:$AWM,Scores!$BGE:$BGE,Scores!$BGH:$BGI,Scores!$BQA:$BQA,Scores!$BQD:$BQE,Scores!$BZW:$BZW,Scores!$BZZ:$CAA,Scores!$CJS:$CJS,Scores!$CJV:$CJW,Scores!$CTO:$CTO,Scores!$CTR:$CTS,Scores!$DDK:$DDK,Scores!$DDN:$DDO,Scores!$DNG:$DNG,Scores!$DNJ:$DNK,Scores!$DXC:$DXC,Scores!$DXF:$DXG,Scores!$EGY:$EGY,Scores!$EHB:$EHC,Scores!$EQU:$EQU,Scores!$EQX:$EQY,Scores!$FAQ:$FAQ,Scores!$FAT:$FAU,Scores!$FKM:$FKM,Scores!$FKP:$FKQ,Scores!$FUI:$FUI,Scores!$FUL:$FUM,Scores!$GEE:$GEE,Scores!$GEH:$GEI,Scores!$GOA:$GOA,Scores!$GOD:$GOE,Scores!$GXW:$GXW,Scores!$GXZ:$GYA,Scores!$HHS:$HHS,Scores!$HHV:$HHW,Scores!$HRO:$HRO,Scores!$HRR:$HRS,Scores!$IBK:$IBK,Scores!$IBN:$IBO,Scores!$ILG:$ILG,Scores!$ILJ:$ILK,Scores!$IVC:$IVC,Scores!$IVF:$IVG,Scores!$JEY:$JEY,Scores!$JFB:$JFC,Scores!$JOU:$JOU,Scores!$JOX:$JOY,Scores!$JYQ:$JYQ,Scores!$JYT:$JYU,Scores!$KIM:$KIM,Scores!$KIP:$KIQ,Scores!$KSI:$KSI,Scores!$KSL:$KSM,Scores!$LCE:$LCE,Scores!$LCH:$LCI,Scores!$LMA:$LMA,Scores!$LMD:$LME,Scores!$LVW:$LVW,Scores!$LVZ:$LWA,Scores!$MFS:$MFS,Scores!$MFV:$MFW,Scores!$MPO:$MPO,Scores!$MPR:$MPS,Scores!$MZK:$MZK,Scores!$MZN:$MZO,Scores!$NJG:$NJG,Scores!$NJJ:$NJK,Scores!$NTC:$NTC,Scores!$NTF:$NTG,Scores!$OCY:$OCY,Scores!$ODB:$ODC,Scores!$OMU:$OMU,Scores!$OMX:$OMY,Scores!$OWQ:$OWQ,Scores!$OWT:$OWU,Scores!$PGM:$PGM,Scores!$PGP:$PGQ,Scores!$PQI:$PQI,Scores!$PQL:$PQM,Scores!$QAE:$QAE,Scores!$QAH:$QAI,Scores!$QKA:$QKA,Scores!$QKD:$QKE,Scores!$QTW:$QTW,Scores!$QTZ:$QUA,Scores!$RDS:$RDS,Scores!$RDV:$RDW,Scores!$RNO:$RNO,Scores!$RNR:$RNS,Scores!$RXK:$RXK,Scores!$RXN:$RXO,Scores!$SHG:$SHG,Scores!$SHJ:$SHK,Scores!$SRC:$SRC,Scores!$SRF:$SRG,Scores!$TAY:$TAY,Scores!$TBB:$TBC,Scores!$TKU:$TKU,Scores!$TKX:$TKY,Scores!$TUQ:$TUQ,Scores!$TUT:$TUU,Scores!$UEM:$UEM,Scores!$UEP:$UEQ,Scores!$UOI:$UOI,Scores!$UOL:$UOM,Scores!$UYE:$UYE,Scores!$UYH:$UYI,Scores!$VIA:$VIA,Scores!$VID:$VIE,Scores!$VRW:$VRW,Scores!$VRZ:$VSA,Scores!$WBS:$WBS,Scores!$WBV:$WBW,Scores!$WLO:$WLO,Scores!$WLR:$WLS,Scores!$WVK:$WVK,Scores!$WVN:$WVO</definedName>
    <definedName name="Z_D0935927_5E0F_4648_A725_887C75D046FC_.wvu.PrintArea" localSheetId="4" hidden="1">Scores!$A$1:$H$25</definedName>
    <definedName name="Z_DFF357C0_9B7E_407D_BC84_93A50AD2B553_.wvu.Cols" localSheetId="4" hidden="1">Scores!$D:$D,Scores!$IY:$IY,Scores!$JB:$JC,Scores!$SU:$SU,Scores!$SX:$SY,Scores!$ACQ:$ACQ,Scores!$ACT:$ACU,Scores!$AMM:$AMM,Scores!$AMP:$AMQ,Scores!$AWI:$AWI,Scores!$AWL:$AWM,Scores!$BGE:$BGE,Scores!$BGH:$BGI,Scores!$BQA:$BQA,Scores!$BQD:$BQE,Scores!$BZW:$BZW,Scores!$BZZ:$CAA,Scores!$CJS:$CJS,Scores!$CJV:$CJW,Scores!$CTO:$CTO,Scores!$CTR:$CTS,Scores!$DDK:$DDK,Scores!$DDN:$DDO,Scores!$DNG:$DNG,Scores!$DNJ:$DNK,Scores!$DXC:$DXC,Scores!$DXF:$DXG,Scores!$EGY:$EGY,Scores!$EHB:$EHC,Scores!$EQU:$EQU,Scores!$EQX:$EQY,Scores!$FAQ:$FAQ,Scores!$FAT:$FAU,Scores!$FKM:$FKM,Scores!$FKP:$FKQ,Scores!$FUI:$FUI,Scores!$FUL:$FUM,Scores!$GEE:$GEE,Scores!$GEH:$GEI,Scores!$GOA:$GOA,Scores!$GOD:$GOE,Scores!$GXW:$GXW,Scores!$GXZ:$GYA,Scores!$HHS:$HHS,Scores!$HHV:$HHW,Scores!$HRO:$HRO,Scores!$HRR:$HRS,Scores!$IBK:$IBK,Scores!$IBN:$IBO,Scores!$ILG:$ILG,Scores!$ILJ:$ILK,Scores!$IVC:$IVC,Scores!$IVF:$IVG,Scores!$JEY:$JEY,Scores!$JFB:$JFC,Scores!$JOU:$JOU,Scores!$JOX:$JOY,Scores!$JYQ:$JYQ,Scores!$JYT:$JYU,Scores!$KIM:$KIM,Scores!$KIP:$KIQ,Scores!$KSI:$KSI,Scores!$KSL:$KSM,Scores!$LCE:$LCE,Scores!$LCH:$LCI,Scores!$LMA:$LMA,Scores!$LMD:$LME,Scores!$LVW:$LVW,Scores!$LVZ:$LWA,Scores!$MFS:$MFS,Scores!$MFV:$MFW,Scores!$MPO:$MPO,Scores!$MPR:$MPS,Scores!$MZK:$MZK,Scores!$MZN:$MZO,Scores!$NJG:$NJG,Scores!$NJJ:$NJK,Scores!$NTC:$NTC,Scores!$NTF:$NTG,Scores!$OCY:$OCY,Scores!$ODB:$ODC,Scores!$OMU:$OMU,Scores!$OMX:$OMY,Scores!$OWQ:$OWQ,Scores!$OWT:$OWU,Scores!$PGM:$PGM,Scores!$PGP:$PGQ,Scores!$PQI:$PQI,Scores!$PQL:$PQM,Scores!$QAE:$QAE,Scores!$QAH:$QAI,Scores!$QKA:$QKA,Scores!$QKD:$QKE,Scores!$QTW:$QTW,Scores!$QTZ:$QUA,Scores!$RDS:$RDS,Scores!$RDV:$RDW,Scores!$RNO:$RNO,Scores!$RNR:$RNS,Scores!$RXK:$RXK,Scores!$RXN:$RXO,Scores!$SHG:$SHG,Scores!$SHJ:$SHK,Scores!$SRC:$SRC,Scores!$SRF:$SRG,Scores!$TAY:$TAY,Scores!$TBB:$TBC,Scores!$TKU:$TKU,Scores!$TKX:$TKY,Scores!$TUQ:$TUQ,Scores!$TUT:$TUU,Scores!$UEM:$UEM,Scores!$UEP:$UEQ,Scores!$UOI:$UOI,Scores!$UOL:$UOM,Scores!$UYE:$UYE,Scores!$UYH:$UYI,Scores!$VIA:$VIA,Scores!$VID:$VIE,Scores!$VRW:$VRW,Scores!$VRZ:$VSA,Scores!$WBS:$WBS,Scores!$WBV:$WBW,Scores!$WLO:$WLO,Scores!$WLR:$WLS,Scores!$WVK:$WVK,Scores!$WVN:$WVO</definedName>
    <definedName name="Z_DFF357C0_9B7E_407D_BC84_93A50AD2B553_.wvu.PrintArea" localSheetId="4" hidden="1">Scores!$A$1:$H$25</definedName>
    <definedName name="ZeroOne">lists!$I$12:$I$13</definedName>
    <definedName name="Zoning">Values!$K$42</definedName>
  </definedNames>
  <calcPr calcId="191029"/>
  <customWorkbookViews>
    <customWorkbookView name="nmc - Personal View" guid="{6A4D8547-5570-4765-8A78-68572E1AC55E}" mergeInterval="0" personalView="1" maximized="1" xWindow="1" yWindow="1" windowWidth="1680" windowHeight="779" activeSheetId="5" showComments="commIndAndComment"/>
    <customWorkbookView name="Cecilia Seiter - Personal View" guid="{76D76C6A-AC69-4DBD-AC07-822026509EDA}" mergeInterval="0" personalView="1" maximized="1" windowWidth="1596" windowHeight="714" activeSheetId="1"/>
    <customWorkbookView name="hicksdm - Personal View" guid="{DFF357C0-9B7E-407D-BC84-93A50AD2B553}" mergeInterval="0" personalView="1" maximized="1" windowWidth="1280" windowHeight="799" activeSheetId="3" showComments="commIndAndComment"/>
    <customWorkbookView name="Dana Hicks - Personal View" guid="{D0935927-5E0F-4648-A725-887C75D046FC}" mergeInterval="0" personalView="1" maximized="1" windowWidth="1362" windowHeight="670" activeSheetId="3" showComments="commIndAndComment"/>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3" i="14" l="1"/>
  <c r="P13" i="14" s="1"/>
  <c r="O22" i="14"/>
  <c r="U12" i="12"/>
  <c r="C3" i="11"/>
  <c r="B2" i="3"/>
  <c r="C4" i="14" l="1"/>
  <c r="G2" i="2" l="1"/>
  <c r="J4" i="14"/>
  <c r="N4" i="14"/>
  <c r="J2" i="13"/>
  <c r="I2" i="12"/>
  <c r="G3" i="11"/>
  <c r="N2" i="13"/>
  <c r="C2" i="13"/>
  <c r="M2" i="12"/>
  <c r="C2" i="12"/>
  <c r="I3" i="11"/>
  <c r="L1" i="14"/>
  <c r="N1" i="13"/>
  <c r="N1" i="12"/>
  <c r="J1" i="11"/>
  <c r="E1" i="4"/>
  <c r="G2" i="3" l="1"/>
  <c r="AW31" i="14" l="1"/>
  <c r="AX31" i="14" s="1"/>
  <c r="AW32" i="14"/>
  <c r="AX32" i="14" s="1"/>
  <c r="AW33" i="14"/>
  <c r="AX33" i="14" s="1"/>
  <c r="AW34" i="14"/>
  <c r="AX34" i="14" s="1"/>
  <c r="AW35" i="14"/>
  <c r="AX35" i="14" s="1"/>
  <c r="AW36" i="14"/>
  <c r="AX36" i="14" s="1"/>
  <c r="AW37" i="14"/>
  <c r="AX37" i="14" s="1"/>
  <c r="AW38" i="14"/>
  <c r="AX38" i="14" s="1"/>
  <c r="AW39" i="14"/>
  <c r="AX39" i="14" s="1"/>
  <c r="AW40" i="14"/>
  <c r="AX40" i="14" s="1"/>
  <c r="AW41" i="14"/>
  <c r="AX41" i="14" s="1"/>
  <c r="AW42" i="14"/>
  <c r="AX42" i="14"/>
  <c r="AW43" i="14"/>
  <c r="AX43" i="14" s="1"/>
  <c r="AW44" i="14"/>
  <c r="AX44" i="14" s="1"/>
  <c r="AW45" i="14"/>
  <c r="AX45" i="14" s="1"/>
  <c r="AW46" i="14"/>
  <c r="AX46" i="14" s="1"/>
  <c r="AW47" i="14"/>
  <c r="AX47" i="14" s="1"/>
  <c r="AW48" i="14"/>
  <c r="AX48" i="14" s="1"/>
  <c r="AW49" i="14"/>
  <c r="AX49" i="14" s="1"/>
  <c r="AW50" i="14"/>
  <c r="AX50" i="14" s="1"/>
  <c r="AW51" i="14"/>
  <c r="AX51" i="14" s="1"/>
  <c r="AW52" i="14"/>
  <c r="AX52" i="14" s="1"/>
  <c r="AW53" i="14"/>
  <c r="AX53" i="14" s="1"/>
  <c r="AW54" i="14"/>
  <c r="AX54" i="14" s="1"/>
  <c r="AW55" i="14"/>
  <c r="AX55" i="14" s="1"/>
  <c r="AW56" i="14"/>
  <c r="AX56" i="14" s="1"/>
  <c r="AW57" i="14"/>
  <c r="AX57" i="14" s="1"/>
  <c r="AW58" i="14"/>
  <c r="AX58" i="14"/>
  <c r="AW59" i="14"/>
  <c r="AX59" i="14" s="1"/>
  <c r="AW60" i="14"/>
  <c r="AX60" i="14" s="1"/>
  <c r="AW61" i="14"/>
  <c r="AX61" i="14" s="1"/>
  <c r="AW62" i="14"/>
  <c r="AX62" i="14" s="1"/>
  <c r="AW63" i="14"/>
  <c r="AX63" i="14" s="1"/>
  <c r="AW64" i="14"/>
  <c r="AX64" i="14" s="1"/>
  <c r="AW65" i="14"/>
  <c r="AX65" i="14" s="1"/>
  <c r="AW66" i="14"/>
  <c r="AX66" i="14" s="1"/>
  <c r="AW67" i="14"/>
  <c r="AX67" i="14" s="1"/>
  <c r="AW68" i="14"/>
  <c r="AX68" i="14" s="1"/>
  <c r="AW69" i="14"/>
  <c r="AX69" i="14" s="1"/>
  <c r="AW70" i="14"/>
  <c r="AX70" i="14" s="1"/>
  <c r="AW71" i="14"/>
  <c r="AX71" i="14" s="1"/>
  <c r="AW72" i="14"/>
  <c r="AX72" i="14" s="1"/>
  <c r="AW73" i="14"/>
  <c r="AX73" i="14" s="1"/>
  <c r="AW74" i="14"/>
  <c r="AX74" i="14" s="1"/>
  <c r="AW75" i="14"/>
  <c r="AX75" i="14" s="1"/>
  <c r="AW76" i="14"/>
  <c r="AX76" i="14" s="1"/>
  <c r="AW77" i="14"/>
  <c r="AX77" i="14" s="1"/>
  <c r="AW78" i="14"/>
  <c r="AX78" i="14" s="1"/>
  <c r="AW79" i="14"/>
  <c r="AX79" i="14" s="1"/>
  <c r="AW80" i="14"/>
  <c r="AX80" i="14" s="1"/>
  <c r="AW81" i="14"/>
  <c r="AX81" i="14" s="1"/>
  <c r="AW82" i="14"/>
  <c r="AX82" i="14" s="1"/>
  <c r="AW83" i="14"/>
  <c r="AX83" i="14" s="1"/>
  <c r="AW84" i="14"/>
  <c r="AX84" i="14" s="1"/>
  <c r="U21" i="12" l="1"/>
  <c r="U22" i="12"/>
  <c r="U23" i="12"/>
  <c r="U24" i="12"/>
  <c r="U25" i="12"/>
  <c r="U26" i="12"/>
  <c r="U27" i="12"/>
  <c r="U28" i="12"/>
  <c r="U29" i="12"/>
  <c r="U30" i="12"/>
  <c r="U31" i="12"/>
  <c r="U32" i="12"/>
  <c r="U33" i="12"/>
  <c r="U34" i="12"/>
  <c r="U35" i="12"/>
  <c r="U36" i="12"/>
  <c r="U20" i="12"/>
  <c r="U19" i="12"/>
  <c r="R45" i="12" l="1"/>
  <c r="V12" i="13"/>
  <c r="V11" i="13"/>
  <c r="V8" i="13"/>
  <c r="U45" i="12"/>
  <c r="U44" i="12"/>
  <c r="U41" i="12"/>
  <c r="U40" i="12"/>
  <c r="R44" i="12"/>
  <c r="V44" i="12" l="1"/>
  <c r="V40" i="12"/>
  <c r="X48" i="12"/>
  <c r="H30" i="2" s="1"/>
  <c r="X46" i="12"/>
  <c r="H29" i="2" s="1"/>
  <c r="X44" i="12"/>
  <c r="H28" i="2" s="1"/>
  <c r="X40" i="12"/>
  <c r="H26" i="2" l="1"/>
  <c r="I26" i="2" s="1"/>
  <c r="I30" i="2"/>
  <c r="J29" i="2"/>
  <c r="J28" i="2"/>
  <c r="I29" i="2"/>
  <c r="I28" i="2"/>
  <c r="K28" i="2"/>
  <c r="K26" i="2" l="1"/>
  <c r="V21" i="13"/>
  <c r="X15" i="12" l="1"/>
  <c r="X13" i="12"/>
  <c r="H18" i="2" l="1"/>
  <c r="K18" i="2" s="1"/>
  <c r="H20" i="2"/>
  <c r="I20" i="2" s="1"/>
  <c r="Y24" i="13"/>
  <c r="H40" i="2" s="1"/>
  <c r="Y30" i="13"/>
  <c r="H43" i="2" s="1"/>
  <c r="Y27" i="13"/>
  <c r="H42" i="2" s="1"/>
  <c r="I42" i="2" s="1"/>
  <c r="Y14" i="13"/>
  <c r="H36" i="2" s="1"/>
  <c r="I36" i="2" s="1"/>
  <c r="I18" i="2" l="1"/>
  <c r="K20" i="2"/>
  <c r="K43" i="2"/>
  <c r="I43" i="2"/>
  <c r="K40" i="2"/>
  <c r="I40" i="2"/>
  <c r="K42" i="2"/>
  <c r="K44" i="2" s="1"/>
  <c r="K48" i="3"/>
  <c r="G20" i="5" s="1"/>
  <c r="K46" i="3"/>
  <c r="G5" i="5" s="1"/>
  <c r="I52" i="3"/>
  <c r="I51" i="3"/>
  <c r="C16" i="5" l="1"/>
  <c r="G32" i="5"/>
  <c r="G50" i="5"/>
  <c r="G16" i="5"/>
  <c r="G26" i="5"/>
  <c r="G58" i="5"/>
  <c r="G30" i="5"/>
  <c r="C38" i="5" l="1"/>
  <c r="C57" i="5"/>
  <c r="X10" i="12" l="1"/>
  <c r="H16" i="2" s="1"/>
  <c r="U8" i="12"/>
  <c r="V8" i="12" s="1"/>
  <c r="K16" i="2" l="1"/>
  <c r="I16" i="2"/>
  <c r="X7" i="12"/>
  <c r="H8" i="2" s="1"/>
  <c r="W11" i="13"/>
  <c r="Y10" i="13" s="1"/>
  <c r="H34" i="2" s="1"/>
  <c r="W8" i="13"/>
  <c r="Y6" i="13" s="1"/>
  <c r="H32" i="2" s="1"/>
  <c r="V31" i="13"/>
  <c r="V30" i="13"/>
  <c r="V29" i="13"/>
  <c r="V28" i="13"/>
  <c r="V27" i="13"/>
  <c r="V26" i="13"/>
  <c r="V25" i="13"/>
  <c r="V24" i="13"/>
  <c r="V23" i="13"/>
  <c r="V22" i="13"/>
  <c r="I8" i="2" l="1"/>
  <c r="K34" i="2"/>
  <c r="I34" i="2"/>
  <c r="K32" i="2"/>
  <c r="I32" i="2"/>
  <c r="Y21" i="13"/>
  <c r="H38" i="2" s="1"/>
  <c r="K73" i="3"/>
  <c r="K38" i="2" l="1"/>
  <c r="I38" i="2"/>
  <c r="K44" i="3"/>
  <c r="G18" i="1" l="1"/>
  <c r="H77" i="3" l="1"/>
  <c r="J58" i="3"/>
  <c r="J57" i="3"/>
  <c r="J56" i="3"/>
  <c r="K56" i="3" l="1"/>
  <c r="H75" i="3"/>
  <c r="X32" i="12" l="1"/>
  <c r="V36" i="12"/>
  <c r="V35" i="12"/>
  <c r="V34" i="12"/>
  <c r="V33" i="12"/>
  <c r="V32" i="12"/>
  <c r="V31" i="12"/>
  <c r="V30" i="12"/>
  <c r="V29" i="12"/>
  <c r="V28" i="12"/>
  <c r="V27" i="12"/>
  <c r="V26" i="12"/>
  <c r="V25" i="12"/>
  <c r="V24" i="12"/>
  <c r="V23" i="12"/>
  <c r="V22" i="12"/>
  <c r="V21" i="12"/>
  <c r="H22" i="2" l="1"/>
  <c r="I22" i="2" s="1"/>
  <c r="X28" i="12"/>
  <c r="H14" i="2" s="1"/>
  <c r="I14" i="2" s="1"/>
  <c r="X36" i="12"/>
  <c r="V19" i="12"/>
  <c r="X20" i="12" s="1"/>
  <c r="H10" i="2" s="1"/>
  <c r="I10" i="2" s="1"/>
  <c r="V20" i="12"/>
  <c r="X24" i="12" s="1"/>
  <c r="H12" i="2" s="1"/>
  <c r="G17" i="1"/>
  <c r="H24" i="2" l="1"/>
  <c r="I24" i="2" s="1"/>
  <c r="K22" i="2"/>
  <c r="K12" i="2"/>
  <c r="I12" i="2"/>
  <c r="K65" i="3"/>
  <c r="G55" i="5" s="1"/>
  <c r="G4" i="5"/>
  <c r="K24" i="2" l="1"/>
  <c r="K10" i="2"/>
  <c r="G17" i="5"/>
  <c r="K61" i="3"/>
  <c r="K36" i="3"/>
  <c r="G90" i="5" l="1"/>
  <c r="G80" i="5"/>
  <c r="G49" i="5"/>
  <c r="G61" i="5"/>
  <c r="K40" i="3"/>
  <c r="K42" i="3"/>
  <c r="G57" i="5" s="1"/>
  <c r="I49" i="5" l="1"/>
  <c r="H49" i="5"/>
  <c r="G69" i="5"/>
  <c r="G56" i="5"/>
  <c r="G28" i="5"/>
  <c r="G68" i="5"/>
  <c r="K38" i="3"/>
  <c r="K21" i="3"/>
  <c r="K17" i="3"/>
  <c r="K14" i="3"/>
  <c r="K12" i="3"/>
  <c r="K19" i="3"/>
  <c r="K9" i="3"/>
  <c r="G89" i="5" l="1"/>
  <c r="G79" i="5"/>
  <c r="E14" i="2" l="1"/>
  <c r="K14" i="2" s="1"/>
  <c r="E6" i="4" l="1"/>
  <c r="B6" i="4"/>
  <c r="B5" i="4"/>
  <c r="B4" i="4"/>
  <c r="E36" i="2" l="1"/>
  <c r="J36" i="2" s="1"/>
  <c r="E8" i="2"/>
  <c r="H79" i="3"/>
  <c r="K79" i="3" s="1"/>
  <c r="K77" i="3"/>
  <c r="G19" i="5" s="1"/>
  <c r="K75" i="3"/>
  <c r="I68" i="3"/>
  <c r="I69" i="3"/>
  <c r="I70" i="3"/>
  <c r="I67" i="3"/>
  <c r="J14" i="2" l="1"/>
  <c r="K8" i="2"/>
  <c r="J8" i="2"/>
  <c r="K36" i="2"/>
  <c r="K69" i="3"/>
  <c r="G33" i="5" s="1"/>
  <c r="K70" i="3"/>
  <c r="G107" i="5" s="1"/>
  <c r="K67" i="3"/>
  <c r="G59" i="5" s="1"/>
  <c r="H10" i="5"/>
  <c r="G18" i="5"/>
  <c r="G10" i="5"/>
  <c r="C100" i="5" l="1"/>
  <c r="D100" i="5" s="1"/>
  <c r="C25" i="5"/>
  <c r="C32" i="5"/>
  <c r="C50" i="5"/>
  <c r="C26" i="5"/>
  <c r="C90" i="5"/>
  <c r="C80" i="5"/>
  <c r="C53" i="5"/>
  <c r="C42" i="5"/>
  <c r="C24" i="5"/>
  <c r="C12" i="5"/>
  <c r="C5" i="5"/>
  <c r="C54" i="5" l="1"/>
  <c r="D24" i="5"/>
  <c r="C88" i="5"/>
  <c r="C15" i="5"/>
  <c r="C51" i="5"/>
  <c r="C31" i="5"/>
  <c r="C40" i="5"/>
  <c r="C7" i="5"/>
  <c r="C10" i="5"/>
  <c r="C60" i="5"/>
  <c r="D60" i="5" s="1"/>
  <c r="C3" i="5"/>
  <c r="C77" i="5"/>
  <c r="C11" i="5"/>
  <c r="C45" i="5"/>
  <c r="C89" i="5"/>
  <c r="C64" i="5"/>
  <c r="C44" i="5"/>
  <c r="C43" i="5"/>
  <c r="C63" i="5"/>
  <c r="C62" i="5"/>
  <c r="C61" i="5"/>
  <c r="C81" i="5"/>
  <c r="C55" i="5"/>
  <c r="C4" i="5"/>
  <c r="C8" i="5"/>
  <c r="C56" i="5"/>
  <c r="C41" i="5"/>
  <c r="C49" i="5"/>
  <c r="D49" i="5" s="1"/>
  <c r="K63" i="3"/>
  <c r="G82" i="5" s="1"/>
  <c r="D3" i="5" l="1"/>
  <c r="D10" i="5"/>
  <c r="D31" i="5"/>
  <c r="K51" i="3"/>
  <c r="C13" i="5"/>
  <c r="C6" i="5"/>
  <c r="C33" i="5"/>
  <c r="C14" i="5"/>
  <c r="D14" i="5" s="1"/>
  <c r="C78" i="5"/>
  <c r="C52" i="5"/>
  <c r="C39" i="5"/>
  <c r="D38" i="5" s="1"/>
  <c r="G7" i="5"/>
  <c r="G92" i="5"/>
  <c r="G27" i="5"/>
  <c r="G8" i="5"/>
  <c r="G6" i="5"/>
  <c r="K54" i="3"/>
  <c r="K32" i="3"/>
  <c r="G54" i="5" s="1"/>
  <c r="K30" i="3"/>
  <c r="K28" i="3"/>
  <c r="K26" i="3"/>
  <c r="K24" i="3"/>
  <c r="K34" i="3"/>
  <c r="G66" i="5" l="1"/>
  <c r="G100" i="5"/>
  <c r="I100" i="5" s="1"/>
  <c r="G65" i="5"/>
  <c r="G53" i="5"/>
  <c r="G87" i="5"/>
  <c r="H87" i="5" s="1"/>
  <c r="G99" i="5"/>
  <c r="I10" i="5"/>
  <c r="J10" i="5" s="1"/>
  <c r="G12" i="5"/>
  <c r="G86" i="5"/>
  <c r="G15" i="5"/>
  <c r="G77" i="5"/>
  <c r="H77" i="5" s="1"/>
  <c r="G91" i="5"/>
  <c r="G81" i="5"/>
  <c r="G24" i="5"/>
  <c r="G62" i="5"/>
  <c r="G38" i="5"/>
  <c r="I38" i="5" s="1"/>
  <c r="G42" i="5"/>
  <c r="G67" i="5"/>
  <c r="I24" i="5" l="1"/>
  <c r="H24" i="5"/>
  <c r="H100" i="5"/>
  <c r="I77" i="5"/>
  <c r="I87" i="5"/>
  <c r="G75" i="5"/>
  <c r="G35" i="5"/>
  <c r="G98" i="5"/>
  <c r="G48" i="5"/>
  <c r="G47" i="5"/>
  <c r="G74" i="5"/>
  <c r="G97" i="5"/>
  <c r="G73" i="5"/>
  <c r="G96" i="5"/>
  <c r="G46" i="5"/>
  <c r="G106" i="5"/>
  <c r="G85" i="5"/>
  <c r="G72" i="5"/>
  <c r="G45" i="5"/>
  <c r="G95" i="5"/>
  <c r="G22" i="5"/>
  <c r="G36" i="5"/>
  <c r="G71" i="5"/>
  <c r="G37" i="5"/>
  <c r="G105" i="5"/>
  <c r="G44" i="5"/>
  <c r="G21" i="5"/>
  <c r="G84" i="5"/>
  <c r="G94" i="5"/>
  <c r="G83" i="5"/>
  <c r="G23" i="5"/>
  <c r="G43" i="5"/>
  <c r="G34" i="5"/>
  <c r="G104" i="5"/>
  <c r="G93" i="5"/>
  <c r="G70" i="5"/>
  <c r="G9" i="5"/>
  <c r="D77" i="5"/>
  <c r="C87" i="5" l="1"/>
  <c r="D87" i="5" s="1"/>
  <c r="C79" i="5"/>
  <c r="G29" i="5" l="1"/>
  <c r="E51" i="3" l="1"/>
  <c r="G11" i="5" l="1"/>
  <c r="J100" i="5"/>
  <c r="H59" i="3"/>
  <c r="I59" i="3" s="1"/>
  <c r="J77" i="5" l="1"/>
  <c r="J87" i="5"/>
  <c r="G76" i="5"/>
  <c r="G41" i="5"/>
  <c r="G40" i="5"/>
  <c r="G64" i="5"/>
  <c r="G52" i="5"/>
  <c r="G102" i="5"/>
  <c r="G51" i="5"/>
  <c r="G101" i="5"/>
  <c r="G63" i="5"/>
  <c r="G103" i="5"/>
  <c r="G88" i="5"/>
  <c r="G78" i="5"/>
  <c r="G25" i="5"/>
  <c r="J24" i="5" s="1"/>
  <c r="G3" i="5"/>
  <c r="H3" i="5" s="1"/>
  <c r="G31" i="5"/>
  <c r="G14" i="5"/>
  <c r="H38" i="5"/>
  <c r="I14" i="5" l="1"/>
  <c r="H14" i="5"/>
  <c r="I31" i="5"/>
  <c r="H31" i="5"/>
  <c r="I3" i="5"/>
  <c r="J49" i="5"/>
  <c r="D10" i="4"/>
  <c r="G60" i="5"/>
  <c r="H60" i="5" s="1"/>
  <c r="G39" i="5"/>
  <c r="D17" i="4"/>
  <c r="B12" i="4"/>
  <c r="C12" i="4" s="1"/>
  <c r="G12" i="4" s="1"/>
  <c r="B16" i="4"/>
  <c r="C16" i="4" s="1"/>
  <c r="G16" i="4" s="1"/>
  <c r="B19" i="4"/>
  <c r="C19" i="4" s="1"/>
  <c r="G19" i="4" s="1"/>
  <c r="E10" i="4" l="1"/>
  <c r="H10" i="4" s="1"/>
  <c r="J31" i="5"/>
  <c r="D13" i="4" s="1"/>
  <c r="J38" i="5"/>
  <c r="D14" i="4" s="1"/>
  <c r="J3" i="5"/>
  <c r="J14" i="5"/>
  <c r="D15" i="4"/>
  <c r="I60" i="5"/>
  <c r="J60" i="5" s="1"/>
  <c r="E17" i="4"/>
  <c r="H17" i="4" s="1"/>
  <c r="D19" i="4"/>
  <c r="D18" i="4"/>
  <c r="D12" i="4"/>
  <c r="E14" i="4" l="1"/>
  <c r="H14" i="4" s="1"/>
  <c r="E18" i="4"/>
  <c r="H18" i="4" s="1"/>
  <c r="E13" i="4"/>
  <c r="H13" i="4" s="1"/>
  <c r="E19" i="4"/>
  <c r="H19" i="4" s="1"/>
  <c r="I19" i="4" s="1"/>
  <c r="J19" i="4" s="1"/>
  <c r="D16" i="4"/>
  <c r="E15" i="4"/>
  <c r="H15" i="4" s="1"/>
  <c r="E12" i="4"/>
  <c r="H12" i="4" s="1"/>
  <c r="I12" i="4" s="1"/>
  <c r="J12" i="4" s="1"/>
  <c r="E16" i="4" l="1"/>
  <c r="H16" i="4" s="1"/>
  <c r="I16" i="4" s="1"/>
  <c r="J16" i="4" s="1"/>
  <c r="B15" i="4"/>
  <c r="C15" i="4" s="1"/>
  <c r="G15" i="4" s="1"/>
  <c r="I15" i="4" s="1"/>
  <c r="J15" i="4" s="1"/>
  <c r="B17" i="4"/>
  <c r="C17" i="4" s="1"/>
  <c r="G17" i="4" s="1"/>
  <c r="I17" i="4" s="1"/>
  <c r="J17" i="4" s="1"/>
  <c r="B14" i="4"/>
  <c r="C14" i="4" s="1"/>
  <c r="G14" i="4" s="1"/>
  <c r="I14" i="4" s="1"/>
  <c r="J14" i="4" s="1"/>
  <c r="D24" i="4" l="1"/>
  <c r="E24" i="4"/>
  <c r="B24" i="4"/>
  <c r="B9" i="4"/>
  <c r="C9" i="4" s="1"/>
  <c r="G9" i="4" s="1"/>
  <c r="B13" i="4"/>
  <c r="B18" i="4"/>
  <c r="B10" i="4"/>
  <c r="C10" i="4" s="1"/>
  <c r="G10" i="4" s="1"/>
  <c r="I10" i="4" s="1"/>
  <c r="J10" i="4" s="1"/>
  <c r="C13" i="4" l="1"/>
  <c r="G13" i="4" s="1"/>
  <c r="I13" i="4" s="1"/>
  <c r="J13" i="4" s="1"/>
  <c r="C18" i="4"/>
  <c r="G18" i="4" s="1"/>
  <c r="I18" i="4" s="1"/>
  <c r="J18" i="4" s="1"/>
  <c r="D11" i="4"/>
  <c r="B11" i="4"/>
  <c r="D9" i="4"/>
  <c r="E25" i="4" l="1"/>
  <c r="B25" i="4"/>
  <c r="D25" i="4"/>
  <c r="B23" i="4"/>
  <c r="E23" i="4"/>
  <c r="D23" i="4"/>
  <c r="E11" i="4"/>
  <c r="H11" i="4" s="1"/>
  <c r="E9" i="4"/>
  <c r="H9" i="4" s="1"/>
  <c r="I9" i="4" s="1"/>
  <c r="J9" i="4" s="1"/>
  <c r="C11" i="4"/>
  <c r="G11" i="4" s="1"/>
  <c r="I11" i="4" l="1"/>
  <c r="J11" i="4" s="1"/>
  <c r="D22" i="4" l="1"/>
  <c r="B22" i="4"/>
  <c r="E22" i="4"/>
  <c r="B2" i="2" l="1"/>
  <c r="B3" i="4"/>
</calcChain>
</file>

<file path=xl/sharedStrings.xml><?xml version="1.0" encoding="utf-8"?>
<sst xmlns="http://schemas.openxmlformats.org/spreadsheetml/2006/main" count="1074" uniqueCount="560">
  <si>
    <t>Data Collector:</t>
  </si>
  <si>
    <t xml:space="preserve">Latitude*: </t>
  </si>
  <si>
    <t>Longitude*:</t>
  </si>
  <si>
    <t>* near center of the project site</t>
  </si>
  <si>
    <t xml:space="preserve"> </t>
  </si>
  <si>
    <t>Data Entry</t>
  </si>
  <si>
    <t>SUM</t>
  </si>
  <si>
    <t>Hydrology</t>
  </si>
  <si>
    <t>Measure</t>
  </si>
  <si>
    <t>DwnFP</t>
  </si>
  <si>
    <t>DwnFld</t>
  </si>
  <si>
    <t>Erodibility</t>
  </si>
  <si>
    <t>Aquifer Permeability</t>
  </si>
  <si>
    <t>Soil Permeability</t>
  </si>
  <si>
    <t>VALUES MEASURES TABLE</t>
  </si>
  <si>
    <t>Function Score</t>
  </si>
  <si>
    <t>Measure Name</t>
  </si>
  <si>
    <t>ImpArea</t>
  </si>
  <si>
    <t>Impound</t>
  </si>
  <si>
    <t>Geomorphology</t>
  </si>
  <si>
    <t>Erode</t>
  </si>
  <si>
    <t>Sedimentation</t>
  </si>
  <si>
    <t>SedList</t>
  </si>
  <si>
    <t>AqPerm</t>
  </si>
  <si>
    <t>SoilPerm</t>
  </si>
  <si>
    <t>Biology</t>
  </si>
  <si>
    <t>HabFeat</t>
  </si>
  <si>
    <t>Rare Invertebrates</t>
  </si>
  <si>
    <t>RarInvert</t>
  </si>
  <si>
    <t>Waterbird</t>
  </si>
  <si>
    <t>Rare Bird and Mammals</t>
  </si>
  <si>
    <t>RarBdMm</t>
  </si>
  <si>
    <t>Rare Plants</t>
  </si>
  <si>
    <t>RarPlant</t>
  </si>
  <si>
    <t>Passage</t>
  </si>
  <si>
    <t>RipArea</t>
  </si>
  <si>
    <t>RipCon</t>
  </si>
  <si>
    <t>Nutrient Impairment</t>
  </si>
  <si>
    <t>NutrImp</t>
  </si>
  <si>
    <t>Metals &amp; Toxics Impairment</t>
  </si>
  <si>
    <t>ToxImp</t>
  </si>
  <si>
    <t>Temperature Impairment</t>
  </si>
  <si>
    <t>TempImp</t>
  </si>
  <si>
    <t>FUNCTIONS MEASURES TABLE</t>
  </si>
  <si>
    <t>OBFlow</t>
  </si>
  <si>
    <t>Exclusion</t>
  </si>
  <si>
    <t>Value Score</t>
  </si>
  <si>
    <t>Wood</t>
  </si>
  <si>
    <t>Armor</t>
  </si>
  <si>
    <t>BedVar</t>
  </si>
  <si>
    <t>WoodyVeg</t>
  </si>
  <si>
    <t>SideChan</t>
  </si>
  <si>
    <t>GROUPED FUNCTIONS</t>
  </si>
  <si>
    <t>Sub/Surface Water Transfer (SST)</t>
  </si>
  <si>
    <t>Flow Variation (FV)</t>
  </si>
  <si>
    <t>Sediment Continuity (SC)</t>
  </si>
  <si>
    <t>Sediment Mobility (SM)</t>
  </si>
  <si>
    <t>Maintain Biodiversity (MB)</t>
  </si>
  <si>
    <t>Create and Maintain Habitat (CMH)</t>
  </si>
  <si>
    <t>Sustain Trophic Structure (STS)</t>
  </si>
  <si>
    <t>Nutrient Cycling (NC)</t>
  </si>
  <si>
    <t>Chemical Regulation (CR)</t>
  </si>
  <si>
    <t>Thermal Regulation (TR)</t>
  </si>
  <si>
    <t>STREAM ASSESSMENT SCORES SHEET</t>
  </si>
  <si>
    <t>Function</t>
  </si>
  <si>
    <t>SWS</t>
  </si>
  <si>
    <t>SST</t>
  </si>
  <si>
    <t>FV</t>
  </si>
  <si>
    <t>Opportunity Subscore</t>
  </si>
  <si>
    <t>Significance Subscore</t>
  </si>
  <si>
    <t>SC</t>
  </si>
  <si>
    <t>SM</t>
  </si>
  <si>
    <t>Stream Type</t>
  </si>
  <si>
    <t>Mountain Dry</t>
  </si>
  <si>
    <t>Mountain Wet/Locally Mountain Dry</t>
  </si>
  <si>
    <t>Valley Wet</t>
  </si>
  <si>
    <t>Valley Dry</t>
  </si>
  <si>
    <t>Transitional Dry</t>
  </si>
  <si>
    <t>Mountain Wet Rain/Valley Wet</t>
  </si>
  <si>
    <t>Mountain Wet Rain/Valley Dry</t>
  </si>
  <si>
    <t>Mountain Wet Snow/Valley Wet</t>
  </si>
  <si>
    <t>Mountain Wet Snow/Valley Dry</t>
  </si>
  <si>
    <t>Mountain Dry/Valley Dry</t>
  </si>
  <si>
    <t>NC</t>
  </si>
  <si>
    <t>MB</t>
  </si>
  <si>
    <t>STS</t>
  </si>
  <si>
    <t>CR</t>
  </si>
  <si>
    <t>TR</t>
  </si>
  <si>
    <t>CMH</t>
  </si>
  <si>
    <t>ImpoundUS</t>
  </si>
  <si>
    <t>RarAmRep</t>
  </si>
  <si>
    <t>Gradient</t>
  </si>
  <si>
    <t>Water Quality</t>
  </si>
  <si>
    <t>FUNCTIONS</t>
  </si>
  <si>
    <t>VALUES</t>
  </si>
  <si>
    <t>KEY</t>
  </si>
  <si>
    <t>Column Titles</t>
  </si>
  <si>
    <t>Important Instructions</t>
  </si>
  <si>
    <t>Enter Data in These Boxes ONLY</t>
  </si>
  <si>
    <t>Automatically Calculated Scores are Included in Subscores</t>
  </si>
  <si>
    <t>Boxes Cannot Be Altered</t>
  </si>
  <si>
    <t>Project Number:</t>
  </si>
  <si>
    <t>Already in Stream Classification on Cover Page - NO DATA INPUT REQUIRED.</t>
  </si>
  <si>
    <t>Low</t>
  </si>
  <si>
    <t>High</t>
  </si>
  <si>
    <t>Floodplain</t>
  </si>
  <si>
    <t>Yes</t>
  </si>
  <si>
    <t>No</t>
  </si>
  <si>
    <t>Easily Erodible</t>
  </si>
  <si>
    <t>Moderately Erodible</t>
  </si>
  <si>
    <t>Difficult to Erode</t>
  </si>
  <si>
    <t>A</t>
  </si>
  <si>
    <t>B</t>
  </si>
  <si>
    <t>C</t>
  </si>
  <si>
    <t>D</t>
  </si>
  <si>
    <t>E</t>
  </si>
  <si>
    <t>Rare Amphibians and Reptiles</t>
  </si>
  <si>
    <t>Investigator Name:</t>
  </si>
  <si>
    <t>Date of Field Assessment:</t>
  </si>
  <si>
    <t>Latitude (decimal degrees):</t>
  </si>
  <si>
    <t>Longitude (decimal degrees):</t>
  </si>
  <si>
    <r>
      <t xml:space="preserve">Temperature impairment: </t>
    </r>
    <r>
      <rPr>
        <u/>
        <sz val="12"/>
        <color indexed="8"/>
        <rFont val="Arial"/>
        <family val="2"/>
      </rPr>
      <t/>
    </r>
  </si>
  <si>
    <t>Upstream</t>
  </si>
  <si>
    <t>Downstream</t>
  </si>
  <si>
    <t>Flow status</t>
  </si>
  <si>
    <t>Perennial</t>
  </si>
  <si>
    <t>Intermittent</t>
  </si>
  <si>
    <t>Ephemeral</t>
  </si>
  <si>
    <t>Photo Numbers:</t>
  </si>
  <si>
    <t>Cover</t>
  </si>
  <si>
    <t>LatMigr</t>
  </si>
  <si>
    <t>{"extentsLinked":false,"version":1}</t>
  </si>
  <si>
    <t>Project Area Length (feet):</t>
  </si>
  <si>
    <t>Project Area (acres):</t>
  </si>
  <si>
    <t>Name of Project Area:</t>
  </si>
  <si>
    <t>Project Area Name:</t>
  </si>
  <si>
    <t>STREAM FUNCTION ASSESSMENT METHOD for OREGON</t>
  </si>
  <si>
    <t xml:space="preserve"> STREAM FUNCTION ASSESSMENT METHOD for OREGON</t>
  </si>
  <si>
    <t>F</t>
  </si>
  <si>
    <t>G</t>
  </si>
  <si>
    <t>Submeasure</t>
  </si>
  <si>
    <t>Measure Abbreviation</t>
  </si>
  <si>
    <t>Incision</t>
  </si>
  <si>
    <t>WetVeg</t>
  </si>
  <si>
    <t>RipWidth</t>
  </si>
  <si>
    <t>Function Groups</t>
  </si>
  <si>
    <t>Hydrology, Biology</t>
  </si>
  <si>
    <t>Hydrology, Geomorphology, Biology</t>
  </si>
  <si>
    <t>Biology, Water Quality</t>
  </si>
  <si>
    <t>Hydrology, Biology, Water Quality</t>
  </si>
  <si>
    <t>Hydrology, Geomorphology, Biology, Water Quality</t>
  </si>
  <si>
    <t>Geomorphology, Water Quality</t>
  </si>
  <si>
    <t>Side Channels</t>
  </si>
  <si>
    <t>Lateral Migration</t>
  </si>
  <si>
    <t>Embed</t>
  </si>
  <si>
    <t>AVERAGE</t>
  </si>
  <si>
    <t>Qualifiers</t>
  </si>
  <si>
    <t>Flow modification:</t>
  </si>
  <si>
    <t>FlowMod</t>
  </si>
  <si>
    <t>Flow Modification</t>
  </si>
  <si>
    <t xml:space="preserve">Hydrology, Biology </t>
  </si>
  <si>
    <t>Hydrology, Water Quality</t>
  </si>
  <si>
    <t>Position</t>
  </si>
  <si>
    <t>Protect</t>
  </si>
  <si>
    <t>SurrLand</t>
  </si>
  <si>
    <t>None of the above (including bare areas [dirt, rock], roads, energy facilities, residential, commercial, industrial)</t>
  </si>
  <si>
    <t>Select yes or no from the dropdown menu:</t>
  </si>
  <si>
    <t>Zoning</t>
  </si>
  <si>
    <t>Function Rating</t>
  </si>
  <si>
    <t>Fish</t>
  </si>
  <si>
    <t>Waterbirds</t>
  </si>
  <si>
    <t>RareInvert</t>
  </si>
  <si>
    <t>Postion</t>
  </si>
  <si>
    <t>Measure Score</t>
  </si>
  <si>
    <t>Value</t>
  </si>
  <si>
    <t>Source</t>
  </si>
  <si>
    <t xml:space="preserve">Is the PA within a HUC12 that has designated Essential Salmonid Habitat (ESH)? Select yes or no. </t>
  </si>
  <si>
    <t>According to the site's SFAM Report, what is the 
"non-anadromous fish" score? 
Select an answer from the dropdown menu:</t>
  </si>
  <si>
    <t>According to the site's SFAM Report, what is the 
"invertebrates" score? 
Select an answer from the dropdown menu:</t>
  </si>
  <si>
    <t>According to the site's SFAM Report, what is the 
"amphibian and reptile" score? 
Select an answer from the dropdown menu:</t>
  </si>
  <si>
    <t>According to the site's SFAM Report, what is the 
"songbird, raptor and mammal" score? 
Select an answer from the dropdown menu:</t>
  </si>
  <si>
    <t>According to the site's SFAM Report, what is the 
"plant" score? 
Select an answer from the dropdown menu:</t>
  </si>
  <si>
    <t>According to the site's SFAM Report, what is the 
"feeding waterbird" score? 
Select an answer from the dropdown menu:</t>
  </si>
  <si>
    <t>Select an answer from the dropdown menu:</t>
  </si>
  <si>
    <t>Important Bird Areas or rare waterbirds:</t>
  </si>
  <si>
    <t>Is there an Important Bird Area (IBA) within a 
2-mile radius of the PA?</t>
  </si>
  <si>
    <t>Are there wetland indicator plant 
species within the PAA?</t>
  </si>
  <si>
    <t>Large log jams that span 25% or more of the active channel width?</t>
  </si>
  <si>
    <t>Braided channel or otherwise multiple channels resulting in islands?</t>
  </si>
  <si>
    <t>Large spatial extent (&gt;30%) of wetlands in the floodplain?</t>
  </si>
  <si>
    <t>1-ImpoundUS</t>
  </si>
  <si>
    <t>Level 3 Ecoregions</t>
  </si>
  <si>
    <t>Coast Range</t>
  </si>
  <si>
    <t>Snake River Plain</t>
  </si>
  <si>
    <t>Willamette Valley</t>
  </si>
  <si>
    <t>Cascades</t>
  </si>
  <si>
    <t>Klamath Mountains</t>
  </si>
  <si>
    <t>Eastern Cascades Slopes and Foothills</t>
  </si>
  <si>
    <t>Columbia Plateau</t>
  </si>
  <si>
    <t>Northern Basin and Range</t>
  </si>
  <si>
    <t>SPECIFIC FUNCTIONS</t>
  </si>
  <si>
    <t>Hydrologic Function (SWS, SST, FV)</t>
  </si>
  <si>
    <t>Geomorphic Function (SC, SM)</t>
  </si>
  <si>
    <t>Biologic Function (MB, CMH, STS)</t>
  </si>
  <si>
    <t>Water Quality Function (NC, CR, TR)</t>
  </si>
  <si>
    <r>
      <t xml:space="preserve">Sediment impairment: </t>
    </r>
    <r>
      <rPr>
        <sz val="12"/>
        <color indexed="8"/>
        <rFont val="Calibri"/>
        <family val="2"/>
        <scheme val="minor"/>
      </rPr>
      <t>total suspended solids (TSS), sedimentation, or turbidity (note that some sedimentation can be naturally occurring and desirable therefore does not constitute a problem)</t>
    </r>
  </si>
  <si>
    <r>
      <t xml:space="preserve">Nutrient impairment: </t>
    </r>
    <r>
      <rPr>
        <sz val="12"/>
        <color indexed="8"/>
        <rFont val="Calibri"/>
        <family val="2"/>
        <scheme val="minor"/>
      </rPr>
      <t>phosphorus, nitrate, ammonia, DO, aquatic weeds or algae, chlorophyll a, etc.; or untreated stormwater/wastewater discharge occurs within 500 feet of the reach</t>
    </r>
  </si>
  <si>
    <r>
      <rPr>
        <b/>
        <sz val="12"/>
        <color indexed="8"/>
        <rFont val="Calibri"/>
        <family val="2"/>
        <scheme val="minor"/>
      </rPr>
      <t>Metals or other toxics impairment:</t>
    </r>
    <r>
      <rPr>
        <sz val="12"/>
        <color indexed="8"/>
        <rFont val="Calibri"/>
        <family val="2"/>
        <scheme val="minor"/>
      </rPr>
      <t xml:space="preserve"> toxics, dioxin, heavy metals (iron, manganese, lead, zinc, etc.); or untreated stormwater/wastewater discharge occurs within 500 feet of the reach</t>
    </r>
  </si>
  <si>
    <r>
      <rPr>
        <b/>
        <sz val="12"/>
        <color theme="1"/>
        <rFont val="Calibri"/>
        <family val="2"/>
        <scheme val="minor"/>
      </rPr>
      <t>Enter a percentage</t>
    </r>
    <r>
      <rPr>
        <sz val="12"/>
        <color theme="1"/>
        <rFont val="Calibri"/>
        <family val="2"/>
        <scheme val="minor"/>
      </rPr>
      <t xml:space="preserve">: 
</t>
    </r>
    <r>
      <rPr>
        <i/>
        <sz val="12"/>
        <color theme="1"/>
        <rFont val="Calibri"/>
        <family val="2"/>
        <scheme val="minor"/>
      </rPr>
      <t>(round to nearest whole number)</t>
    </r>
    <r>
      <rPr>
        <i/>
        <sz val="11"/>
        <color theme="1"/>
        <rFont val="Calibri"/>
        <family val="2"/>
        <scheme val="minor"/>
      </rPr>
      <t xml:space="preserve"> </t>
    </r>
  </si>
  <si>
    <r>
      <rPr>
        <b/>
        <sz val="12"/>
        <color theme="1"/>
        <rFont val="Calibri"/>
        <family val="2"/>
        <scheme val="minor"/>
      </rPr>
      <t>Enter a percentage</t>
    </r>
    <r>
      <rPr>
        <sz val="12"/>
        <color theme="1"/>
        <rFont val="Calibri"/>
        <family val="2"/>
        <scheme val="minor"/>
      </rPr>
      <t xml:space="preserve">:
</t>
    </r>
    <r>
      <rPr>
        <i/>
        <sz val="12"/>
        <color theme="1"/>
        <rFont val="Calibri"/>
        <family val="2"/>
        <scheme val="minor"/>
      </rPr>
      <t>(round to nearest whole number)</t>
    </r>
    <r>
      <rPr>
        <sz val="12"/>
        <color theme="1"/>
        <rFont val="Calibri"/>
        <family val="2"/>
        <scheme val="minor"/>
      </rPr>
      <t xml:space="preserve"> </t>
    </r>
  </si>
  <si>
    <r>
      <rPr>
        <b/>
        <sz val="12"/>
        <color theme="1"/>
        <rFont val="Calibri"/>
        <family val="2"/>
        <scheme val="minor"/>
      </rPr>
      <t>Enter a percentage</t>
    </r>
    <r>
      <rPr>
        <sz val="12"/>
        <color theme="1"/>
        <rFont val="Calibri"/>
        <family val="2"/>
        <scheme val="minor"/>
      </rPr>
      <t xml:space="preserve">: 
</t>
    </r>
    <r>
      <rPr>
        <i/>
        <sz val="12"/>
        <color theme="1"/>
        <rFont val="Calibri"/>
        <family val="2"/>
        <scheme val="minor"/>
      </rPr>
      <t>(round to nearest whole number)</t>
    </r>
    <r>
      <rPr>
        <sz val="12"/>
        <color theme="1"/>
        <rFont val="Calibri"/>
        <family val="2"/>
        <scheme val="minor"/>
      </rPr>
      <t xml:space="preserve"> </t>
    </r>
  </si>
  <si>
    <r>
      <rPr>
        <b/>
        <sz val="12"/>
        <color theme="1"/>
        <rFont val="Calibri"/>
        <family val="2"/>
        <scheme val="minor"/>
      </rPr>
      <t xml:space="preserve">Enter a percentage: 
</t>
    </r>
    <r>
      <rPr>
        <i/>
        <sz val="12"/>
        <color theme="1"/>
        <rFont val="Calibri"/>
        <family val="2"/>
        <scheme val="minor"/>
      </rPr>
      <t>(round to nearest whole number)</t>
    </r>
    <r>
      <rPr>
        <sz val="12"/>
        <color theme="1"/>
        <rFont val="Calibri"/>
        <family val="2"/>
        <scheme val="minor"/>
      </rPr>
      <t xml:space="preserve"> </t>
    </r>
  </si>
  <si>
    <r>
      <rPr>
        <b/>
        <sz val="12"/>
        <color theme="1"/>
        <rFont val="Calibri"/>
        <family val="2"/>
        <scheme val="minor"/>
      </rPr>
      <t>Select yes or no from dropdown menu:</t>
    </r>
    <r>
      <rPr>
        <sz val="12"/>
        <color theme="1"/>
        <rFont val="Calibri"/>
        <family val="2"/>
        <scheme val="minor"/>
      </rPr>
      <t xml:space="preserve"> 
</t>
    </r>
    <r>
      <rPr>
        <i/>
        <sz val="12"/>
        <color theme="1"/>
        <rFont val="Calibri"/>
        <family val="2"/>
        <scheme val="minor"/>
      </rPr>
      <t>(If there is no floodplain, leave blank)</t>
    </r>
  </si>
  <si>
    <r>
      <t xml:space="preserve">If yes, are the wetland indicator plants located beyond 0.5 x BFW distributed along &gt;70% of the length of the PAA?
</t>
    </r>
    <r>
      <rPr>
        <i/>
        <sz val="12"/>
        <color theme="1"/>
        <rFont val="Calibri"/>
        <family val="2"/>
        <scheme val="minor"/>
      </rPr>
      <t>(Select N/A if you answered No above)</t>
    </r>
  </si>
  <si>
    <r>
      <rPr>
        <b/>
        <sz val="12"/>
        <color theme="1"/>
        <rFont val="Calibri"/>
        <family val="2"/>
        <scheme val="minor"/>
      </rPr>
      <t xml:space="preserve">Enter a percentage: </t>
    </r>
    <r>
      <rPr>
        <sz val="12"/>
        <color theme="1"/>
        <rFont val="Calibri"/>
        <family val="2"/>
        <scheme val="minor"/>
      </rPr>
      <t xml:space="preserve">
</t>
    </r>
    <r>
      <rPr>
        <i/>
        <sz val="12"/>
        <color theme="1"/>
        <rFont val="Calibri"/>
        <family val="2"/>
        <scheme val="minor"/>
      </rPr>
      <t xml:space="preserve">(round to nearest whole number) </t>
    </r>
  </si>
  <si>
    <r>
      <t xml:space="preserve">Enter the </t>
    </r>
    <r>
      <rPr>
        <b/>
        <sz val="12"/>
        <color theme="1"/>
        <rFont val="Calibri"/>
        <family val="2"/>
        <scheme val="minor"/>
      </rPr>
      <t>thalweg depth</t>
    </r>
    <r>
      <rPr>
        <sz val="12"/>
        <color theme="1"/>
        <rFont val="Calibri"/>
        <family val="2"/>
        <scheme val="minor"/>
      </rPr>
      <t xml:space="preserve"> coefficient of variation:</t>
    </r>
  </si>
  <si>
    <r>
      <t xml:space="preserve">Enter the </t>
    </r>
    <r>
      <rPr>
        <b/>
        <sz val="12"/>
        <color theme="1"/>
        <rFont val="Calibri"/>
        <family val="2"/>
        <scheme val="minor"/>
      </rPr>
      <t>wetted width</t>
    </r>
    <r>
      <rPr>
        <sz val="12"/>
        <color theme="1"/>
        <rFont val="Calibri"/>
        <family val="2"/>
        <scheme val="minor"/>
      </rPr>
      <t xml:space="preserve"> coefficient of variation: </t>
    </r>
  </si>
  <si>
    <t>Soil Permeability (local)</t>
  </si>
  <si>
    <r>
      <rPr>
        <b/>
        <sz val="12"/>
        <color indexed="8"/>
        <rFont val="Calibri"/>
        <family val="2"/>
        <scheme val="minor"/>
      </rPr>
      <t>External Data</t>
    </r>
    <r>
      <rPr>
        <sz val="12"/>
        <color theme="1"/>
        <rFont val="Calibri"/>
        <family val="2"/>
        <scheme val="minor"/>
      </rPr>
      <t>:  List below the persons and/or agencies that provided location information on rare wildlife species, and/or rare plants, and the date the information was gathered (if known).</t>
    </r>
  </si>
  <si>
    <r>
      <rPr>
        <b/>
        <sz val="12"/>
        <color theme="1"/>
        <rFont val="Calibri"/>
        <family val="2"/>
        <scheme val="minor"/>
      </rPr>
      <t>Project Area History</t>
    </r>
    <r>
      <rPr>
        <sz val="12"/>
        <color theme="1"/>
        <rFont val="Calibri"/>
        <family val="2"/>
        <scheme val="minor"/>
      </rPr>
      <t>:  Based on conversation with landowner/manager and other information, describe below the years and extent (% of project area) of past and present management actions (e.g., vegetation control), natural disturbances (e.g., fire, insect infestations), and human-associated disturbances (e.g., grazing regimes).</t>
    </r>
  </si>
  <si>
    <r>
      <rPr>
        <b/>
        <sz val="12"/>
        <color theme="1"/>
        <rFont val="Calibri"/>
        <family val="2"/>
        <scheme val="minor"/>
      </rPr>
      <t xml:space="preserve">Assessment Notes: </t>
    </r>
    <r>
      <rPr>
        <sz val="12"/>
        <color theme="1"/>
        <rFont val="Calibri"/>
        <family val="2"/>
        <scheme val="minor"/>
      </rPr>
      <t xml:space="preserve">Note any special features of the reach or landscape, problems with scoring, or other information that may be relevant. </t>
    </r>
  </si>
  <si>
    <r>
      <t xml:space="preserve">Are there 1-2 small dams or other impoundments </t>
    </r>
    <r>
      <rPr>
        <b/>
        <u/>
        <sz val="12"/>
        <color theme="1"/>
        <rFont val="Calibri"/>
        <family val="2"/>
        <scheme val="minor"/>
      </rPr>
      <t>upstream</t>
    </r>
    <r>
      <rPr>
        <sz val="12"/>
        <color theme="1"/>
        <rFont val="Calibri"/>
        <family val="2"/>
        <scheme val="minor"/>
      </rPr>
      <t xml:space="preserve"> of the PA?</t>
    </r>
  </si>
  <si>
    <r>
      <t xml:space="preserve">Are there &gt;2 small impoundments, 1 or more large dams or other impoundments </t>
    </r>
    <r>
      <rPr>
        <b/>
        <u/>
        <sz val="12"/>
        <color theme="1"/>
        <rFont val="Calibri"/>
        <family val="2"/>
        <scheme val="minor"/>
      </rPr>
      <t>upstream</t>
    </r>
    <r>
      <rPr>
        <sz val="12"/>
        <color theme="1"/>
        <rFont val="Calibri"/>
        <family val="2"/>
        <scheme val="minor"/>
      </rPr>
      <t xml:space="preserve"> of the PA?</t>
    </r>
  </si>
  <si>
    <r>
      <t xml:space="preserve">Are there 1-2 small dams or other impoundments </t>
    </r>
    <r>
      <rPr>
        <b/>
        <u/>
        <sz val="12"/>
        <color theme="1"/>
        <rFont val="Calibri"/>
        <family val="2"/>
        <scheme val="minor"/>
      </rPr>
      <t>downstream</t>
    </r>
    <r>
      <rPr>
        <sz val="12"/>
        <color theme="1"/>
        <rFont val="Calibri"/>
        <family val="2"/>
        <scheme val="minor"/>
      </rPr>
      <t xml:space="preserve"> of the PA?</t>
    </r>
  </si>
  <si>
    <r>
      <t xml:space="preserve">Are there &gt;2 small impoundments, 1 or more large dams or other impoundments </t>
    </r>
    <r>
      <rPr>
        <b/>
        <u/>
        <sz val="12"/>
        <color theme="1"/>
        <rFont val="Calibri"/>
        <family val="2"/>
        <scheme val="minor"/>
      </rPr>
      <t>downstream</t>
    </r>
    <r>
      <rPr>
        <sz val="12"/>
        <color theme="1"/>
        <rFont val="Calibri"/>
        <family val="2"/>
        <scheme val="minor"/>
      </rPr>
      <t xml:space="preserve"> of the PA?</t>
    </r>
  </si>
  <si>
    <r>
      <rPr>
        <b/>
        <u/>
        <sz val="12"/>
        <color theme="1"/>
        <rFont val="Calibri"/>
        <family val="2"/>
        <scheme val="minor"/>
      </rPr>
      <t>What is the percent cover of native woody vegetation within the PAA</t>
    </r>
    <r>
      <rPr>
        <u/>
        <sz val="11"/>
        <color theme="1"/>
        <rFont val="Calibri"/>
        <family val="2"/>
        <scheme val="minor"/>
      </rPr>
      <t>?</t>
    </r>
    <r>
      <rPr>
        <sz val="11"/>
        <color theme="1"/>
        <rFont val="Calibri"/>
        <family val="2"/>
        <scheme val="minor"/>
      </rPr>
      <t xml:space="preserve">
</t>
    </r>
    <r>
      <rPr>
        <i/>
        <sz val="12"/>
        <color theme="1"/>
        <rFont val="Calibri"/>
        <family val="2"/>
        <scheme val="minor"/>
      </rPr>
      <t>Functions informed: Maintain Biodiversity, Create &amp; Maintain Habitat</t>
    </r>
  </si>
  <si>
    <t>Gradient*</t>
  </si>
  <si>
    <t>*If EPA Classification is different from the gradient you observe in the local reach, select the gradient in the local reach.</t>
  </si>
  <si>
    <t>2-6%</t>
  </si>
  <si>
    <t>&lt; 2%</t>
  </si>
  <si>
    <t>&gt; 6%</t>
  </si>
  <si>
    <r>
      <rPr>
        <b/>
        <sz val="12"/>
        <color theme="1"/>
        <rFont val="Calibri"/>
        <family val="2"/>
        <scheme val="minor"/>
      </rPr>
      <t>Enter the average width</t>
    </r>
    <r>
      <rPr>
        <sz val="12"/>
        <color theme="1"/>
        <rFont val="Calibri"/>
        <family val="2"/>
        <scheme val="minor"/>
      </rPr>
      <t xml:space="preserve"> </t>
    </r>
    <r>
      <rPr>
        <b/>
        <sz val="12"/>
        <rFont val="Calibri"/>
        <family val="2"/>
        <scheme val="minor"/>
      </rPr>
      <t>(feet)</t>
    </r>
    <r>
      <rPr>
        <sz val="12"/>
        <color theme="1"/>
        <rFont val="Calibri"/>
        <family val="2"/>
        <scheme val="minor"/>
      </rPr>
      <t>:</t>
    </r>
  </si>
  <si>
    <r>
      <rPr>
        <b/>
        <sz val="12"/>
        <color theme="1"/>
        <rFont val="Calibri"/>
        <family val="2"/>
        <scheme val="minor"/>
      </rPr>
      <t xml:space="preserve">Enter a percentage:
</t>
    </r>
    <r>
      <rPr>
        <i/>
        <sz val="12"/>
        <color theme="1"/>
        <rFont val="Calibri"/>
        <family val="2"/>
        <scheme val="minor"/>
      </rPr>
      <t>(round to nearest whole number)</t>
    </r>
    <r>
      <rPr>
        <sz val="12"/>
        <color theme="1"/>
        <rFont val="Calibri"/>
        <family val="2"/>
        <scheme val="minor"/>
      </rPr>
      <t xml:space="preserve"> </t>
    </r>
  </si>
  <si>
    <t>Downstream impoundments subscore:</t>
  </si>
  <si>
    <t>Upstream impoundments subscore:</t>
  </si>
  <si>
    <t>Geomorphology, Biology, Water Quality</t>
  </si>
  <si>
    <t xml:space="preserve">Biology </t>
  </si>
  <si>
    <t>Geomorphology, Biology</t>
  </si>
  <si>
    <t>Unmanaged vegetation (wetland, native grassland, forest) or water</t>
  </si>
  <si>
    <t>Managed vegetation (pasture, regularly watered lawn (i.e. park), row crops, orchards)</t>
  </si>
  <si>
    <t xml:space="preserve">If &lt;100 feet, select A. 
If 100-500 feet, select B. 
If &gt;500 feet, select C. </t>
  </si>
  <si>
    <t>If &gt;50% of total area, select A. 
If 1-50% of total area, select B. 
If none, select C. 
If not known or the downstream floodplain is not mapped, select D.</t>
  </si>
  <si>
    <t>If developed (commercial, industrial, residential, etc.), select A. 
If agriculture or rural residential, select B. 
If forest, open space, or public lands, select C. 
If not zoned or no information, select D.</t>
  </si>
  <si>
    <t xml:space="preserve">If frequent (several times a year), select A. 
If moderate (up to once a year), select B. 
If infrequent (only large events), select C. 
If never or not known, select D. </t>
  </si>
  <si>
    <t>Rare plant species:</t>
  </si>
  <si>
    <t>Rare invertebrate species:</t>
  </si>
  <si>
    <t>Rare songbirds, raptors, and mammals:</t>
  </si>
  <si>
    <t>Rare amphibian and reptile species:</t>
  </si>
  <si>
    <t xml:space="preserve">Essential salmonid habitat or rare non-anadromous fish species:
</t>
  </si>
  <si>
    <r>
      <t xml:space="preserve">What is the erodibility of this reach?
</t>
    </r>
    <r>
      <rPr>
        <sz val="12"/>
        <color indexed="8"/>
        <rFont val="Calibri"/>
        <family val="2"/>
        <scheme val="minor"/>
      </rPr>
      <t>No data input necessary, information taken from EPA classification.</t>
    </r>
  </si>
  <si>
    <t>Erodibility (local)</t>
  </si>
  <si>
    <t>1-NutrImp</t>
  </si>
  <si>
    <t>1-FlowMod</t>
  </si>
  <si>
    <t>1-TempImp</t>
  </si>
  <si>
    <t>1-DwnFP</t>
  </si>
  <si>
    <t>1-Zoning</t>
  </si>
  <si>
    <t>1-ImpArea</t>
  </si>
  <si>
    <t>1-RipArea</t>
  </si>
  <si>
    <t>1-RipCon</t>
  </si>
  <si>
    <t>V</t>
  </si>
  <si>
    <t>Sum</t>
  </si>
  <si>
    <t>Aquifer Permeability (local)</t>
  </si>
  <si>
    <t>FlowRest</t>
  </si>
  <si>
    <t>1-FlowRest</t>
  </si>
  <si>
    <r>
      <t xml:space="preserve">What is the permeability of the soil (based on hydraulic conductivity in cm/hr)?
</t>
    </r>
    <r>
      <rPr>
        <sz val="12"/>
        <color indexed="8"/>
        <rFont val="Calibri"/>
        <family val="2"/>
        <scheme val="minor"/>
      </rPr>
      <t>No data input necessary, information taken from EPA classification.</t>
    </r>
  </si>
  <si>
    <t>Function 
Score</t>
  </si>
  <si>
    <t>Value 
Score</t>
  </si>
  <si>
    <t>Value 
Rating</t>
  </si>
  <si>
    <t>Mountain Wet Rain High Permeability</t>
  </si>
  <si>
    <t>Mountain Wet Snow Low Permeability</t>
  </si>
  <si>
    <t>Mountain Wet Snow High Permeability</t>
  </si>
  <si>
    <t>Transitional Wet Rain Low Permeability</t>
  </si>
  <si>
    <t>Transitional Wet Rain High Permeability</t>
  </si>
  <si>
    <t>Transitional Wet Snow High Permeability</t>
  </si>
  <si>
    <t>Blue Mountains</t>
  </si>
  <si>
    <t>Scores Automatically Calculated in Green Boxes</t>
  </si>
  <si>
    <t>SFAM Site Layout Field Data Form</t>
  </si>
  <si>
    <t>Total PAA stream length (ft) =</t>
  </si>
  <si>
    <t>Distance between transects (PAA length ÷ 4) =</t>
  </si>
  <si>
    <t>Bankfull Width:</t>
  </si>
  <si>
    <t>Latitude</t>
  </si>
  <si>
    <t>Longitude</t>
  </si>
  <si>
    <t>Transect</t>
  </si>
  <si>
    <t>Location</t>
  </si>
  <si>
    <t>Width (ft)</t>
  </si>
  <si>
    <t>Average</t>
  </si>
  <si>
    <t>Corner 1</t>
  </si>
  <si>
    <t>T1</t>
  </si>
  <si>
    <t>Corner 2</t>
  </si>
  <si>
    <t>T2</t>
  </si>
  <si>
    <t>Corner 3</t>
  </si>
  <si>
    <t>T3</t>
  </si>
  <si>
    <t>Corner 4</t>
  </si>
  <si>
    <t xml:space="preserve">Length EAA extends above/below PAA (5 × average BFW) =  </t>
  </si>
  <si>
    <t xml:space="preserve">Total EAA length (10 × BFW + PAA length, rounded to nearest 10') = </t>
  </si>
  <si>
    <t xml:space="preserve">Distance between EAA transects (EAA length ÷ 10) = </t>
  </si>
  <si>
    <t xml:space="preserve">SFAM Proximal Area Assessment (PAA) Field Data Form </t>
  </si>
  <si>
    <t>CALCULATIONS</t>
  </si>
  <si>
    <t>Average %</t>
  </si>
  <si>
    <t>Left</t>
  </si>
  <si>
    <t>Right</t>
  </si>
  <si>
    <t>Average (ft)</t>
  </si>
  <si>
    <t>1 (left)</t>
  </si>
  <si>
    <t>1 (right)</t>
  </si>
  <si>
    <t>2 (left)</t>
  </si>
  <si>
    <t>2 (right)</t>
  </si>
  <si>
    <t>3 (left)</t>
  </si>
  <si>
    <t>3 (right)</t>
  </si>
  <si>
    <t>Start</t>
  </si>
  <si>
    <t>End</t>
  </si>
  <si>
    <t>Vegetation Class</t>
  </si>
  <si>
    <t>Total feet</t>
  </si>
  <si>
    <t>% of Transect</t>
  </si>
  <si>
    <t>Erosion</t>
  </si>
  <si>
    <t>% of PAA banks</t>
  </si>
  <si>
    <t>Erosion (left)</t>
  </si>
  <si>
    <t>Erosion (right)</t>
  </si>
  <si>
    <r>
      <rPr>
        <sz val="10"/>
        <rFont val="Calibri"/>
        <family val="2"/>
      </rPr>
      <t xml:space="preserve">→ </t>
    </r>
    <r>
      <rPr>
        <sz val="10"/>
        <rFont val="Calibri"/>
        <family val="2"/>
        <scheme val="minor"/>
      </rPr>
      <t xml:space="preserve">Are any located &gt; 0.5 × BFW from the bankfull edge? </t>
    </r>
  </si>
  <si>
    <t>Armoring (left)</t>
  </si>
  <si>
    <t>→ …for more than 70% of the PAA length?</t>
  </si>
  <si>
    <t>Armoring (right)</t>
  </si>
  <si>
    <t>Date:</t>
  </si>
  <si>
    <t>Assessor:</t>
  </si>
  <si>
    <t>Average count</t>
  </si>
  <si>
    <t>SFAM Extended Area Assessment (EAA) Field Data Form</t>
  </si>
  <si>
    <r>
      <t xml:space="preserve">Record the thalweg depth at 10 equidistant points </t>
    </r>
    <r>
      <rPr>
        <u/>
        <sz val="10"/>
        <rFont val="Calibri"/>
        <family val="2"/>
        <scheme val="minor"/>
      </rPr>
      <t>between</t>
    </r>
    <r>
      <rPr>
        <sz val="10"/>
        <rFont val="Calibri"/>
        <family val="2"/>
        <scheme val="minor"/>
      </rPr>
      <t xml:space="preserve"> each cross-channel transect while moving upstream.</t>
    </r>
  </si>
  <si>
    <t>EAA Transect</t>
  </si>
  <si>
    <t>Feet from EAA lower boundary</t>
  </si>
  <si>
    <t xml:space="preserve">Wetted width  </t>
  </si>
  <si>
    <t>Bankfull 
height</t>
  </si>
  <si>
    <t>Lowest 
floodplain 
height</t>
  </si>
  <si>
    <t>Embed1</t>
  </si>
  <si>
    <t>Embed2</t>
  </si>
  <si>
    <t>Embed3</t>
  </si>
  <si>
    <t>Embed4</t>
  </si>
  <si>
    <t>Embed5</t>
  </si>
  <si>
    <t>Depth1</t>
  </si>
  <si>
    <t>Depth2</t>
  </si>
  <si>
    <t>Depth3</t>
  </si>
  <si>
    <t>Depth4</t>
  </si>
  <si>
    <t>Depth5</t>
  </si>
  <si>
    <t>Depth6</t>
  </si>
  <si>
    <t>Depth7</t>
  </si>
  <si>
    <t>Depth8</t>
  </si>
  <si>
    <t>Depth9</t>
  </si>
  <si>
    <t>Depth10</t>
  </si>
  <si>
    <t>H</t>
  </si>
  <si>
    <t>I</t>
  </si>
  <si>
    <t>J</t>
  </si>
  <si>
    <t>K</t>
  </si>
  <si>
    <t>What is the total longitudinal length of the EAA (ft)?</t>
  </si>
  <si>
    <t>% of EAA length</t>
  </si>
  <si>
    <t>Constraints to lateral migration (left)</t>
  </si>
  <si>
    <t>Constraints to lateral migration (right)</t>
  </si>
  <si>
    <t>% of EAA banks</t>
  </si>
  <si>
    <t xml:space="preserve">Total = </t>
  </si>
  <si>
    <r>
      <rPr>
        <b/>
        <sz val="12"/>
        <color theme="1"/>
        <rFont val="Calibri"/>
        <family val="2"/>
        <scheme val="minor"/>
      </rPr>
      <t>Enter the frequency (pieces per 328 ft) 
of wood in the channel:</t>
    </r>
    <r>
      <rPr>
        <sz val="12"/>
        <color theme="1"/>
        <rFont val="Calibri"/>
        <family val="2"/>
        <scheme val="minor"/>
      </rPr>
      <t xml:space="preserve"> 
</t>
    </r>
    <r>
      <rPr>
        <i/>
        <sz val="12"/>
        <color theme="1"/>
        <rFont val="Calibri"/>
        <family val="2"/>
        <scheme val="minor"/>
      </rPr>
      <t>(round to nearest hundredth)</t>
    </r>
    <r>
      <rPr>
        <sz val="12"/>
        <color theme="1"/>
        <rFont val="Calibri"/>
        <family val="2"/>
        <scheme val="minor"/>
      </rPr>
      <t xml:space="preserve"> </t>
    </r>
  </si>
  <si>
    <t>Print this form to take to the field, along with the PAA and EAA field forms. Use the instructions, measurements, and diagrams on this form to establish the two assessment areas necessary for data collection.</t>
  </si>
  <si>
    <r>
      <rPr>
        <b/>
        <sz val="10"/>
        <rFont val="Calibri"/>
        <family val="2"/>
        <scheme val="minor"/>
      </rPr>
      <t>Establishing the boundaries of the Proximal Assessment Area (PAA)</t>
    </r>
    <r>
      <rPr>
        <sz val="10"/>
        <rFont val="Calibri"/>
        <family val="2"/>
        <scheme val="minor"/>
      </rPr>
      <t xml:space="preserve">:
</t>
    </r>
    <r>
      <rPr>
        <b/>
        <sz val="10"/>
        <rFont val="Calibri"/>
        <family val="2"/>
        <scheme val="minor"/>
      </rPr>
      <t>a)</t>
    </r>
    <r>
      <rPr>
        <sz val="10"/>
        <rFont val="Calibri"/>
        <family val="2"/>
        <scheme val="minor"/>
      </rPr>
      <t xml:space="preserve"> Identify the spatial extent of direct impact.
</t>
    </r>
    <r>
      <rPr>
        <b/>
        <sz val="10"/>
        <rFont val="Calibri"/>
        <family val="2"/>
        <scheme val="minor"/>
      </rPr>
      <t>b)</t>
    </r>
    <r>
      <rPr>
        <sz val="10"/>
        <rFont val="Calibri"/>
        <family val="2"/>
        <scheme val="minor"/>
      </rPr>
      <t xml:space="preserve"> Establish the longitudinal boundaries of the PAA at the upstream and downstream extent of the impact, or 50ft of stream length, whichever is greater.
</t>
    </r>
    <r>
      <rPr>
        <b/>
        <sz val="10"/>
        <rFont val="Calibri"/>
        <family val="2"/>
        <scheme val="minor"/>
      </rPr>
      <t>c)</t>
    </r>
    <r>
      <rPr>
        <sz val="10"/>
        <rFont val="Calibri"/>
        <family val="2"/>
        <scheme val="minor"/>
      </rPr>
      <t xml:space="preserve"> Locate the center of the PAA and measure the bankfull channel width (BFW). 
</t>
    </r>
    <r>
      <rPr>
        <b/>
        <sz val="10"/>
        <rFont val="Calibri"/>
        <family val="2"/>
        <scheme val="minor"/>
      </rPr>
      <t>d)</t>
    </r>
    <r>
      <rPr>
        <sz val="10"/>
        <rFont val="Calibri"/>
        <family val="2"/>
        <scheme val="minor"/>
      </rPr>
      <t xml:space="preserve"> At two additional locations, equidistant between the PAA center and the PAA upper and lower boundaries, measure BFW. PAA transects will be located at the 3 locations where BFW was measured.
</t>
    </r>
    <r>
      <rPr>
        <b/>
        <sz val="10"/>
        <rFont val="Calibri"/>
        <family val="2"/>
        <scheme val="minor"/>
      </rPr>
      <t>e)</t>
    </r>
    <r>
      <rPr>
        <sz val="10"/>
        <rFont val="Calibri"/>
        <family val="2"/>
        <scheme val="minor"/>
      </rPr>
      <t xml:space="preserve"> Establish the lateral boundaries of the PAA at a distance of 2 × the </t>
    </r>
    <r>
      <rPr>
        <u/>
        <sz val="10"/>
        <rFont val="Calibri"/>
        <family val="2"/>
        <scheme val="minor"/>
      </rPr>
      <t>average</t>
    </r>
    <r>
      <rPr>
        <sz val="10"/>
        <rFont val="Calibri"/>
        <family val="2"/>
        <scheme val="minor"/>
      </rPr>
      <t xml:space="preserve"> BFW or 50’ from the stream edge (bankfull edge), whichever is greater, on each side of the stream.</t>
    </r>
  </si>
  <si>
    <r>
      <rPr>
        <b/>
        <sz val="10"/>
        <rFont val="Calibri"/>
        <family val="2"/>
        <scheme val="minor"/>
      </rPr>
      <t>Establishing the boundaries of the Extended Assessment Area (EAA):</t>
    </r>
    <r>
      <rPr>
        <sz val="10"/>
        <rFont val="Calibri"/>
        <family val="2"/>
        <scheme val="minor"/>
      </rPr>
      <t xml:space="preserve">
</t>
    </r>
    <r>
      <rPr>
        <b/>
        <sz val="10"/>
        <rFont val="Calibri"/>
        <family val="2"/>
        <scheme val="minor"/>
      </rPr>
      <t>a)</t>
    </r>
    <r>
      <rPr>
        <sz val="10"/>
        <rFont val="Calibri"/>
        <family val="2"/>
        <scheme val="minor"/>
      </rPr>
      <t xml:space="preserve"> The EAA is an upstream and downstream extension of the PAA. Establish the longitudinal boundaries by multiplying the average BFW by 5 and measuring that distance upstream and downstream from the PAA upper and lower boundaries, respectively.
</t>
    </r>
    <r>
      <rPr>
        <b/>
        <sz val="10"/>
        <rFont val="Calibri"/>
        <family val="2"/>
        <scheme val="minor"/>
      </rPr>
      <t>b)</t>
    </r>
    <r>
      <rPr>
        <sz val="10"/>
        <rFont val="Calibri"/>
        <family val="2"/>
        <scheme val="minor"/>
      </rPr>
      <t xml:space="preserve"> The lateral boundaries of the EAA are the same distance from the stream edge (bankfull) as the lateral boundaries for the PAA (above).  Note that the EAA contains the entire PAA. 
</t>
    </r>
    <r>
      <rPr>
        <b/>
        <sz val="10"/>
        <rFont val="Calibri"/>
        <family val="2"/>
        <scheme val="minor"/>
      </rPr>
      <t>c)</t>
    </r>
    <r>
      <rPr>
        <sz val="10"/>
        <rFont val="Calibri"/>
        <family val="2"/>
        <scheme val="minor"/>
      </rPr>
      <t xml:space="preserve"> Locate the 11 EAA transect locations by dividing the total EAA length by 10. The distance between each transect is 0.1 × the total EAA length. Transects include the upper and lower EAA boundaries. </t>
    </r>
  </si>
  <si>
    <t>Side channels  (either side)</t>
  </si>
  <si>
    <r>
      <rPr>
        <b/>
        <u/>
        <sz val="12"/>
        <color theme="1"/>
        <rFont val="Calibri"/>
        <family val="2"/>
        <scheme val="minor"/>
      </rPr>
      <t>Is there an area that is of special concern for drinking water sources or groundwater recharge within 2 miles downstream of the PA?</t>
    </r>
    <r>
      <rPr>
        <sz val="12"/>
        <color theme="1"/>
        <rFont val="Calibri"/>
        <family val="2"/>
        <scheme val="minor"/>
      </rPr>
      <t xml:space="preserve">
This includes any of the following: the source area for a surface-water drinking water source; the source area for a groundwater drinking water source; a designated Groundwater Management Area; a designated Sole Source Aquifer.
</t>
    </r>
    <r>
      <rPr>
        <i/>
        <sz val="12"/>
        <color theme="1"/>
        <rFont val="Calibri"/>
        <family val="2"/>
        <scheme val="minor"/>
      </rPr>
      <t>Values informed: Sub/Surface Transfer, Nutrient Cycling, Chemical Regulation</t>
    </r>
  </si>
  <si>
    <r>
      <t>Project Area Description</t>
    </r>
    <r>
      <rPr>
        <b/>
        <sz val="11"/>
        <rFont val="Calibri"/>
        <family val="2"/>
        <scheme val="minor"/>
      </rPr>
      <t xml:space="preserve">: </t>
    </r>
  </si>
  <si>
    <t>Is there a Floodplain?</t>
  </si>
  <si>
    <t>Mountain Wet Rain Low Permeability</t>
  </si>
  <si>
    <r>
      <t xml:space="preserve">What is the permeability of the aquifer (determined by percent permeable bedrock based on hydraulic conductivity m/day)?
</t>
    </r>
    <r>
      <rPr>
        <sz val="12"/>
        <color indexed="8"/>
        <rFont val="Calibri"/>
        <family val="2"/>
        <scheme val="minor"/>
      </rPr>
      <t>No data input necessary, information taken from EPA classification.</t>
    </r>
  </si>
  <si>
    <t>× 1.00</t>
  </si>
  <si>
    <t>× 0.50</t>
  </si>
  <si>
    <t>× 0.00</t>
  </si>
  <si>
    <t>InvVeg</t>
  </si>
  <si>
    <t>LgTree</t>
  </si>
  <si>
    <r>
      <rPr>
        <b/>
        <u/>
        <sz val="12"/>
        <color theme="1"/>
        <rFont val="Calibri"/>
        <family val="2"/>
        <scheme val="minor"/>
      </rPr>
      <t>What is the percent cover of large trees (dbh&gt;20in) within the PAA?</t>
    </r>
    <r>
      <rPr>
        <sz val="12"/>
        <color theme="1"/>
        <rFont val="Calibri"/>
        <family val="2"/>
        <scheme val="minor"/>
      </rPr>
      <t xml:space="preserve">
</t>
    </r>
    <r>
      <rPr>
        <i/>
        <sz val="12"/>
        <color theme="1"/>
        <rFont val="Calibri"/>
        <family val="2"/>
        <scheme val="minor"/>
      </rPr>
      <t>Functions informed: Maintain Biodiversity, Create &amp; Maintain Habitat</t>
    </r>
  </si>
  <si>
    <t xml:space="preserve">V1
Rare Species Occurrence &amp; Special Habitat Designations </t>
  </si>
  <si>
    <t>V2
Water Quality Impairments</t>
  </si>
  <si>
    <t>V5
Riparian Area</t>
  </si>
  <si>
    <t>V6
Extent of Downstream Floodplain Infrastructure</t>
  </si>
  <si>
    <t>V7
Zoning</t>
  </si>
  <si>
    <t>V8
Frequency of Downstream Flooding</t>
  </si>
  <si>
    <t>V9
Impoundments</t>
  </si>
  <si>
    <t>V10
Fish Passage Barriers</t>
  </si>
  <si>
    <t>V11
Water Source</t>
  </si>
  <si>
    <t>V12
Surrounding Land Cover</t>
  </si>
  <si>
    <t>V13
Riparian Continuity</t>
  </si>
  <si>
    <t>V14
Watershed Position</t>
  </si>
  <si>
    <t>V15
Flow Restoration Needs</t>
  </si>
  <si>
    <t>V16
Unique Habitat Features</t>
  </si>
  <si>
    <t>V3
Protected Areas</t>
  </si>
  <si>
    <t>V4
Impervious Area</t>
  </si>
  <si>
    <t>F1
Natural Cover</t>
  </si>
  <si>
    <t>F2
Invasive Vegetation</t>
  </si>
  <si>
    <t>F3
Native Woody Vegetation</t>
  </si>
  <si>
    <t>F4
Large Trees</t>
  </si>
  <si>
    <t>F5
Vegetated Riparian Corridor Width</t>
  </si>
  <si>
    <r>
      <rPr>
        <b/>
        <u/>
        <sz val="12"/>
        <color indexed="8"/>
        <rFont val="Calibri"/>
        <family val="2"/>
        <scheme val="minor"/>
      </rPr>
      <t xml:space="preserve">Is the channel variable? </t>
    </r>
    <r>
      <rPr>
        <sz val="12"/>
        <color indexed="8"/>
        <rFont val="Calibri"/>
        <family val="2"/>
        <scheme val="minor"/>
      </rPr>
      <t xml:space="preserve">
Channel bed variability indicators include variation in wetted channel width and stream thalweg depth along the EAA.  
</t>
    </r>
    <r>
      <rPr>
        <i/>
        <sz val="12"/>
        <color indexed="8"/>
        <rFont val="Calibri"/>
        <family val="2"/>
        <scheme val="minor"/>
      </rPr>
      <t>Functions informed: Surface Water Storage, Sub/Surface Transfer, Flow Variation, Sediment Continuity, Maintain Biodiversity, Create &amp; Maintain Habitat, Nutrient Cycling, Chemical Regulation</t>
    </r>
  </si>
  <si>
    <t>Width</t>
  </si>
  <si>
    <t>≤ 50 feet</t>
  </si>
  <si>
    <t>Runoff</t>
  </si>
  <si>
    <t>Surface Water Runoff</t>
  </si>
  <si>
    <r>
      <t xml:space="preserve">What is the level of surface water runoff (based on local water availability and local gradient)?
</t>
    </r>
    <r>
      <rPr>
        <sz val="12"/>
        <color indexed="8"/>
        <rFont val="Calibri"/>
        <family val="2"/>
        <scheme val="minor"/>
      </rPr>
      <t>No data input necessary, information taken from EPA classification (stream type &amp; gradient).</t>
    </r>
  </si>
  <si>
    <t>Vegetation transects are conducted on both banks. If it is physically or legally unfeasible to access one side, indicate which side was surveyed by selecting Left or Right from the dropdown menu.</t>
  </si>
  <si>
    <t xml:space="preserve">What is the length of the transect (ft)? </t>
  </si>
  <si>
    <t>&gt; 50 feet</t>
  </si>
  <si>
    <r>
      <rPr>
        <b/>
        <u/>
        <sz val="12"/>
        <color indexed="8"/>
        <rFont val="Calibri"/>
        <family val="2"/>
        <scheme val="minor"/>
      </rPr>
      <t>What is the frequency of downstream flooding?</t>
    </r>
    <r>
      <rPr>
        <sz val="12"/>
        <color indexed="8"/>
        <rFont val="Calibri"/>
        <family val="2"/>
        <scheme val="minor"/>
      </rPr>
      <t xml:space="preserve"> 
Consider the floodplain area between the PA and either the next largest water body or 2 miles, whichever is less. Determine the frequency of flooding downstream of the PA that affects infrastructure (i.e. affects use of the site or causes economic loss). 
</t>
    </r>
    <r>
      <rPr>
        <i/>
        <sz val="12"/>
        <color indexed="8"/>
        <rFont val="Calibri"/>
        <family val="2"/>
        <scheme val="minor"/>
      </rPr>
      <t>Values informed: Surface Water Storage</t>
    </r>
  </si>
  <si>
    <r>
      <rPr>
        <b/>
        <u/>
        <sz val="12"/>
        <color theme="1"/>
        <rFont val="Calibri"/>
        <family val="2"/>
        <scheme val="minor"/>
      </rPr>
      <t>What proportion of the EAA length has side channels?</t>
    </r>
    <r>
      <rPr>
        <b/>
        <sz val="12"/>
        <color theme="1"/>
        <rFont val="Calibri"/>
        <family val="2"/>
        <scheme val="minor"/>
      </rPr>
      <t xml:space="preserve"> </t>
    </r>
    <r>
      <rPr>
        <sz val="12"/>
        <color theme="1"/>
        <rFont val="Calibri"/>
        <family val="2"/>
        <scheme val="minor"/>
      </rPr>
      <t xml:space="preserve">
Side channels include all open conveyances of water, even if the channel is plugged on one end. If both ends are plugged, do not count as a side channel.
</t>
    </r>
    <r>
      <rPr>
        <i/>
        <sz val="12"/>
        <color theme="1"/>
        <rFont val="Calibri"/>
        <family val="2"/>
        <scheme val="minor"/>
      </rPr>
      <t>Functions informed: Surface Water Storage, Sub/Surface Transfer, Maintain Biodiversity, Create &amp; Maintain Habitat</t>
    </r>
  </si>
  <si>
    <r>
      <rPr>
        <b/>
        <u/>
        <sz val="12"/>
        <color indexed="8"/>
        <rFont val="Calibri"/>
        <family val="2"/>
        <scheme val="minor"/>
      </rPr>
      <t>What percentage of stream banks within the PAA are actively eroding or recently (within previous year or high flow) eroded?</t>
    </r>
    <r>
      <rPr>
        <sz val="12"/>
        <color indexed="8"/>
        <rFont val="Calibri"/>
        <family val="2"/>
        <scheme val="minor"/>
      </rPr>
      <t xml:space="preserve">
Indications of active/recent erosion include vertical or near vertical bank stream banks that show exposed soil and rock, evidence of tension cracks, active sloughing, or that are largely void of vegetation or roots capable of holding soil together. The percent is calculated as the sum of lengths of left and right banks that are eroding, divided by the sum of total lengths of both banks within PAA.
</t>
    </r>
    <r>
      <rPr>
        <i/>
        <sz val="12"/>
        <color indexed="8"/>
        <rFont val="Calibri"/>
        <family val="2"/>
        <scheme val="minor"/>
      </rPr>
      <t>Functions informed: Sediment Continuity</t>
    </r>
  </si>
  <si>
    <r>
      <t>What are the land cover types surrounding the PA?</t>
    </r>
    <r>
      <rPr>
        <b/>
        <sz val="12"/>
        <color indexed="8"/>
        <rFont val="Calibri"/>
        <family val="2"/>
        <scheme val="minor"/>
      </rPr>
      <t xml:space="preserve"> 
</t>
    </r>
    <r>
      <rPr>
        <sz val="12"/>
        <color indexed="8"/>
        <rFont val="Calibri"/>
        <family val="2"/>
        <scheme val="minor"/>
      </rPr>
      <t xml:space="preserve">Draw a 2 mile radius around the PA. Provide an estimate of the percentage of area within the resulting polygon that matches each land cover description. Enter 0% if none.  Enter 1% if barely present. Must sum to 100%.
</t>
    </r>
    <r>
      <rPr>
        <i/>
        <sz val="12"/>
        <color indexed="8"/>
        <rFont val="Calibri"/>
        <family val="2"/>
        <scheme val="minor"/>
      </rPr>
      <t>Values informed: Maintain Biodiversity, Sustain Trophic Structure</t>
    </r>
  </si>
  <si>
    <t>Function Group Rating</t>
  </si>
  <si>
    <t>Value 
Group Rating</t>
  </si>
  <si>
    <t>REPRESENTATIVE FUNCTION</t>
  </si>
  <si>
    <t>Sum + Fnum</t>
  </si>
  <si>
    <t>Record % embeddedness (to the nearest quartile: 0, 25, 50, 75, 100) at 5 equidistant points along each cross-channel transect.</t>
  </si>
  <si>
    <t>Record width and height at each cross-channel transect (round to nearest 0.1 ft).</t>
  </si>
  <si>
    <t>Seeps, springs, or tributaries contributing colder water?</t>
  </si>
  <si>
    <t>Thermal subscore</t>
  </si>
  <si>
    <t>Substrate subscore</t>
  </si>
  <si>
    <t>Overall HabFeat score</t>
  </si>
  <si>
    <t>FILL IN THE YELLOW BOXES. Most questions contain drop-down menus in their respective answer box. Select an answer from the drop-down menus, when possible, instead of typing an answer.</t>
  </si>
  <si>
    <t>Native WoodyVeg</t>
  </si>
  <si>
    <r>
      <rPr>
        <b/>
        <sz val="10"/>
        <rFont val="Calibri"/>
        <family val="2"/>
        <scheme val="minor"/>
      </rPr>
      <t>Natural Cover (F1)</t>
    </r>
    <r>
      <rPr>
        <sz val="10"/>
        <rFont val="Calibri"/>
        <family val="2"/>
        <scheme val="minor"/>
      </rPr>
      <t>:</t>
    </r>
    <r>
      <rPr>
        <sz val="11"/>
        <rFont val="Calibri"/>
        <family val="2"/>
        <scheme val="minor"/>
      </rPr>
      <t xml:space="preserve"> </t>
    </r>
    <r>
      <rPr>
        <sz val="10"/>
        <rFont val="Calibri"/>
        <family val="2"/>
        <scheme val="minor"/>
      </rPr>
      <t xml:space="preserve">Record densiometer readings from both left and right banks at each transect. </t>
    </r>
  </si>
  <si>
    <r>
      <rPr>
        <b/>
        <sz val="10"/>
        <rFont val="Calibri"/>
        <family val="2"/>
        <scheme val="minor"/>
      </rPr>
      <t>Invasive Vegetation (F2), Native Woody Vegetation (F3), and Large Trees (F4)</t>
    </r>
    <r>
      <rPr>
        <b/>
        <i/>
        <sz val="10"/>
        <rFont val="Calibri"/>
        <family val="2"/>
        <scheme val="minor"/>
      </rPr>
      <t>:</t>
    </r>
    <r>
      <rPr>
        <sz val="10"/>
        <rFont val="Calibri"/>
        <family val="2"/>
        <scheme val="minor"/>
      </rPr>
      <t xml:space="preserve"> For each of the three vegetation classes, record the start and end positions (distance from bankfull, to the nearest 0.1ft) of each occurrence along the length of the transect. Transects run perpendicular to the stream edge, from the bankfull edge to the lateral boundary of the PAA.</t>
    </r>
  </si>
  <si>
    <t>Natural Cover</t>
  </si>
  <si>
    <t>Natural Cover (F1)</t>
  </si>
  <si>
    <t>RipWidth (F5)</t>
  </si>
  <si>
    <t>InvVeg (F2)</t>
  </si>
  <si>
    <t>Native WoodyVeg (F3)</t>
  </si>
  <si>
    <t>LgTree (F4)</t>
  </si>
  <si>
    <r>
      <rPr>
        <b/>
        <sz val="10"/>
        <rFont val="Calibri"/>
        <family val="2"/>
        <scheme val="minor"/>
      </rPr>
      <t>Unique Features (V16)</t>
    </r>
    <r>
      <rPr>
        <sz val="10"/>
        <rFont val="Calibri"/>
        <family val="2"/>
        <scheme val="minor"/>
      </rPr>
      <t xml:space="preserve">: Note the presence of any unique habitat features throughout the EAA including, but not limited to: log jams, braided channels, &gt;30% wetlands in floodplain, springs, seeps, cold water inputs, etc. </t>
    </r>
  </si>
  <si>
    <t>Not Classified</t>
  </si>
  <si>
    <t>SubFeat</t>
  </si>
  <si>
    <t>ThermFeat</t>
  </si>
  <si>
    <r>
      <t xml:space="preserve">FUNCTION MEASURE INPUT VALUES 
</t>
    </r>
    <r>
      <rPr>
        <i/>
        <sz val="9"/>
        <rFont val="Calibri"/>
        <family val="2"/>
        <scheme val="minor"/>
      </rPr>
      <t>(enter results below into Function worksheet)</t>
    </r>
  </si>
  <si>
    <r>
      <t xml:space="preserve">What is the relative position of the PA in its HUC 8 watershed?
</t>
    </r>
    <r>
      <rPr>
        <sz val="12"/>
        <color theme="1"/>
        <rFont val="Calibri"/>
        <family val="2"/>
        <scheme val="minor"/>
      </rPr>
      <t>Answer this question looking at position of the PA releative to the 8-digit HUC layer. 
• If the PA is (a) closer to the watershed’s outlet than its upper end and (b) closer to the large stream/river exiting the watershed’s outlet than it is to the boundary of the watershed, select “lower 1/3.”
• If the PA is (a) closer to the watershed’s upper end than its outlet and (b) closer to the watershed’s boundary than its large stream/river, select “upper 1/3.”
• If neither of the above conditions are met, select “middle 1/3.”</t>
    </r>
    <r>
      <rPr>
        <b/>
        <u/>
        <sz val="12"/>
        <color theme="1"/>
        <rFont val="Calibri"/>
        <family val="2"/>
        <scheme val="minor"/>
      </rPr>
      <t xml:space="preserve">
</t>
    </r>
    <r>
      <rPr>
        <i/>
        <sz val="12"/>
        <color theme="1"/>
        <rFont val="Calibri"/>
        <family val="2"/>
        <scheme val="minor"/>
      </rPr>
      <t>Values informed: Sediment Continuity, Nutrient Cycling, Chemical Regulation</t>
    </r>
  </si>
  <si>
    <r>
      <rPr>
        <b/>
        <u/>
        <sz val="12"/>
        <color theme="1"/>
        <rFont val="Calibri"/>
        <family val="2"/>
        <scheme val="minor"/>
      </rPr>
      <t xml:space="preserve">Is the PA boundary within 300 feet of a special protected area? 
</t>
    </r>
    <r>
      <rPr>
        <sz val="12"/>
        <color theme="1"/>
        <rFont val="Calibri"/>
        <family val="2"/>
        <scheme val="minor"/>
      </rPr>
      <t xml:space="preserve">Answer using information from the site's SFAM Report (Within 300 feet of a Special Protected Area) as well as other available data for the PA and its vicinity. 
Note: The SFAM Report evaluates whether BLM Areas of Critical Environmental Concern (ACEC) or Outstanding Natural Areas (ONA), federal Research Natural Areas (RNA) or Special Interest Areas (SIA), Natural Heritage Conservation Areas (NHCA), and Land Trust and Nature Conservancy Preserves are within 300 feet of the PA. If there are other lands within 300 feet of the site that are protected specifically for their high ecological significance, select yes and provide references in the assessment notes section of the cover page.
</t>
    </r>
    <r>
      <rPr>
        <i/>
        <sz val="12"/>
        <color theme="1"/>
        <rFont val="Calibri"/>
        <family val="2"/>
        <scheme val="minor"/>
      </rPr>
      <t>Values informed: Maintain Biodiversity, Sustain Trophic Structure</t>
    </r>
  </si>
  <si>
    <r>
      <t xml:space="preserve">What ratings does the Oregon Stream Classification identify for the following measures in the local hydrologic unit? </t>
    </r>
    <r>
      <rPr>
        <sz val="12"/>
        <color indexed="8"/>
        <rFont val="Calibri"/>
        <family val="2"/>
        <scheme val="minor"/>
      </rPr>
      <t xml:space="preserve">Refer to the SFAM Report. </t>
    </r>
    <r>
      <rPr>
        <sz val="11"/>
        <color theme="1"/>
        <rFont val="Calibri"/>
        <family val="2"/>
        <scheme val="minor"/>
      </rPr>
      <t>If project area spans more than one reach, describe the dominant classification:</t>
    </r>
  </si>
  <si>
    <r>
      <t xml:space="preserve">Which Level III EPA Ecoregion is the site located in? </t>
    </r>
    <r>
      <rPr>
        <sz val="10"/>
        <color indexed="8"/>
        <rFont val="Calibri"/>
        <family val="2"/>
        <scheme val="minor"/>
      </rPr>
      <t>(SFAM Report)</t>
    </r>
  </si>
  <si>
    <r>
      <rPr>
        <b/>
        <sz val="11.5"/>
        <color indexed="8"/>
        <rFont val="Calibri"/>
        <family val="2"/>
        <scheme val="minor"/>
      </rPr>
      <t>Is the average width of the stream less than or greater than 50 feet?</t>
    </r>
    <r>
      <rPr>
        <sz val="10"/>
        <color indexed="8"/>
        <rFont val="Calibri"/>
        <family val="2"/>
        <scheme val="minor"/>
      </rPr>
      <t xml:space="preserve"> (User Input)</t>
    </r>
  </si>
  <si>
    <r>
      <t>What is the size of the drainage area (mi</t>
    </r>
    <r>
      <rPr>
        <b/>
        <vertAlign val="superscript"/>
        <sz val="12"/>
        <color indexed="8"/>
        <rFont val="Calibri"/>
        <family val="2"/>
        <scheme val="minor"/>
      </rPr>
      <t>2</t>
    </r>
    <r>
      <rPr>
        <b/>
        <sz val="12"/>
        <color indexed="8"/>
        <rFont val="Calibri"/>
        <family val="2"/>
        <scheme val="minor"/>
      </rPr>
      <t>)?</t>
    </r>
    <r>
      <rPr>
        <sz val="10"/>
        <color indexed="8"/>
        <rFont val="Calibri"/>
        <family val="2"/>
        <scheme val="minor"/>
      </rPr>
      <t xml:space="preserve"> (StreamStats Report)</t>
    </r>
  </si>
  <si>
    <r>
      <rPr>
        <b/>
        <sz val="12"/>
        <color theme="1"/>
        <rFont val="Calibri"/>
        <family val="2"/>
        <scheme val="minor"/>
      </rPr>
      <t>What is the Oregon Stream Classification for the project area?</t>
    </r>
    <r>
      <rPr>
        <sz val="12"/>
        <color theme="1"/>
        <rFont val="Calibri"/>
        <family val="2"/>
        <scheme val="minor"/>
      </rPr>
      <t xml:space="preserve"> Select from drop-down menu. Refer to the SFAM Report. If the project area spans more than one reach, describe the dominant stream classification.</t>
    </r>
  </si>
  <si>
    <r>
      <t>Is the channel perennial, intermittent, or ephemeral?</t>
    </r>
    <r>
      <rPr>
        <sz val="8"/>
        <color indexed="8"/>
        <rFont val="Calibri"/>
        <family val="2"/>
        <scheme val="minor"/>
      </rPr>
      <t xml:space="preserve"> </t>
    </r>
    <r>
      <rPr>
        <sz val="10"/>
        <color indexed="8"/>
        <rFont val="Calibri"/>
        <family val="2"/>
        <scheme val="minor"/>
      </rPr>
      <t xml:space="preserve">(Map Viewer-NHD Flowline) </t>
    </r>
  </si>
  <si>
    <r>
      <t xml:space="preserve">Elevation:
</t>
    </r>
    <r>
      <rPr>
        <sz val="10"/>
        <color indexed="8"/>
        <rFont val="Calibri"/>
        <family val="2"/>
        <scheme val="minor"/>
      </rPr>
      <t>(SFAM Report)</t>
    </r>
  </si>
  <si>
    <t>Note: This is not the average;</t>
  </si>
  <si>
    <r>
      <rPr>
        <b/>
        <sz val="12"/>
        <color theme="1"/>
        <rFont val="Calibri"/>
        <family val="2"/>
        <scheme val="minor"/>
      </rPr>
      <t xml:space="preserve">Enter the average incision: 
</t>
    </r>
    <r>
      <rPr>
        <i/>
        <sz val="12"/>
        <color theme="1"/>
        <rFont val="Calibri"/>
        <family val="2"/>
        <scheme val="minor"/>
      </rPr>
      <t>(round to nearest hundredth)</t>
    </r>
  </si>
  <si>
    <t xml:space="preserve">see data summary information </t>
  </si>
  <si>
    <t>in column Y-Z</t>
  </si>
  <si>
    <r>
      <rPr>
        <b/>
        <u/>
        <sz val="12"/>
        <color indexed="8"/>
        <rFont val="Calibri"/>
        <family val="2"/>
        <scheme val="minor"/>
      </rPr>
      <t>Are there rare species or special habitat designations in the vicinity of the PA</t>
    </r>
    <r>
      <rPr>
        <b/>
        <sz val="12"/>
        <color indexed="8"/>
        <rFont val="Calibri"/>
        <family val="2"/>
        <scheme val="minor"/>
      </rPr>
      <t xml:space="preserve">? 
</t>
    </r>
    <r>
      <rPr>
        <sz val="12"/>
        <color indexed="8"/>
        <rFont val="Calibri"/>
        <family val="2"/>
        <scheme val="minor"/>
      </rPr>
      <t xml:space="preserve">Answer each submeasure using information from the site's SFAM report (rare species scores &amp; special habitat designations section), as well as any available survey data for the PA and its vicinity, or personal knowledge about the site.
Note: The SFAM Report provides rankings of High, Intermediate, Low, or None for each category of rare species associated with aquatic and riparian habitat. Upgrade a ranking to High if there is a recent (within 5 years) onsite observation of any of these species by a qualified observer under conditions similar to what now occur.  Provide references in the external notes section of the cover page.
</t>
    </r>
    <r>
      <rPr>
        <i/>
        <sz val="11"/>
        <color indexed="8"/>
        <rFont val="Calibri"/>
        <family val="2"/>
        <scheme val="minor"/>
      </rPr>
      <t>Values informed: Surface Water Storage, Flow Variation, Substrate Mobility, Maintain Biodiversity, Sustain Trophic Structure, Nutrient Cycling, Chemical Regulation, Thermal Regulation</t>
    </r>
  </si>
  <si>
    <t>&lt;10%, select A; 
10-25%, select B; 
&gt;25-60%, select C; 
&gt;60%, select D.</t>
  </si>
  <si>
    <t xml:space="preserve">If &gt;50% select A. 
If &gt;35-50%, select B. 
If 15-35%, select C. 
If &lt;15%, select D. </t>
  </si>
  <si>
    <r>
      <rPr>
        <b/>
        <u/>
        <sz val="12"/>
        <color indexed="8"/>
        <rFont val="Calibri"/>
        <family val="2"/>
        <scheme val="minor"/>
      </rPr>
      <t>What percent of the floodplain has been disconnected within the PAA?</t>
    </r>
    <r>
      <rPr>
        <b/>
        <sz val="12"/>
        <color indexed="8"/>
        <rFont val="Calibri"/>
        <family val="2"/>
        <scheme val="minor"/>
      </rPr>
      <t xml:space="preserve"> 
</t>
    </r>
    <r>
      <rPr>
        <sz val="12"/>
        <color indexed="8"/>
        <rFont val="Calibri"/>
        <family val="2"/>
        <scheme val="minor"/>
      </rPr>
      <t>For alluvial rivers, the floodplain is defined by a distinct break in slope at valley margins, a change in geologic character from alluvium to other, indications of historical channel alignments within a valley, or as the 100-year flood limit. Disconnection refers to any portion of the flood area no longer inundated due to levees, channel entrenchment, roads or railroad grades, or other structures (including buildings and any associated fill) within the proximal assessment area.  All barriers should be included when estimating disconnection, even if the barrier is not present during all flood stages; EXCEPT where the structure is expressly managed for floodplain function and inundation.</t>
    </r>
    <r>
      <rPr>
        <b/>
        <sz val="12"/>
        <color indexed="8"/>
        <rFont val="Calibri"/>
        <family val="2"/>
        <scheme val="minor"/>
      </rPr>
      <t xml:space="preserve">
</t>
    </r>
    <r>
      <rPr>
        <i/>
        <sz val="12"/>
        <color indexed="8"/>
        <rFont val="Calibri"/>
        <family val="2"/>
        <scheme val="minor"/>
      </rPr>
      <t>Functions informed: Surface Water Storage, Create &amp; Maintain Habitat</t>
    </r>
  </si>
  <si>
    <r>
      <t>Riparian Corridor (F5):</t>
    </r>
    <r>
      <rPr>
        <sz val="9"/>
        <rFont val="Calibri"/>
        <family val="2"/>
        <scheme val="minor"/>
      </rPr>
      <t xml:space="preserve"> Record the width (ft) of the riparian corridor at each PAA transect. If &gt; 330 ft, enter 330.</t>
    </r>
  </si>
  <si>
    <t>See F2-F4 below</t>
  </si>
  <si>
    <t>What is the longitudinal length of the PAA?</t>
  </si>
  <si>
    <r>
      <rPr>
        <b/>
        <u/>
        <sz val="12"/>
        <color indexed="8"/>
        <rFont val="Calibri"/>
        <family val="2"/>
        <scheme val="minor"/>
      </rPr>
      <t>What is the percent natural cover above the stream within the PAA?</t>
    </r>
    <r>
      <rPr>
        <sz val="12"/>
        <color indexed="8"/>
        <rFont val="Calibri"/>
        <family val="2"/>
        <scheme val="minor"/>
      </rPr>
      <t xml:space="preserve">
Measure the percentage of cover above the stream, including both overstory and understory vegetation and overhanging banks, by averaging spherical densiometer measurements taken at each transect within the PAA.
</t>
    </r>
    <r>
      <rPr>
        <i/>
        <sz val="12"/>
        <color indexed="8"/>
        <rFont val="Calibri"/>
        <family val="2"/>
        <scheme val="minor"/>
      </rPr>
      <t>Functions informed: Sustain Trophic Structure, Nutrient Cycling, Thermal Regulation</t>
    </r>
  </si>
  <si>
    <r>
      <rPr>
        <b/>
        <u/>
        <sz val="12"/>
        <color indexed="8"/>
        <rFont val="Calibri"/>
        <family val="2"/>
        <scheme val="minor"/>
      </rPr>
      <t>Are there wetland indicator plants adjacent to the channel and/or in the floodplain within the PAA?</t>
    </r>
    <r>
      <rPr>
        <b/>
        <sz val="12"/>
        <color indexed="8"/>
        <rFont val="Calibri"/>
        <family val="2"/>
        <scheme val="minor"/>
      </rPr>
      <t xml:space="preserve"> 
</t>
    </r>
    <r>
      <rPr>
        <sz val="12"/>
        <color indexed="8"/>
        <rFont val="Calibri"/>
        <family val="2"/>
        <scheme val="minor"/>
      </rPr>
      <t xml:space="preserve">Determine if  vegetation in the riparian area of the PAA has a wetland indicator status of obligate or facultative wet. 
</t>
    </r>
    <r>
      <rPr>
        <i/>
        <sz val="12"/>
        <color indexed="8"/>
        <rFont val="Calibri"/>
        <family val="2"/>
        <scheme val="minor"/>
      </rPr>
      <t>Functions informed: Sub/Surface Transfer, Maintain Biodiversity, Sustain Trophic Structure, Nutrient Cycling, Chemical Regulation</t>
    </r>
  </si>
  <si>
    <r>
      <rPr>
        <b/>
        <u/>
        <sz val="12"/>
        <color indexed="8"/>
        <rFont val="Calibri"/>
        <family val="2"/>
        <scheme val="minor"/>
      </rPr>
      <t xml:space="preserve">What is the degree of substrate embeddedness in the stream channel? </t>
    </r>
    <r>
      <rPr>
        <b/>
        <sz val="12"/>
        <color indexed="8"/>
        <rFont val="Calibri"/>
        <family val="2"/>
        <scheme val="minor"/>
      </rPr>
      <t xml:space="preserve">
</t>
    </r>
    <r>
      <rPr>
        <sz val="12"/>
        <color indexed="8"/>
        <rFont val="Calibri"/>
        <family val="2"/>
        <scheme val="minor"/>
      </rPr>
      <t xml:space="preserve">To what extent are larger stream substrate particles surrounded by finer sediments on the surface of the streambed? Measurements are taken at 11 transects within the EAA.
</t>
    </r>
    <r>
      <rPr>
        <i/>
        <sz val="12"/>
        <color indexed="8"/>
        <rFont val="Calibri"/>
        <family val="2"/>
        <scheme val="minor"/>
      </rPr>
      <t>Functions informed: Flow Variation, Substrate Mobility, Create &amp; Maintain Habitat</t>
    </r>
  </si>
  <si>
    <r>
      <rPr>
        <b/>
        <u/>
        <sz val="12"/>
        <color indexed="8"/>
        <rFont val="Calibri"/>
        <family val="2"/>
        <scheme val="minor"/>
      </rPr>
      <t>What is the degree of channel incision within the EAA?</t>
    </r>
    <r>
      <rPr>
        <b/>
        <sz val="12"/>
        <color indexed="8"/>
        <rFont val="Calibri"/>
        <family val="2"/>
        <scheme val="minor"/>
      </rPr>
      <t xml:space="preserve"> 
</t>
    </r>
    <r>
      <rPr>
        <sz val="12"/>
        <color indexed="8"/>
        <rFont val="Calibri"/>
        <family val="2"/>
        <scheme val="minor"/>
      </rPr>
      <t xml:space="preserve">As part of the longitudinal survey, at 11 evenly spaced locations along the stream within the EAA, measure the Bank Height Ratio (BHR). The BHR is the height from the stream thalweg to the lowest floodplain/terrace divided by the bankfull height. Do not consider inset floodplains.
</t>
    </r>
    <r>
      <rPr>
        <i/>
        <sz val="12"/>
        <color indexed="8"/>
        <rFont val="Calibri"/>
        <family val="2"/>
        <scheme val="minor"/>
      </rPr>
      <t>Functions informed: Surface Water Storage, Sediment Continuity, Create &amp; Maintain Habitat</t>
    </r>
  </si>
  <si>
    <r>
      <rPr>
        <b/>
        <u/>
        <sz val="12"/>
        <color indexed="8"/>
        <rFont val="Calibri"/>
        <family val="2"/>
        <scheme val="minor"/>
      </rPr>
      <t>Does the stream interact with its floodplain within the PAA?</t>
    </r>
    <r>
      <rPr>
        <b/>
        <sz val="12"/>
        <color indexed="8"/>
        <rFont val="Calibri"/>
        <family val="2"/>
        <scheme val="minor"/>
      </rPr>
      <t xml:space="preserve">
</t>
    </r>
    <r>
      <rPr>
        <sz val="12"/>
        <color indexed="8"/>
        <rFont val="Calibri"/>
        <family val="2"/>
        <scheme val="minor"/>
      </rPr>
      <t xml:space="preserve">Is there evidence of fine sediment deposition (sand or silt) on the floodplain, organic litter wracked on the floodplain or in floodplain vegetation, or scour of floodplain surfaces, extending greater than 0.5xBFW onto </t>
    </r>
    <r>
      <rPr>
        <u/>
        <sz val="12"/>
        <color indexed="8"/>
        <rFont val="Calibri"/>
        <family val="2"/>
        <scheme val="minor"/>
      </rPr>
      <t>either</t>
    </r>
    <r>
      <rPr>
        <sz val="12"/>
        <color indexed="8"/>
        <rFont val="Calibri"/>
        <family val="2"/>
        <scheme val="minor"/>
      </rPr>
      <t xml:space="preserve"> the right or left bank floodplain within the PAA? Do not include evidence from inset floodplains developing within entrenched channel systems. 
If the abutting land use limits the opportunity to observe evidence of overbank flow, is there other credible information that would indicate regular (at least every two years) overbank flow in the PAA? Examples of "other credible information" include first-hand knowledge, discharge/stream gauge measures, etc. Cite the evidence on the Cover Page.
</t>
    </r>
    <r>
      <rPr>
        <i/>
        <sz val="12"/>
        <color indexed="8"/>
        <rFont val="Calibri"/>
        <family val="2"/>
        <scheme val="minor"/>
      </rPr>
      <t>Functions informed: Surface Water Storage, Sub/Surface Transfer, Sustain Trophic Structure, Nutrient Cycling, Chemical Regulation</t>
    </r>
  </si>
  <si>
    <r>
      <t>If yes, are any wetland indicator plants located greater than 0.5 x BFW from the bankfull edge on at least one side of the stream?
(</t>
    </r>
    <r>
      <rPr>
        <i/>
        <sz val="12"/>
        <color theme="1"/>
        <rFont val="Calibri"/>
        <family val="2"/>
        <scheme val="minor"/>
      </rPr>
      <t>Select N/A if you answered No above)</t>
    </r>
  </si>
  <si>
    <r>
      <rPr>
        <b/>
        <u/>
        <sz val="12"/>
        <color indexed="8"/>
        <rFont val="Calibri"/>
        <family val="2"/>
        <scheme val="minor"/>
      </rPr>
      <t>What is the average width of the vegetated riparian corridor within the PAA?</t>
    </r>
    <r>
      <rPr>
        <b/>
        <sz val="12"/>
        <color indexed="8"/>
        <rFont val="Calibri"/>
        <family val="2"/>
        <scheme val="minor"/>
      </rPr>
      <t xml:space="preserve"> 
</t>
    </r>
    <r>
      <rPr>
        <sz val="12"/>
        <color indexed="8"/>
        <rFont val="Calibri"/>
        <family val="2"/>
        <scheme val="minor"/>
      </rPr>
      <t xml:space="preserve">An intact vegetated riparian corridor is defined as one typified by largely undisturbed ground cover and dominated by "natural" species. Natural does not necessarily mean pristine and can include both upland plants and species with wetland indicator status, and native and non-native species. Natural does not include pasture or cropland, recreational fields, recently harvested forest, pavement, bare soil, gravel pits, or dirt roads. Note that relatively small features, such as a narrow walking trail, that likely have negligible effects on water quality can be included within the vegetated riparian corridor width.
</t>
    </r>
    <r>
      <rPr>
        <i/>
        <sz val="12"/>
        <color indexed="8"/>
        <rFont val="Calibri"/>
        <family val="2"/>
        <scheme val="minor"/>
      </rPr>
      <t>Functions informed: Nutrient Cycling, Chemical Regulation</t>
    </r>
  </si>
  <si>
    <t>F6 
Fish Passage Barriers</t>
  </si>
  <si>
    <t>F7
Floodplain Exclusion</t>
  </si>
  <si>
    <t>F8
Bank Armoring</t>
  </si>
  <si>
    <t>F9
Bank Erosion</t>
  </si>
  <si>
    <t>F10
Overbank Flow</t>
  </si>
  <si>
    <t>F11
Wetland Vegetation</t>
  </si>
  <si>
    <t>F12
Side Channels</t>
  </si>
  <si>
    <t>F13
Lateral Migration</t>
  </si>
  <si>
    <t>F14
Wood</t>
  </si>
  <si>
    <t>F15
Incision</t>
  </si>
  <si>
    <t>F16
Embeddedness</t>
  </si>
  <si>
    <t>F17
Channel Bed Variability</t>
  </si>
  <si>
    <r>
      <t xml:space="preserve">What is the "streamflow restoration need" ranking of the watershed within which the PA is located?
</t>
    </r>
    <r>
      <rPr>
        <sz val="12"/>
        <color theme="1"/>
        <rFont val="Calibri"/>
        <family val="2"/>
        <scheme val="minor"/>
      </rPr>
      <t xml:space="preserve">Answer this question using the Flow Restoration Needs layer in the SFAM Map Viewer.
</t>
    </r>
    <r>
      <rPr>
        <i/>
        <sz val="12"/>
        <color theme="1"/>
        <rFont val="Calibri"/>
        <family val="2"/>
        <scheme val="minor"/>
      </rPr>
      <t>Values informed: Flow Variation, Create &amp; Maintain Habitat</t>
    </r>
  </si>
  <si>
    <r>
      <rPr>
        <b/>
        <u/>
        <sz val="12"/>
        <color indexed="8"/>
        <rFont val="Calibri"/>
        <family val="2"/>
        <scheme val="minor"/>
      </rPr>
      <t xml:space="preserve">What is the longitudinal extent of intact riparian area that is contiguous to the PA? 
</t>
    </r>
    <r>
      <rPr>
        <sz val="12"/>
        <color indexed="8"/>
        <rFont val="Calibri"/>
        <family val="2"/>
        <scheme val="minor"/>
      </rPr>
      <t>Select the longest length of contiguous riparian corridor in either the upstream or downstream direction, but do not include the PA length itself.</t>
    </r>
    <r>
      <rPr>
        <b/>
        <u/>
        <sz val="12"/>
        <color indexed="8"/>
        <rFont val="Calibri"/>
        <family val="2"/>
        <scheme val="minor"/>
      </rPr>
      <t xml:space="preserve">
</t>
    </r>
    <r>
      <rPr>
        <sz val="12"/>
        <color indexed="8"/>
        <rFont val="Calibri"/>
        <family val="2"/>
        <scheme val="minor"/>
      </rPr>
      <t xml:space="preserve">Intact refers to a riparian area with forest or otherwise managed (i.e. natural) perennial cover appropriate for the basin that is at least 15 ft wide on both sides of the channel. Contiguous means there are no &gt; 100 ft gaps in forested cover or unmanaged perennial cover. Unmanaged perennial cover is vegetation that includes wooded areas, native prairies, sagebrush, vegetated wetlands, as well as relatively unmanaged commercial lands in which the ground and vegetation is disturbed less than annually, such as lightly grazed pastures, timber harvest areas, and rangeland. It does not include water, pasture, row crops (e.g., vegetable, orchards, Christmas tree farms), lawns, residential areas, golf courses, recreational fields, pavement, bare soil, rock, bare sand, or gravel or dirt roads. 
</t>
    </r>
    <r>
      <rPr>
        <i/>
        <sz val="12"/>
        <color indexed="8"/>
        <rFont val="Calibri"/>
        <family val="2"/>
        <scheme val="minor"/>
      </rPr>
      <t>Values informed: Maintain Biodiversity, Create &amp; Maintain Habitat, Sustain Trophic Structure, Nutrient Cycling, Chemical Regulation, Thermal Regulation</t>
    </r>
  </si>
  <si>
    <r>
      <t xml:space="preserve">What is the dominant zoned land use designation downstream of the PA? 
</t>
    </r>
    <r>
      <rPr>
        <sz val="12"/>
        <color theme="1"/>
        <rFont val="Calibri"/>
        <family val="2"/>
        <scheme val="minor"/>
      </rPr>
      <t xml:space="preserve">Consider the floodplain area between the PA and either the next largest water body (larger tributary, mainstem junction, lake, etc.) or 2 miles downstream, whichever is less.
</t>
    </r>
    <r>
      <rPr>
        <i/>
        <sz val="12"/>
        <color theme="1"/>
        <rFont val="Calibri"/>
        <family val="2"/>
        <scheme val="minor"/>
      </rPr>
      <t>Values informed: Surface Water Storage, Create &amp; Maintain Habitat, Sustain Trophic Structure</t>
    </r>
  </si>
  <si>
    <r>
      <rPr>
        <b/>
        <u/>
        <sz val="12"/>
        <color indexed="8"/>
        <rFont val="Calibri"/>
        <family val="2"/>
        <scheme val="minor"/>
      </rPr>
      <t>What is the percentage of intact riparian area within 2 miles upstream of the PA</t>
    </r>
    <r>
      <rPr>
        <b/>
        <sz val="12"/>
        <color indexed="8"/>
        <rFont val="Calibri"/>
        <family val="2"/>
        <scheme val="minor"/>
      </rPr>
      <t xml:space="preserve">? 
</t>
    </r>
    <r>
      <rPr>
        <sz val="12"/>
        <color indexed="8"/>
        <rFont val="Calibri"/>
        <family val="2"/>
        <scheme val="minor"/>
      </rPr>
      <t xml:space="preserve">Intact refers to a riparian area with forest or otherwise unmanaged (i.e. natural) perennial cover appropriate for the basin that is at least 15 ft wide on both sides of the channel. Unmanaged perennial cover is vegetation that includes wooded areas, native prairies, sagebrush, vegetated wetlands, as well as relatively unmanaged commercial lands in which the ground and vegetation is disturbed less than annually, such as lightly grazed pastures, timber harvest areas, and rangeland. It does not include water, pasture, row crops (e.g., vegetable, orchards, Christmas tree farms), lawns, residential areas, golf courses, recreational fields, pavement, bare soil, rock, bare sand, or gravel or dirt roads.
</t>
    </r>
    <r>
      <rPr>
        <i/>
        <sz val="12"/>
        <color indexed="8"/>
        <rFont val="Calibri"/>
        <family val="2"/>
        <scheme val="minor"/>
      </rPr>
      <t>Values informed: Create &amp; Maintain Habitat, Sustain Trophic Structure, Nutrient Cycling, Chemical Regulation, Thermal Regulation</t>
    </r>
  </si>
  <si>
    <r>
      <rPr>
        <b/>
        <u/>
        <sz val="12"/>
        <color indexed="8"/>
        <rFont val="Calibri"/>
        <family val="2"/>
        <scheme val="minor"/>
      </rPr>
      <t>What is the percent impervious area in the drainage basin?</t>
    </r>
    <r>
      <rPr>
        <sz val="12"/>
        <color indexed="8"/>
        <rFont val="Calibri"/>
        <family val="2"/>
        <scheme val="minor"/>
      </rPr>
      <t xml:space="preserve"> 
Answer using information from the site's StreamStats Report (IMPERV).</t>
    </r>
    <r>
      <rPr>
        <i/>
        <sz val="12"/>
        <color indexed="8"/>
        <rFont val="Calibri"/>
        <family val="2"/>
        <scheme val="minor"/>
      </rPr>
      <t xml:space="preserve">
Values informed: Surface Water Storage, Flow Variation, Sediment Continuity, Substrate Mobility, Create &amp; Maintain Habitat, Sustain Trophic Structure, Nutrient Cycling, Chemical Regulation, Thermal Regulation</t>
    </r>
    <r>
      <rPr>
        <sz val="12"/>
        <color indexed="8"/>
        <rFont val="Calibri"/>
        <family val="2"/>
        <scheme val="minor"/>
      </rPr>
      <t xml:space="preserve">
</t>
    </r>
  </si>
  <si>
    <r>
      <rPr>
        <b/>
        <u/>
        <sz val="12"/>
        <color indexed="8"/>
        <rFont val="Calibri"/>
        <family val="2"/>
        <scheme val="minor"/>
      </rPr>
      <t>Is this reach on the 303(d) list or other TMDL (Categories 3B-5) for any of the following impairments: sediment, nutrient, metals &amp; toxics, temperature, or flow modification?</t>
    </r>
    <r>
      <rPr>
        <b/>
        <sz val="12"/>
        <color indexed="8"/>
        <rFont val="Calibri"/>
        <family val="2"/>
        <scheme val="minor"/>
      </rPr>
      <t xml:space="preserve">
</t>
    </r>
    <r>
      <rPr>
        <sz val="12"/>
        <color indexed="8"/>
        <rFont val="Calibri"/>
        <family val="2"/>
        <scheme val="minor"/>
      </rPr>
      <t xml:space="preserve">Answer each submeasure using information from the site's SFAM Report (water quality impairments section).
</t>
    </r>
    <r>
      <rPr>
        <i/>
        <sz val="12"/>
        <color indexed="8"/>
        <rFont val="Calibri"/>
        <family val="2"/>
        <scheme val="minor"/>
      </rPr>
      <t>Values informed: Flow Variation, Sediment Continuity, Create &amp; Maintain Habitat, Sustain Trophic Structure, Nutrient Cycling, Chemical Regulation, Thermal Regulation</t>
    </r>
  </si>
  <si>
    <r>
      <rPr>
        <b/>
        <u/>
        <sz val="12"/>
        <color indexed="8"/>
        <rFont val="Calibri"/>
        <family val="2"/>
        <scheme val="minor"/>
      </rPr>
      <t>What is the extent of infrastructure (buildings, bridges, utilities, row crops) in the floodplain</t>
    </r>
    <r>
      <rPr>
        <b/>
        <sz val="12"/>
        <color indexed="8"/>
        <rFont val="Calibri"/>
        <family val="2"/>
        <scheme val="minor"/>
      </rPr>
      <t xml:space="preserve">? 
</t>
    </r>
    <r>
      <rPr>
        <sz val="12"/>
        <color indexed="8"/>
        <rFont val="Calibri"/>
        <family val="2"/>
        <scheme val="minor"/>
      </rPr>
      <t xml:space="preserve">Consider the floodplain area between the PA and either the next largest water body (large tributary, mainstem junction, lake, etc.) or 2 miles downstream, whichever is less. 
</t>
    </r>
    <r>
      <rPr>
        <i/>
        <sz val="12"/>
        <color indexed="8"/>
        <rFont val="Calibri"/>
        <family val="2"/>
        <scheme val="minor"/>
      </rPr>
      <t xml:space="preserve">
Values informed: Surface Water Storage, Sediment Continuity, Create &amp; Maintain Habitat, Sustain Trophic Structure</t>
    </r>
  </si>
  <si>
    <t>Barriers</t>
  </si>
  <si>
    <r>
      <rPr>
        <b/>
        <sz val="10"/>
        <rFont val="Calibri"/>
        <family val="2"/>
        <scheme val="minor"/>
      </rPr>
      <t>Armor (F8) and Erosion (F9):</t>
    </r>
    <r>
      <rPr>
        <sz val="10"/>
        <rFont val="Calibri"/>
        <family val="2"/>
        <scheme val="minor"/>
      </rPr>
      <t xml:space="preserve"> Record  start and end locations (ft) of bank armoring features and bank erosion evidence along the length of the PAA. </t>
    </r>
  </si>
  <si>
    <r>
      <t xml:space="preserve">Overbank Flow (F10): </t>
    </r>
    <r>
      <rPr>
        <sz val="10"/>
        <rFont val="Calibri"/>
        <family val="2"/>
        <scheme val="minor"/>
      </rPr>
      <t>Is</t>
    </r>
    <r>
      <rPr>
        <b/>
        <sz val="10"/>
        <rFont val="Calibri"/>
        <family val="2"/>
        <scheme val="minor"/>
      </rPr>
      <t xml:space="preserve"> </t>
    </r>
    <r>
      <rPr>
        <sz val="10"/>
        <rFont val="Calibri"/>
        <family val="2"/>
        <scheme val="minor"/>
      </rPr>
      <t xml:space="preserve">there evidence of overbank flow at least 0.5 × BFW </t>
    </r>
  </si>
  <si>
    <r>
      <rPr>
        <b/>
        <sz val="10"/>
        <rFont val="Calibri"/>
        <family val="2"/>
        <scheme val="minor"/>
      </rPr>
      <t>Wetland Vegetation (F11)</t>
    </r>
    <r>
      <rPr>
        <sz val="10"/>
        <rFont val="Calibri"/>
        <family val="2"/>
        <scheme val="minor"/>
      </rPr>
      <t xml:space="preserve">: Are there FACW or OBL wetland plants on the </t>
    </r>
  </si>
  <si>
    <t>Overbank Flow (F10)</t>
  </si>
  <si>
    <t>Armor (F8)</t>
  </si>
  <si>
    <t>Erosion (F9)</t>
  </si>
  <si>
    <t>Wetland Vegetation (F11)</t>
  </si>
  <si>
    <r>
      <rPr>
        <b/>
        <u/>
        <sz val="12"/>
        <color indexed="8"/>
        <rFont val="Calibri"/>
        <family val="2"/>
        <scheme val="minor"/>
      </rPr>
      <t>Are there man-made fish passage barriers within 2 miles upstream and/or downstream of the PA</t>
    </r>
    <r>
      <rPr>
        <b/>
        <sz val="12"/>
        <color indexed="8"/>
        <rFont val="Calibri"/>
        <family val="2"/>
        <scheme val="minor"/>
      </rPr>
      <t xml:space="preserve">? 
</t>
    </r>
    <r>
      <rPr>
        <sz val="12"/>
        <color indexed="8"/>
        <rFont val="Calibri"/>
        <family val="2"/>
        <scheme val="minor"/>
      </rPr>
      <t xml:space="preserve">Select an answer from the drop-down menu for each of the upstream and downstream directions. If more than one barrier is present, answer for the one with the most restricted level of passage (e.g. Blocked). Do not include natural barriers.
</t>
    </r>
    <r>
      <rPr>
        <i/>
        <sz val="12"/>
        <color indexed="8"/>
        <rFont val="Calibri"/>
        <family val="2"/>
        <scheme val="minor"/>
      </rPr>
      <t>Values informed: Maintain Biodiversity, Sustain Trophic Structure</t>
    </r>
  </si>
  <si>
    <r>
      <rPr>
        <b/>
        <u/>
        <sz val="12"/>
        <color indexed="8"/>
        <rFont val="Calibri"/>
        <family val="2"/>
        <scheme val="minor"/>
      </rPr>
      <t>What is the frequency of large wood in the bankfull channel within the EAA?</t>
    </r>
    <r>
      <rPr>
        <b/>
        <sz val="12"/>
        <color indexed="8"/>
        <rFont val="Calibri"/>
        <family val="2"/>
        <scheme val="minor"/>
      </rPr>
      <t xml:space="preserve"> 
</t>
    </r>
    <r>
      <rPr>
        <sz val="12"/>
        <color indexed="8"/>
        <rFont val="Calibri"/>
        <family val="2"/>
        <scheme val="minor"/>
      </rPr>
      <t xml:space="preserve">Report the frequency (pieces per 328 feet [100m] of channel) of independent pieces of wood, defined here as woody material with a diameter of at least 4 inches (10cm) and a length of 5 feet (1.5m) within the EAA. This means that at least 5 feet of the piece of wood must be larger than 4 inches in diameter (i.e. a circumference &gt; 12.5 inches). Independent pieces include all those individual pieces that meet size criteria either separate from or within log jams. To be counted, wood must have some part of its length within the bankfull channel. Exclude any wood that has been intentionally anchored to or within the channel banks (using spikes, cables, ballast, etc.) for the purpose of preventing bank erosion (armoring). 
</t>
    </r>
    <r>
      <rPr>
        <i/>
        <sz val="12"/>
        <color indexed="8"/>
        <rFont val="Calibri"/>
        <family val="2"/>
        <scheme val="minor"/>
      </rPr>
      <t>Functions informed: Surface Water Storage, Maintain Biodiversity, Create &amp; Maintain Habitat</t>
    </r>
  </si>
  <si>
    <r>
      <rPr>
        <b/>
        <u/>
        <sz val="12"/>
        <color indexed="8"/>
        <rFont val="Calibri"/>
        <family val="2"/>
        <scheme val="minor"/>
      </rPr>
      <t>Are there rare aquatic habitat features within the EAA that are not common to the rest of the drainage basin</t>
    </r>
    <r>
      <rPr>
        <b/>
        <sz val="12"/>
        <color indexed="8"/>
        <rFont val="Calibri"/>
        <family val="2"/>
        <scheme val="minor"/>
      </rPr>
      <t xml:space="preserve">? </t>
    </r>
    <r>
      <rPr>
        <sz val="12"/>
        <color indexed="8"/>
        <rFont val="Calibri"/>
        <family val="2"/>
        <scheme val="minor"/>
      </rPr>
      <t xml:space="preserve"> 
For each feature type, select yes or no from the dropdown menu. This question must be answered in the field, but the user can check for any mapped wetlands or seeps, springs, or tributaries in the office using the Oregon Wetlands Cover, Springs, and the Flowline layers, respectively.
</t>
    </r>
    <r>
      <rPr>
        <i/>
        <sz val="12"/>
        <color indexed="8"/>
        <rFont val="Calibri"/>
        <family val="2"/>
        <scheme val="minor"/>
      </rPr>
      <t>Values informed: Substrate Mobility, Maintain Biodiversity, Create &amp; Maintain Habitat, Sustain Trophic Structure, Thermal Regulation</t>
    </r>
  </si>
  <si>
    <t>ImpoundDS</t>
  </si>
  <si>
    <r>
      <t xml:space="preserve">Barriers (F6): </t>
    </r>
    <r>
      <rPr>
        <sz val="9"/>
        <color theme="1"/>
        <rFont val="Calibri"/>
        <family val="2"/>
        <scheme val="minor"/>
      </rPr>
      <t>Does a man-made structure limit fish passage (barrier, partial, passable, unknown, none)?</t>
    </r>
  </si>
  <si>
    <r>
      <t xml:space="preserve">Exclusion (F7): </t>
    </r>
    <r>
      <rPr>
        <sz val="9"/>
        <rFont val="Calibri"/>
        <family val="2"/>
        <scheme val="minor"/>
      </rPr>
      <t xml:space="preserve">What % of the 100-yr floodplain is excluded due to features (&lt;=20%, &gt;20-40%, &gt;40-80%, &gt;80%)? </t>
    </r>
  </si>
  <si>
    <t>Fish Passage Barriers (F6)</t>
  </si>
  <si>
    <t>Floodplain Exclusion (F7)</t>
  </si>
  <si>
    <r>
      <rPr>
        <b/>
        <sz val="10"/>
        <rFont val="Calibri"/>
        <family val="2"/>
        <scheme val="minor"/>
      </rPr>
      <t xml:space="preserve">Side Channels (F12) and Lateral Migration (F13): </t>
    </r>
    <r>
      <rPr>
        <sz val="10"/>
        <rFont val="Calibri"/>
        <family val="2"/>
        <scheme val="minor"/>
      </rPr>
      <t>Record start and end locations (ft) of adjacent side channels and evidence of constraints to lateral migration along the length of the EAA.</t>
    </r>
  </si>
  <si>
    <t>Side Channels (F12)</t>
  </si>
  <si>
    <t>Lateral Migration (F13)</t>
  </si>
  <si>
    <r>
      <t xml:space="preserve">Wood (F14): </t>
    </r>
    <r>
      <rPr>
        <sz val="10"/>
        <rFont val="Calibri"/>
        <family val="2"/>
        <scheme val="minor"/>
      </rPr>
      <t>Tally each piece of wood along the EAA that measures &gt; 4" diameter and is at least 5' long. You can record the location of the wood to avoid double counting.</t>
    </r>
  </si>
  <si>
    <t>Wood (F14)</t>
  </si>
  <si>
    <t>Incision (F15)</t>
  </si>
  <si>
    <t>Substrate Embeddedness (F16)</t>
  </si>
  <si>
    <t>Wetted Width (F17)</t>
  </si>
  <si>
    <t>Thalweg Depth (F17)</t>
  </si>
  <si>
    <t>Incision - BHR (F15)</t>
  </si>
  <si>
    <t>Embeddedness (F16)</t>
  </si>
  <si>
    <t>Wetted Width - CV (F17)</t>
  </si>
  <si>
    <t>Thalweg Depth - CV (F17)</t>
  </si>
  <si>
    <r>
      <t xml:space="preserve">Is there a man-made fish passage barrier in the PAA? 
</t>
    </r>
    <r>
      <rPr>
        <sz val="12"/>
        <color theme="1"/>
        <rFont val="Calibri"/>
        <family val="2"/>
        <scheme val="minor"/>
      </rPr>
      <t xml:space="preserve">Select an answer from the drop-down menu. Man-made barriers to fish passage can include structures such as dams, culverts, weirs/sills, tide gates, bridges and fords that can block physical passage or can create unsuitable conditions for passage (e.g. high velocity). The level of passage provided can be researched in the office using the Man-made Fish Passage Barriers data layer (Fish Passage Barriers in the Habitat Group) in the SFAM Map Viewer, then confirmed in the field. Do not include natural barriers. If more than one barrier is present, answer for the one with the most restricted level of passage (e.g. Blocked). Not all barriers have been mapped. See the User Manual for more information.  
</t>
    </r>
    <r>
      <rPr>
        <i/>
        <sz val="12"/>
        <color theme="1"/>
        <rFont val="Calibri"/>
        <family val="2"/>
        <scheme val="minor"/>
      </rPr>
      <t>Functions informed: Maintain Biodiversity, Create &amp; Maintain Habitat</t>
    </r>
  </si>
  <si>
    <r>
      <rPr>
        <b/>
        <u/>
        <sz val="12"/>
        <color indexed="8"/>
        <rFont val="Calibri"/>
        <family val="2"/>
        <scheme val="minor"/>
      </rPr>
      <t>What percentage of the stream banks within the PAA are armored?</t>
    </r>
    <r>
      <rPr>
        <b/>
        <sz val="12"/>
        <color indexed="8"/>
        <rFont val="Calibri"/>
        <family val="2"/>
        <scheme val="minor"/>
      </rPr>
      <t xml:space="preserve">
</t>
    </r>
    <r>
      <rPr>
        <sz val="12"/>
        <color indexed="8"/>
        <rFont val="Calibri"/>
        <family val="2"/>
        <scheme val="minor"/>
      </rPr>
      <t xml:space="preserve">What percentage of the streambank has been stabilized using rigid methods to permanently prevent meandering processes? Examples of armoring include gabion baskets, sheet piles, rip rap, large woody debris that covers the entire bank height, and concrete. Bank stabilization methods that return bank erosion to natural rates and support meandering processes are not counted as armoring. Examples include many bioengineering practices, large woody debris placed along the bank toe, and in-stream structures that still use native vegetation cover on the streambanks. Percent armoring is calculated as the sum of the armored lengths of the left and right banks, divided by sum total lengths of both banks within PAA (i.e. twice the total PAA length). 
</t>
    </r>
    <r>
      <rPr>
        <i/>
        <sz val="12"/>
        <color indexed="8"/>
        <rFont val="Calibri"/>
        <family val="2"/>
        <scheme val="minor"/>
      </rPr>
      <t>Functions informed: Substrate Mobility</t>
    </r>
  </si>
  <si>
    <r>
      <rPr>
        <b/>
        <u/>
        <sz val="12"/>
        <color indexed="8"/>
        <rFont val="Calibri"/>
        <family val="2"/>
        <scheme val="minor"/>
      </rPr>
      <t>What percent of both sides of the channel within the EAA is constrained from lateral migration?</t>
    </r>
    <r>
      <rPr>
        <b/>
        <sz val="12"/>
        <color indexed="8"/>
        <rFont val="Calibri"/>
        <family val="2"/>
        <scheme val="minor"/>
      </rPr>
      <t xml:space="preserve"> </t>
    </r>
    <r>
      <rPr>
        <sz val="12"/>
        <color indexed="8"/>
        <rFont val="Calibri"/>
        <family val="2"/>
        <scheme val="minor"/>
      </rPr>
      <t xml:space="preserve">
Constraints on lateral migration of the channel within 2 BFW or 50 feet (whichever is greater) include bank stabilization and armoring, bridges and culverts, diversions, roads paralleling the stream and any other intentional structures or features that limit lateral channel movement whether intentionally or not. For cross-channel structures (diversions, bridges, culverts, etc.), record 4x the BFW as the length constrained on both sides of the channel. For linear features, record the length on each side of the channel. For segmented bank features, such as bendway weirs or log jams acting in concert, record the effective length of stabilization on each side of the channel affected. It is acceptable to include relevant armoring that is recorded in the Bank Armoring question, below.
</t>
    </r>
    <r>
      <rPr>
        <i/>
        <sz val="12"/>
        <color indexed="8"/>
        <rFont val="Calibri"/>
        <family val="2"/>
        <scheme val="minor"/>
      </rPr>
      <t>Functions informed: Sediment Continuity</t>
    </r>
  </si>
  <si>
    <t>Surface Water Storage (SWS)</t>
  </si>
  <si>
    <t xml:space="preserve">Formulas for each specific function and value (shown on Subscores tab) produce a numerical score between 0.0 and 10.0. For ecological functions, a score of 0.0 indicates that negligible function is being provided by the stream whereas a score of 10.0 indicates that the stream is providing maximum function (as defined) given certain contextual factors. For values, a score of 0.0 indicates that there is low opportunity for the site to provide a specific ecological function and that, even if it did, the specific function would not be of particular significance given the context of the site. Conversely, a value score of 10.0 indicates that a site has the opportunity to provide a specific function and that it would be highly significant in that particular location. For all function and value formulas, both extents of the scoring range (0.0 and 10.0) are mathematically possible.
To facilitate conceptual understanding, numerical scores are translated into ratings of Lower, Moderate, or Higher. The numerical thresholds for each of these rating categories are consistent across all functions and values such that scores of &lt;3.0 are rated “Lower,” scores ≥3.0 but ≤7.0 are rated “Moderate,” and scores that are &gt;7.0 are rated “Higher.” These thresholds are consistent with the standard scoring scheme applied to all individual measures.
Each specific function, and its associated value, is included in one of four thematic groups: hydrologic, geomorphic, biologic, and water quality functions. Group ratings provide an indication of the degree to which each group of processes is present at a site. Groups are represented by the highest-rated function with the highest-rated associated value among the 2-3 functions that comprise each group. This hierarchical selection system ensures that thematic functional groups are represented by the highest-performing and highest-valued ecological function. 
</t>
  </si>
  <si>
    <t>Assessment timing:</t>
  </si>
  <si>
    <r>
      <t xml:space="preserve">from the bankfull edge? </t>
    </r>
    <r>
      <rPr>
        <i/>
        <sz val="10"/>
        <rFont val="Calibri"/>
        <family val="2"/>
        <scheme val="minor"/>
      </rPr>
      <t>(yes or no)</t>
    </r>
  </si>
  <si>
    <r>
      <t xml:space="preserve">banks or in the floodplain? </t>
    </r>
    <r>
      <rPr>
        <i/>
        <sz val="10"/>
        <rFont val="Calibri"/>
        <family val="2"/>
        <scheme val="minor"/>
      </rPr>
      <t>(yes or no)</t>
    </r>
  </si>
  <si>
    <t>Print this form to take to the field. Only the defined print area is needed (i.e. not the data calculation columns). After collecting data in the field, transfer data into the Excel worksheet below using drop-down menus where available. Cells in the "Calculations" section and on the "Functions" tab will populate automatically.</t>
  </si>
  <si>
    <r>
      <t>Print this form to take to the field. Only the defined print area is needed (i.e. not the data calculation columns). After collecting data in the field, transfer data into the Excel worksheet below using drop-down menus where available. Cells in the "Calculations" section and on the "Functions" tab will populate automatically.</t>
    </r>
    <r>
      <rPr>
        <b/>
        <sz val="10"/>
        <rFont val="Calibri"/>
        <family val="2"/>
        <scheme val="minor"/>
      </rPr>
      <t>.</t>
    </r>
    <r>
      <rPr>
        <sz val="10"/>
        <rFont val="Calibri"/>
        <family val="2"/>
        <scheme val="minor"/>
      </rPr>
      <t xml:space="preserve"> </t>
    </r>
  </si>
  <si>
    <t>columns Y-Z are the input values for the functions worksheet and are linked</t>
  </si>
  <si>
    <t>If yes, answer the following questions: If no, enter N/A</t>
  </si>
  <si>
    <r>
      <rPr>
        <b/>
        <sz val="10"/>
        <rFont val="Calibri"/>
        <family val="2"/>
        <scheme val="minor"/>
      </rPr>
      <t>InvVeg, Native WoodyVeg, LgTree</t>
    </r>
    <r>
      <rPr>
        <b/>
        <sz val="8"/>
        <rFont val="Calibri"/>
        <family val="2"/>
        <scheme val="minor"/>
      </rPr>
      <t xml:space="preserve">                </t>
    </r>
    <r>
      <rPr>
        <sz val="8"/>
        <rFont val="Calibri"/>
        <family val="2"/>
        <scheme val="minor"/>
      </rPr>
      <t>(</t>
    </r>
    <r>
      <rPr>
        <sz val="8"/>
        <color rgb="FFFF0000"/>
        <rFont val="Calibri"/>
        <family val="2"/>
        <scheme val="minor"/>
      </rPr>
      <t>'</t>
    </r>
    <r>
      <rPr>
        <b/>
        <sz val="8"/>
        <color rgb="FFFF0000"/>
        <rFont val="Calibri"/>
        <family val="2"/>
        <scheme val="minor"/>
      </rPr>
      <t>ERROR</t>
    </r>
    <r>
      <rPr>
        <sz val="8"/>
        <rFont val="Calibri"/>
        <family val="2"/>
        <scheme val="minor"/>
      </rPr>
      <t>' in the total feet column indicates that the calculated sum is greater than the possible transect length entered in cell E15)</t>
    </r>
  </si>
  <si>
    <t>columns Y-Z are the input values for the 'functions worksheet' and are linked</t>
  </si>
  <si>
    <t xml:space="preserve"> Orange Boxes are linked to the PAA or EAA Field forms</t>
  </si>
  <si>
    <t>Data Entry (linked to field forms)</t>
  </si>
  <si>
    <r>
      <rPr>
        <b/>
        <u/>
        <sz val="12"/>
        <color theme="1"/>
        <rFont val="Calibri"/>
        <family val="2"/>
        <scheme val="minor"/>
      </rPr>
      <t>What is the percent cover of invasive vegetation within the PAA</t>
    </r>
    <r>
      <rPr>
        <b/>
        <u/>
        <sz val="11"/>
        <color theme="1"/>
        <rFont val="Calibri"/>
        <family val="2"/>
        <scheme val="minor"/>
      </rPr>
      <t>?</t>
    </r>
    <r>
      <rPr>
        <sz val="11"/>
        <color theme="1"/>
        <rFont val="Calibri"/>
        <family val="2"/>
        <scheme val="minor"/>
      </rPr>
      <t xml:space="preserve">
Consider the Oregon Department of Agriculture Noxious Weed list in Appendix 3 of the SFAM User Guide, and other sources of information, such as Oregon iMAPInvasives and  iNaturalist.</t>
    </r>
    <r>
      <rPr>
        <sz val="12"/>
        <color theme="1"/>
        <rFont val="Calibri"/>
        <family val="2"/>
        <scheme val="minor"/>
      </rPr>
      <t xml:space="preserve">
</t>
    </r>
    <r>
      <rPr>
        <i/>
        <sz val="12"/>
        <color theme="1"/>
        <rFont val="Calibri"/>
        <family val="2"/>
        <scheme val="minor"/>
      </rPr>
      <t>Functions informed: Maintain Biodiversity, Sustain Trophic Structure</t>
    </r>
  </si>
  <si>
    <t>Error Messages</t>
  </si>
  <si>
    <t xml:space="preserve">Enter &lt;= 20%, 
&gt;20 - 40%, 
&gt;40 - 80%,
or  &gt;80%. </t>
  </si>
  <si>
    <r>
      <t>What is the 2 year peak flood</t>
    </r>
    <r>
      <rPr>
        <b/>
        <sz val="12"/>
        <color theme="1"/>
        <rFont val="Calibri"/>
        <family val="2"/>
        <scheme val="minor"/>
      </rPr>
      <t xml:space="preserve"> (cfs)? </t>
    </r>
    <r>
      <rPr>
        <sz val="10"/>
        <color theme="1"/>
        <rFont val="Calibri"/>
        <family val="2"/>
        <scheme val="minor"/>
      </rPr>
      <t>(StreamStats Report)</t>
    </r>
  </si>
  <si>
    <t>FUNCTION MEASURE INPUT VALUES 
(these are calculated based on the collected field data and are linked to the corresponding Function on the Functions worksheet)</t>
  </si>
  <si>
    <t>9 (right)</t>
  </si>
  <si>
    <t>9 (left)</t>
  </si>
  <si>
    <t>8 (right)</t>
  </si>
  <si>
    <t>8 (left)</t>
  </si>
  <si>
    <t>7 (right)</t>
  </si>
  <si>
    <t>7 (left)</t>
  </si>
  <si>
    <t>6 (right)</t>
  </si>
  <si>
    <t>6 (left)</t>
  </si>
  <si>
    <t>5 (right)</t>
  </si>
  <si>
    <t>5 (left)</t>
  </si>
  <si>
    <t>4 (right)</t>
  </si>
  <si>
    <t>4 (left)</t>
  </si>
  <si>
    <t>Hand calculate the Average  '% of Transect' numbers below for each vegetation type (InvVeg, WoodyVeg, LgTree) and hand enter into the 'Functions' Worksheet.</t>
  </si>
  <si>
    <t>Directions:</t>
  </si>
  <si>
    <t>Version 1.1 (April 2020)</t>
  </si>
  <si>
    <r>
      <rPr>
        <b/>
        <u/>
        <sz val="12"/>
        <color theme="1"/>
        <rFont val="Calibri"/>
        <family val="2"/>
        <scheme val="minor"/>
      </rPr>
      <t>What is the prevalence of impoundments within 2 miles upstream and downstream of the PA that are likely to cause shifts in timing or volume of water?</t>
    </r>
    <r>
      <rPr>
        <sz val="12"/>
        <color theme="1"/>
        <rFont val="Calibri"/>
        <family val="2"/>
        <scheme val="minor"/>
      </rPr>
      <t xml:space="preserve">
The shift may be by hours, days, or weeks, becoming either more muted (smaller or less frequent peaks spread over longer times, more temporal homogeneity of flow or water levels) or more flashy (larger or more frequent spikes but over shorter times). For each category, select yes or no from the dropdown menu.
</t>
    </r>
    <r>
      <rPr>
        <i/>
        <sz val="12"/>
        <color theme="1"/>
        <rFont val="Calibri"/>
        <family val="2"/>
        <scheme val="minor"/>
      </rPr>
      <t>Values informed: Surface Water Storage, Flow Variation, Sediment Continuity, Substrate Mobility, Create &amp; Maintain Habitat; Functions informed: Flow Variation</t>
    </r>
  </si>
  <si>
    <t>Select Blocked, Partial, Passable, or Unknown in the PAA Field Form:</t>
  </si>
  <si>
    <t>Assessment Timing:</t>
  </si>
  <si>
    <t>Check the orange boxes to confirm all field entries have transferred appropriately. If necessary the orange box entries can be hand entered.  However, hand entry into the orange boxes will remove the link to the Field Form. A #DIV/0! or 'FALSE' entry means that the Cover Page, PAA Field Form or EAA Field Form is not complete.</t>
  </si>
  <si>
    <t>Version 1.1</t>
  </si>
  <si>
    <t xml:space="preserve">SFAM Supplemental Field Data Form </t>
  </si>
  <si>
    <t>Use this form if the assessment will have more than 3 PAA transects, or more data entry cells for the transects are needed.</t>
  </si>
  <si>
    <t xml:space="preserve">PAA lateral boundary (2 × avg bankfull width (calculated below) or 50 feet = </t>
  </si>
  <si>
    <t>T4</t>
  </si>
  <si>
    <t>T5</t>
  </si>
  <si>
    <t>T6</t>
  </si>
  <si>
    <t>T7</t>
  </si>
  <si>
    <t>T8</t>
  </si>
  <si>
    <t>T9</t>
  </si>
  <si>
    <t>If more than 9 transects are used, hand calculate the average count then divide the average count by 17 and multiply by 100 to get the average % Natural Cover. YOU MUST HAND ENTER THE RESULT INTO THE FUNCTIONS WORKSHEET.</t>
  </si>
  <si>
    <t>If more than 9 transects are used, hand calculate the average riparian corridor width. YOU MUST HAND ENTER THE RESULT INTO THE FUNCTIONS WORKSHEET.</t>
  </si>
  <si>
    <t>FOR F2 - F4 YOU MUST HAND CALCULATE THE AVERAGE OF ALL TRANSECTS (i.e, 1(left), 1(right), 2(left),2(right),…...) FOR EACH VEGETATION TYPE (InvVeg, WoodyVeg, LgTree) AND HAND ENTER THE RESULTS INTO THE FUNCTION WORKSHEET.</t>
  </si>
  <si>
    <t xml:space="preserve">Enter the field data into this form instead of the PAA field form for F1, F2, F3, F4 and F5. Hand enter the results into the Functions worksheet.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</si>
</sst>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80" x14ac:knownFonts="1">
    <font>
      <sz val="11"/>
      <color theme="1"/>
      <name val="Calibri"/>
      <family val="2"/>
      <scheme val="minor"/>
    </font>
    <font>
      <sz val="11"/>
      <color theme="1"/>
      <name val="Calibri"/>
      <family val="2"/>
      <scheme val="minor"/>
    </font>
    <font>
      <u/>
      <sz val="12"/>
      <color indexed="8"/>
      <name val="Arial"/>
      <family val="2"/>
    </font>
    <font>
      <b/>
      <u/>
      <sz val="11"/>
      <color theme="1"/>
      <name val="Calibri"/>
      <family val="2"/>
      <scheme val="minor"/>
    </font>
    <font>
      <sz val="10"/>
      <name val="Arial"/>
      <family val="2"/>
    </font>
    <font>
      <b/>
      <sz val="11"/>
      <color theme="1"/>
      <name val="Calibri"/>
      <family val="2"/>
      <scheme val="minor"/>
    </font>
    <font>
      <sz val="11"/>
      <name val="Calibri"/>
      <family val="2"/>
      <scheme val="minor"/>
    </font>
    <font>
      <sz val="12"/>
      <color theme="1"/>
      <name val="Calibri"/>
      <family val="2"/>
      <scheme val="minor"/>
    </font>
    <font>
      <i/>
      <sz val="11"/>
      <color theme="1"/>
      <name val="Calibri"/>
      <family val="2"/>
      <scheme val="minor"/>
    </font>
    <font>
      <b/>
      <sz val="11"/>
      <name val="Calibri"/>
      <family val="2"/>
      <scheme val="minor"/>
    </font>
    <font>
      <b/>
      <sz val="12"/>
      <color indexed="8"/>
      <name val="Calibri"/>
      <family val="2"/>
      <scheme val="minor"/>
    </font>
    <font>
      <sz val="12"/>
      <color indexed="8"/>
      <name val="Calibri"/>
      <family val="2"/>
      <scheme val="minor"/>
    </font>
    <font>
      <b/>
      <sz val="12"/>
      <color theme="1"/>
      <name val="Calibri"/>
      <family val="2"/>
      <scheme val="minor"/>
    </font>
    <font>
      <sz val="10"/>
      <color theme="1"/>
      <name val="Calibri"/>
      <family val="2"/>
      <scheme val="minor"/>
    </font>
    <font>
      <b/>
      <u/>
      <sz val="12"/>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2"/>
      <color indexed="8"/>
      <name val="Calibri"/>
      <family val="2"/>
      <scheme val="minor"/>
    </font>
    <font>
      <i/>
      <sz val="12"/>
      <color indexed="8"/>
      <name val="Calibri"/>
      <family val="2"/>
      <scheme val="minor"/>
    </font>
    <font>
      <sz val="11"/>
      <color theme="1"/>
      <name val="Calibri"/>
      <family val="2"/>
      <scheme val="minor"/>
    </font>
    <font>
      <b/>
      <sz val="11"/>
      <color theme="1"/>
      <name val="Calibri"/>
      <family val="2"/>
      <scheme val="minor"/>
    </font>
    <font>
      <b/>
      <sz val="12"/>
      <color indexed="8"/>
      <name val="Calibri"/>
      <family val="2"/>
      <scheme val="minor"/>
    </font>
    <font>
      <sz val="12"/>
      <color indexed="8"/>
      <name val="Calibri"/>
      <family val="2"/>
      <scheme val="minor"/>
    </font>
    <font>
      <b/>
      <sz val="16"/>
      <color indexed="8"/>
      <name val="Calibri"/>
      <family val="2"/>
      <scheme val="minor"/>
    </font>
    <font>
      <b/>
      <sz val="12"/>
      <color theme="1"/>
      <name val="Calibri"/>
      <family val="2"/>
      <scheme val="minor"/>
    </font>
    <font>
      <sz val="12"/>
      <color theme="1"/>
      <name val="Calibri"/>
      <family val="2"/>
      <scheme val="minor"/>
    </font>
    <font>
      <sz val="16"/>
      <color theme="1"/>
      <name val="Calibri"/>
      <family val="2"/>
      <scheme val="minor"/>
    </font>
    <font>
      <sz val="10"/>
      <color theme="1"/>
      <name val="Calibri"/>
      <family val="2"/>
      <scheme val="minor"/>
    </font>
    <font>
      <b/>
      <sz val="12"/>
      <name val="Calibri"/>
      <family val="2"/>
      <scheme val="minor"/>
    </font>
    <font>
      <b/>
      <u/>
      <sz val="12"/>
      <color theme="1"/>
      <name val="Calibri"/>
      <family val="2"/>
      <scheme val="minor"/>
    </font>
    <font>
      <sz val="8"/>
      <color theme="1"/>
      <name val="Calibri"/>
      <family val="2"/>
      <scheme val="minor"/>
    </font>
    <font>
      <b/>
      <sz val="11"/>
      <color rgb="FF00B050"/>
      <name val="Calibri"/>
      <family val="2"/>
      <scheme val="minor"/>
    </font>
    <font>
      <sz val="11"/>
      <color theme="1"/>
      <name val="Arial"/>
      <family val="2"/>
    </font>
    <font>
      <sz val="11"/>
      <color theme="1"/>
      <name val="Times New Roman"/>
      <family val="1"/>
    </font>
    <font>
      <i/>
      <sz val="11"/>
      <color theme="1"/>
      <name val="Calibri"/>
      <family val="2"/>
      <scheme val="minor"/>
    </font>
    <font>
      <sz val="12"/>
      <color theme="1"/>
      <name val="Arial"/>
      <family val="2"/>
    </font>
    <font>
      <b/>
      <sz val="16"/>
      <color indexed="8"/>
      <name val="Arial Black"/>
      <family val="2"/>
    </font>
    <font>
      <sz val="11"/>
      <color theme="1"/>
      <name val="Calibri"/>
      <family val="2"/>
      <scheme val="minor"/>
    </font>
    <font>
      <sz val="9"/>
      <color theme="1"/>
      <name val="Arial Black"/>
      <family val="2"/>
    </font>
    <font>
      <sz val="10"/>
      <color theme="1"/>
      <name val="Arial"/>
      <family val="2"/>
    </font>
    <font>
      <i/>
      <sz val="9"/>
      <color theme="1"/>
      <name val="Arial"/>
      <family val="2"/>
    </font>
    <font>
      <i/>
      <sz val="12"/>
      <color theme="1"/>
      <name val="Calibri"/>
      <family val="2"/>
      <scheme val="minor"/>
    </font>
    <font>
      <i/>
      <sz val="9"/>
      <color theme="1"/>
      <name val="Calibri"/>
      <family val="2"/>
      <scheme val="minor"/>
    </font>
    <font>
      <b/>
      <vertAlign val="superscript"/>
      <sz val="12"/>
      <color indexed="8"/>
      <name val="Calibri"/>
      <family val="2"/>
      <scheme val="minor"/>
    </font>
    <font>
      <u/>
      <sz val="11"/>
      <color theme="1"/>
      <name val="Calibri"/>
      <family val="2"/>
      <scheme val="minor"/>
    </font>
    <font>
      <sz val="14"/>
      <color theme="1"/>
      <name val="Calibri"/>
      <family val="2"/>
      <scheme val="minor"/>
    </font>
    <font>
      <sz val="14"/>
      <color indexed="8"/>
      <name val="Calibri"/>
      <family val="2"/>
      <scheme val="minor"/>
    </font>
    <font>
      <sz val="9"/>
      <color theme="1"/>
      <name val="Calibri"/>
      <family val="2"/>
      <scheme val="minor"/>
    </font>
    <font>
      <sz val="10"/>
      <name val="Calibri"/>
      <family val="2"/>
      <scheme val="minor"/>
    </font>
    <font>
      <sz val="8"/>
      <color theme="0" tint="-0.14999847407452621"/>
      <name val="Calibri"/>
      <family val="2"/>
      <scheme val="minor"/>
    </font>
    <font>
      <sz val="12"/>
      <name val="Calibri"/>
      <family val="2"/>
      <scheme val="minor"/>
    </font>
    <font>
      <b/>
      <sz val="10"/>
      <name val="Calibri"/>
      <family val="2"/>
      <scheme val="minor"/>
    </font>
    <font>
      <i/>
      <sz val="10"/>
      <name val="Calibri"/>
      <family val="2"/>
      <scheme val="minor"/>
    </font>
    <font>
      <sz val="8"/>
      <name val="Calibri"/>
      <family val="2"/>
      <scheme val="minor"/>
    </font>
    <font>
      <i/>
      <sz val="10"/>
      <color rgb="FFFF0000"/>
      <name val="Calibri"/>
      <family val="2"/>
      <scheme val="minor"/>
    </font>
    <font>
      <sz val="10"/>
      <name val="Times New Roman"/>
      <family val="1"/>
    </font>
    <font>
      <b/>
      <i/>
      <sz val="10"/>
      <name val="Calibri"/>
      <family val="2"/>
      <scheme val="minor"/>
    </font>
    <font>
      <i/>
      <sz val="9"/>
      <name val="Calibri"/>
      <family val="2"/>
      <scheme val="minor"/>
    </font>
    <font>
      <sz val="9"/>
      <name val="Calibri"/>
      <family val="2"/>
      <scheme val="minor"/>
    </font>
    <font>
      <sz val="10"/>
      <name val="Calibri"/>
      <family val="2"/>
    </font>
    <font>
      <u/>
      <sz val="10"/>
      <name val="Calibri"/>
      <family val="2"/>
      <scheme val="minor"/>
    </font>
    <font>
      <u/>
      <sz val="12"/>
      <color indexed="8"/>
      <name val="Calibri"/>
      <family val="2"/>
      <scheme val="minor"/>
    </font>
    <font>
      <sz val="11"/>
      <color theme="1"/>
      <name val="Calibri"/>
      <family val="2"/>
    </font>
    <font>
      <i/>
      <sz val="8"/>
      <name val="Calibri"/>
      <family val="2"/>
      <scheme val="minor"/>
    </font>
    <font>
      <i/>
      <sz val="11"/>
      <color indexed="8"/>
      <name val="Calibri"/>
      <family val="2"/>
      <scheme val="minor"/>
    </font>
    <font>
      <b/>
      <sz val="18"/>
      <color indexed="8"/>
      <name val="Arial Black"/>
      <family val="2"/>
    </font>
    <font>
      <sz val="12"/>
      <color theme="0" tint="-0.249977111117893"/>
      <name val="Calibri"/>
      <family val="2"/>
      <scheme val="minor"/>
    </font>
    <font>
      <b/>
      <sz val="9"/>
      <name val="Calibri"/>
      <family val="2"/>
      <scheme val="minor"/>
    </font>
    <font>
      <sz val="8"/>
      <color indexed="8"/>
      <name val="Calibri"/>
      <family val="2"/>
      <scheme val="minor"/>
    </font>
    <font>
      <sz val="10"/>
      <color indexed="8"/>
      <name val="Calibri"/>
      <family val="2"/>
      <scheme val="minor"/>
    </font>
    <font>
      <b/>
      <sz val="11.5"/>
      <color indexed="8"/>
      <name val="Calibri"/>
      <family val="2"/>
      <scheme val="minor"/>
    </font>
    <font>
      <b/>
      <sz val="9"/>
      <color theme="1"/>
      <name val="Calibri"/>
      <family val="2"/>
      <scheme val="minor"/>
    </font>
    <font>
      <sz val="11"/>
      <color rgb="FFFF0000"/>
      <name val="Calibri"/>
      <family val="2"/>
      <scheme val="minor"/>
    </font>
    <font>
      <sz val="10"/>
      <color rgb="FFFF0000"/>
      <name val="Calibri"/>
      <family val="2"/>
      <scheme val="minor"/>
    </font>
    <font>
      <b/>
      <sz val="8"/>
      <name val="Calibri"/>
      <family val="2"/>
      <scheme val="minor"/>
    </font>
    <font>
      <b/>
      <sz val="8"/>
      <color rgb="FFFF0000"/>
      <name val="Calibri"/>
      <family val="2"/>
      <scheme val="minor"/>
    </font>
    <font>
      <sz val="8"/>
      <color rgb="FFFF0000"/>
      <name val="Calibri"/>
      <family val="2"/>
      <scheme val="minor"/>
    </font>
    <font>
      <b/>
      <sz val="14"/>
      <color theme="1"/>
      <name val="Calibri"/>
      <family val="2"/>
      <scheme val="minor"/>
    </font>
    <font>
      <b/>
      <sz val="8"/>
      <color theme="1"/>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C0C0C0"/>
        <bgColor indexed="64"/>
      </patternFill>
    </fill>
    <fill>
      <patternFill patternType="solid">
        <fgColor rgb="FF92D05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rgb="FFFFFF66"/>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6795556505021"/>
        <bgColor indexed="64"/>
      </patternFill>
    </fill>
  </fills>
  <borders count="26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style="thick">
        <color auto="1"/>
      </left>
      <right/>
      <top/>
      <bottom/>
      <diagonal/>
    </border>
    <border>
      <left/>
      <right style="thick">
        <color auto="1"/>
      </right>
      <top/>
      <bottom/>
      <diagonal/>
    </border>
    <border>
      <left style="thin">
        <color auto="1"/>
      </left>
      <right style="thin">
        <color auto="1"/>
      </right>
      <top/>
      <bottom style="medium">
        <color auto="1"/>
      </bottom>
      <diagonal/>
    </border>
    <border>
      <left style="thin">
        <color auto="1"/>
      </left>
      <right style="thick">
        <color auto="1"/>
      </right>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ck">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top/>
      <bottom style="thin">
        <color auto="1"/>
      </bottom>
      <diagonal/>
    </border>
    <border>
      <left/>
      <right style="thick">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diagonal/>
    </border>
    <border>
      <left style="thin">
        <color auto="1"/>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style="thin">
        <color auto="1"/>
      </top>
      <bottom/>
      <diagonal/>
    </border>
    <border>
      <left style="thick">
        <color auto="1"/>
      </left>
      <right style="thick">
        <color auto="1"/>
      </right>
      <top style="thick">
        <color auto="1"/>
      </top>
      <bottom/>
      <diagonal/>
    </border>
    <border>
      <left style="thick">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thick">
        <color auto="1"/>
      </right>
      <top style="medium">
        <color auto="1"/>
      </top>
      <bottom style="medium">
        <color auto="1"/>
      </bottom>
      <diagonal/>
    </border>
    <border>
      <left style="thick">
        <color auto="1"/>
      </left>
      <right style="thin">
        <color auto="1"/>
      </right>
      <top style="medium">
        <color auto="1"/>
      </top>
      <bottom/>
      <diagonal/>
    </border>
    <border>
      <left style="thick">
        <color auto="1"/>
      </left>
      <right style="thin">
        <color auto="1"/>
      </right>
      <top/>
      <bottom/>
      <diagonal/>
    </border>
    <border>
      <left style="thick">
        <color auto="1"/>
      </left>
      <right style="thin">
        <color auto="1"/>
      </right>
      <top/>
      <bottom style="medium">
        <color auto="1"/>
      </bottom>
      <diagonal/>
    </border>
    <border>
      <left style="thick">
        <color auto="1"/>
      </left>
      <right style="thin">
        <color auto="1"/>
      </right>
      <top/>
      <bottom style="thick">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n">
        <color auto="1"/>
      </right>
      <top style="medium">
        <color auto="1"/>
      </top>
      <bottom style="thin">
        <color auto="1"/>
      </bottom>
      <diagonal/>
    </border>
    <border>
      <left style="thick">
        <color auto="1"/>
      </left>
      <right/>
      <top/>
      <bottom style="thin">
        <color auto="1"/>
      </bottom>
      <diagonal/>
    </border>
    <border>
      <left style="thick">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medium">
        <color auto="1"/>
      </top>
      <bottom style="medium">
        <color auto="1"/>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auto="1"/>
      </bottom>
      <diagonal/>
    </border>
    <border>
      <left/>
      <right style="thick">
        <color auto="1"/>
      </right>
      <top style="thin">
        <color auto="1"/>
      </top>
      <bottom style="thin">
        <color auto="1"/>
      </bottom>
      <diagonal/>
    </border>
    <border>
      <left/>
      <right style="thin">
        <color auto="1"/>
      </right>
      <top style="medium">
        <color auto="1"/>
      </top>
      <bottom/>
      <diagonal/>
    </border>
    <border>
      <left style="thin">
        <color auto="1"/>
      </left>
      <right/>
      <top style="thick">
        <color auto="1"/>
      </top>
      <bottom style="medium">
        <color auto="1"/>
      </bottom>
      <diagonal/>
    </border>
    <border>
      <left style="medium">
        <color indexed="64"/>
      </left>
      <right style="thin">
        <color auto="1"/>
      </right>
      <top/>
      <bottom style="medium">
        <color auto="1"/>
      </bottom>
      <diagonal/>
    </border>
    <border>
      <left style="thin">
        <color auto="1"/>
      </left>
      <right/>
      <top style="medium">
        <color auto="1"/>
      </top>
      <bottom style="thin">
        <color indexed="64"/>
      </bottom>
      <diagonal/>
    </border>
    <border>
      <left/>
      <right/>
      <top style="medium">
        <color auto="1"/>
      </top>
      <bottom style="thin">
        <color indexed="64"/>
      </bottom>
      <diagonal/>
    </border>
    <border>
      <left style="thin">
        <color auto="1"/>
      </left>
      <right style="thick">
        <color auto="1"/>
      </right>
      <top style="thin">
        <color auto="1"/>
      </top>
      <bottom style="thin">
        <color indexed="64"/>
      </bottom>
      <diagonal/>
    </border>
    <border>
      <left style="thin">
        <color indexed="64"/>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ck">
        <color auto="1"/>
      </right>
      <top/>
      <bottom style="thin">
        <color indexed="64"/>
      </bottom>
      <diagonal/>
    </border>
    <border>
      <left/>
      <right style="thick">
        <color auto="1"/>
      </right>
      <top style="medium">
        <color auto="1"/>
      </top>
      <bottom style="thin">
        <color indexed="64"/>
      </bottom>
      <diagonal/>
    </border>
    <border>
      <left style="medium">
        <color indexed="64"/>
      </left>
      <right style="thin">
        <color auto="1"/>
      </right>
      <top style="medium">
        <color auto="1"/>
      </top>
      <bottom/>
      <diagonal/>
    </border>
    <border>
      <left/>
      <right style="medium">
        <color auto="1"/>
      </right>
      <top style="medium">
        <color indexed="64"/>
      </top>
      <bottom style="thin">
        <color auto="1"/>
      </bottom>
      <diagonal/>
    </border>
    <border>
      <left style="medium">
        <color auto="1"/>
      </left>
      <right/>
      <top style="medium">
        <color auto="1"/>
      </top>
      <bottom style="thin">
        <color theme="0" tint="-0.34998626667073579"/>
      </bottom>
      <diagonal/>
    </border>
    <border>
      <left style="medium">
        <color auto="1"/>
      </left>
      <right/>
      <top style="thin">
        <color theme="0" tint="-0.34998626667073579"/>
      </top>
      <bottom/>
      <diagonal/>
    </border>
    <border>
      <left/>
      <right style="medium">
        <color auto="1"/>
      </right>
      <top style="thin">
        <color theme="0" tint="-0.34998626667073579"/>
      </top>
      <bottom/>
      <diagonal/>
    </border>
    <border>
      <left style="medium">
        <color auto="1"/>
      </left>
      <right/>
      <top style="thin">
        <color theme="0" tint="-0.34998626667073579"/>
      </top>
      <bottom style="thin">
        <color theme="0" tint="-0.34998626667073579"/>
      </bottom>
      <diagonal/>
    </border>
    <border>
      <left/>
      <right style="medium">
        <color auto="1"/>
      </right>
      <top style="thin">
        <color theme="0" tint="-0.34998626667073579"/>
      </top>
      <bottom style="medium">
        <color auto="1"/>
      </bottom>
      <diagonal/>
    </border>
    <border>
      <left/>
      <right style="medium">
        <color auto="1"/>
      </right>
      <top style="medium">
        <color auto="1"/>
      </top>
      <bottom style="thin">
        <color theme="0" tint="-0.34998626667073579"/>
      </bottom>
      <diagonal/>
    </border>
    <border>
      <left/>
      <right style="medium">
        <color auto="1"/>
      </right>
      <top style="thin">
        <color theme="0" tint="-0.34998626667073579"/>
      </top>
      <bottom style="thin">
        <color theme="0" tint="-0.34998626667073579"/>
      </bottom>
      <diagonal/>
    </border>
    <border>
      <left style="medium">
        <color auto="1"/>
      </left>
      <right/>
      <top style="thin">
        <color theme="0" tint="-0.34998626667073579"/>
      </top>
      <bottom style="medium">
        <color auto="1"/>
      </bottom>
      <diagonal/>
    </border>
    <border>
      <left style="medium">
        <color indexed="64"/>
      </left>
      <right style="medium">
        <color auto="1"/>
      </right>
      <top/>
      <bottom/>
      <diagonal/>
    </border>
    <border>
      <left style="medium">
        <color indexed="64"/>
      </left>
      <right/>
      <top style="medium">
        <color indexed="64"/>
      </top>
      <bottom style="thin">
        <color indexed="64"/>
      </bottom>
      <diagonal/>
    </border>
    <border>
      <left style="medium">
        <color indexed="64"/>
      </left>
      <right/>
      <top style="thin">
        <color auto="1"/>
      </top>
      <bottom/>
      <diagonal/>
    </border>
    <border>
      <left style="medium">
        <color auto="1"/>
      </left>
      <right/>
      <top style="thin">
        <color indexed="64"/>
      </top>
      <bottom style="medium">
        <color auto="1"/>
      </bottom>
      <diagonal/>
    </border>
    <border>
      <left style="thin">
        <color indexed="64"/>
      </left>
      <right/>
      <top style="thin">
        <color theme="0" tint="-0.34998626667073579"/>
      </top>
      <bottom style="medium">
        <color auto="1"/>
      </bottom>
      <diagonal/>
    </border>
    <border>
      <left style="thin">
        <color auto="1"/>
      </left>
      <right/>
      <top style="thin">
        <color auto="1"/>
      </top>
      <bottom style="thin">
        <color theme="0" tint="-0.34998626667073579"/>
      </bottom>
      <diagonal/>
    </border>
    <border>
      <left/>
      <right style="medium">
        <color auto="1"/>
      </right>
      <top style="thin">
        <color auto="1"/>
      </top>
      <bottom style="thin">
        <color theme="0" tint="-0.34998626667073579"/>
      </bottom>
      <diagonal/>
    </border>
    <border>
      <left style="thin">
        <color auto="1"/>
      </left>
      <right/>
      <top/>
      <bottom style="thick">
        <color auto="1"/>
      </bottom>
      <diagonal/>
    </border>
    <border>
      <left style="thin">
        <color auto="1"/>
      </left>
      <right style="thick">
        <color auto="1"/>
      </right>
      <top/>
      <bottom style="thick">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medium">
        <color auto="1"/>
      </top>
      <bottom style="medium">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medium">
        <color auto="1"/>
      </top>
      <bottom style="thin">
        <color auto="1"/>
      </bottom>
      <diagonal/>
    </border>
    <border>
      <left style="medium">
        <color indexed="64"/>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style="thin">
        <color theme="0"/>
      </right>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auto="1"/>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style="medium">
        <color auto="1"/>
      </right>
      <top style="thin">
        <color auto="1"/>
      </top>
      <bottom/>
      <diagonal/>
    </border>
    <border>
      <left/>
      <right/>
      <top style="thin">
        <color theme="0"/>
      </top>
      <bottom/>
      <diagonal/>
    </border>
    <border>
      <left/>
      <right style="thin">
        <color theme="0"/>
      </right>
      <top style="thin">
        <color theme="0"/>
      </top>
      <bottom/>
      <diagonal/>
    </border>
    <border>
      <left style="medium">
        <color indexed="64"/>
      </left>
      <right style="medium">
        <color auto="1"/>
      </right>
      <top style="thin">
        <color theme="0"/>
      </top>
      <bottom style="thin">
        <color theme="0"/>
      </bottom>
      <diagonal/>
    </border>
    <border>
      <left style="thin">
        <color theme="0"/>
      </left>
      <right style="thin">
        <color theme="0"/>
      </right>
      <top/>
      <bottom style="medium">
        <color auto="1"/>
      </bottom>
      <diagonal/>
    </border>
    <border>
      <left/>
      <right style="thin">
        <color theme="0"/>
      </right>
      <top/>
      <bottom style="medium">
        <color auto="1"/>
      </bottom>
      <diagonal/>
    </border>
    <border>
      <left style="thin">
        <color theme="0"/>
      </left>
      <right/>
      <top/>
      <bottom style="medium">
        <color auto="1"/>
      </bottom>
      <diagonal/>
    </border>
    <border>
      <left style="thin">
        <color theme="0"/>
      </left>
      <right/>
      <top style="medium">
        <color auto="1"/>
      </top>
      <bottom style="medium">
        <color auto="1"/>
      </bottom>
      <diagonal/>
    </border>
    <border>
      <left style="thin">
        <color theme="0"/>
      </left>
      <right style="thin">
        <color theme="0"/>
      </right>
      <top style="medium">
        <color auto="1"/>
      </top>
      <bottom style="medium">
        <color auto="1"/>
      </bottom>
      <diagonal/>
    </border>
    <border>
      <left style="medium">
        <color auto="1"/>
      </left>
      <right style="thin">
        <color auto="1"/>
      </right>
      <top style="thin">
        <color theme="0"/>
      </top>
      <bottom/>
      <diagonal/>
    </border>
    <border>
      <left style="medium">
        <color auto="1"/>
      </left>
      <right style="thin">
        <color auto="1"/>
      </right>
      <top style="thin">
        <color theme="0"/>
      </top>
      <bottom style="thin">
        <color theme="0"/>
      </bottom>
      <diagonal/>
    </border>
    <border>
      <left style="medium">
        <color auto="1"/>
      </left>
      <right/>
      <top style="thin">
        <color theme="0"/>
      </top>
      <bottom style="thin">
        <color theme="0"/>
      </bottom>
      <diagonal/>
    </border>
    <border>
      <left style="medium">
        <color auto="1"/>
      </left>
      <right/>
      <top style="thin">
        <color theme="0"/>
      </top>
      <bottom style="medium">
        <color auto="1"/>
      </bottom>
      <diagonal/>
    </border>
    <border>
      <left style="thin">
        <color theme="0"/>
      </left>
      <right/>
      <top style="thin">
        <color auto="1"/>
      </top>
      <bottom style="thin">
        <color auto="1"/>
      </bottom>
      <diagonal/>
    </border>
    <border>
      <left style="thin">
        <color theme="0"/>
      </left>
      <right style="thin">
        <color theme="0"/>
      </right>
      <top style="thin">
        <color auto="1"/>
      </top>
      <bottom style="thin">
        <color auto="1"/>
      </bottom>
      <diagonal/>
    </border>
    <border>
      <left style="thin">
        <color auto="1"/>
      </left>
      <right/>
      <top style="thin">
        <color theme="0"/>
      </top>
      <bottom/>
      <diagonal/>
    </border>
    <border>
      <left style="thin">
        <color auto="1"/>
      </left>
      <right style="thin">
        <color auto="1"/>
      </right>
      <top style="thin">
        <color theme="0"/>
      </top>
      <bottom/>
      <diagonal/>
    </border>
    <border>
      <left style="thin">
        <color auto="1"/>
      </left>
      <right style="thin">
        <color auto="1"/>
      </right>
      <top style="thin">
        <color theme="0"/>
      </top>
      <bottom style="thin">
        <color theme="0"/>
      </bottom>
      <diagonal/>
    </border>
    <border>
      <left style="thin">
        <color theme="0"/>
      </left>
      <right/>
      <top style="thin">
        <color theme="0"/>
      </top>
      <bottom style="medium">
        <color auto="1"/>
      </bottom>
      <diagonal/>
    </border>
    <border>
      <left/>
      <right style="thin">
        <color theme="0"/>
      </right>
      <top style="thin">
        <color auto="1"/>
      </top>
      <bottom style="medium">
        <color auto="1"/>
      </bottom>
      <diagonal/>
    </border>
    <border>
      <left style="thin">
        <color theme="0"/>
      </left>
      <right style="thin">
        <color theme="0"/>
      </right>
      <top style="thin">
        <color auto="1"/>
      </top>
      <bottom style="medium">
        <color auto="1"/>
      </bottom>
      <diagonal/>
    </border>
    <border>
      <left/>
      <right style="thin">
        <color theme="0"/>
      </right>
      <top style="thin">
        <color indexed="64"/>
      </top>
      <bottom style="thin">
        <color auto="1"/>
      </bottom>
      <diagonal/>
    </border>
    <border>
      <left/>
      <right style="thin">
        <color theme="0"/>
      </right>
      <top/>
      <bottom style="thin">
        <color auto="1"/>
      </bottom>
      <diagonal/>
    </border>
    <border>
      <left/>
      <right style="thin">
        <color theme="0"/>
      </right>
      <top style="thin">
        <color theme="0"/>
      </top>
      <bottom style="thin">
        <color auto="1"/>
      </bottom>
      <diagonal/>
    </border>
    <border>
      <left/>
      <right/>
      <top style="thin">
        <color theme="0"/>
      </top>
      <bottom style="thin">
        <color auto="1"/>
      </bottom>
      <diagonal/>
    </border>
    <border>
      <left style="thin">
        <color auto="1"/>
      </left>
      <right style="thin">
        <color theme="0"/>
      </right>
      <top/>
      <bottom style="thin">
        <color theme="0"/>
      </bottom>
      <diagonal/>
    </border>
    <border>
      <left style="thin">
        <color auto="1"/>
      </left>
      <right style="thin">
        <color theme="0"/>
      </right>
      <top style="thin">
        <color theme="0"/>
      </top>
      <bottom style="thin">
        <color theme="0"/>
      </bottom>
      <diagonal/>
    </border>
    <border>
      <left style="thin">
        <color theme="0"/>
      </left>
      <right style="medium">
        <color auto="1"/>
      </right>
      <top style="thin">
        <color theme="0"/>
      </top>
      <bottom/>
      <diagonal/>
    </border>
    <border>
      <left style="thin">
        <color theme="0"/>
      </left>
      <right style="medium">
        <color auto="1"/>
      </right>
      <top style="thin">
        <color theme="0"/>
      </top>
      <bottom style="thin">
        <color theme="0"/>
      </bottom>
      <diagonal/>
    </border>
    <border>
      <left/>
      <right/>
      <top style="thin">
        <color indexed="64"/>
      </top>
      <bottom style="thin">
        <color theme="0"/>
      </bottom>
      <diagonal/>
    </border>
    <border>
      <left style="thin">
        <color theme="0"/>
      </left>
      <right style="medium">
        <color auto="1"/>
      </right>
      <top style="thin">
        <color auto="1"/>
      </top>
      <bottom style="thin">
        <color theme="0"/>
      </bottom>
      <diagonal/>
    </border>
    <border>
      <left style="thin">
        <color auto="1"/>
      </left>
      <right style="medium">
        <color auto="1"/>
      </right>
      <top style="thin">
        <color theme="0"/>
      </top>
      <bottom/>
      <diagonal/>
    </border>
    <border>
      <left style="thin">
        <color auto="1"/>
      </left>
      <right style="medium">
        <color auto="1"/>
      </right>
      <top style="thin">
        <color theme="0"/>
      </top>
      <bottom style="thin">
        <color theme="0"/>
      </bottom>
      <diagonal/>
    </border>
    <border>
      <left/>
      <right style="medium">
        <color auto="1"/>
      </right>
      <top style="thin">
        <color theme="0"/>
      </top>
      <bottom style="medium">
        <color auto="1"/>
      </bottom>
      <diagonal/>
    </border>
    <border>
      <left style="thin">
        <color theme="0"/>
      </left>
      <right style="thin">
        <color theme="0"/>
      </right>
      <top style="thin">
        <color auto="1"/>
      </top>
      <bottom/>
      <diagonal/>
    </border>
    <border>
      <left style="thin">
        <color theme="0"/>
      </left>
      <right style="thin">
        <color auto="1"/>
      </right>
      <top style="thin">
        <color theme="0"/>
      </top>
      <bottom style="thin">
        <color auto="1"/>
      </bottom>
      <diagonal/>
    </border>
    <border>
      <left style="thin">
        <color theme="0"/>
      </left>
      <right/>
      <top style="thin">
        <color auto="1"/>
      </top>
      <bottom style="medium">
        <color auto="1"/>
      </bottom>
      <diagonal/>
    </border>
    <border>
      <left/>
      <right style="medium">
        <color auto="1"/>
      </right>
      <top style="thin">
        <color theme="0"/>
      </top>
      <bottom/>
      <diagonal/>
    </border>
    <border>
      <left/>
      <right style="thin">
        <color theme="0"/>
      </right>
      <top style="thin">
        <color auto="1"/>
      </top>
      <bottom style="thin">
        <color theme="0"/>
      </bottom>
      <diagonal/>
    </border>
    <border>
      <left style="thin">
        <color auto="1"/>
      </left>
      <right style="thin">
        <color theme="0"/>
      </right>
      <top style="thin">
        <color theme="0"/>
      </top>
      <bottom/>
      <diagonal/>
    </border>
    <border>
      <left style="thin">
        <color theme="0"/>
      </left>
      <right style="medium">
        <color auto="1"/>
      </right>
      <top style="thin">
        <color theme="0"/>
      </top>
      <bottom style="medium">
        <color auto="1"/>
      </bottom>
      <diagonal/>
    </border>
    <border>
      <left style="thin">
        <color theme="0"/>
      </left>
      <right style="thin">
        <color theme="0"/>
      </right>
      <top style="thin">
        <color theme="0"/>
      </top>
      <bottom style="medium">
        <color auto="1"/>
      </bottom>
      <diagonal/>
    </border>
    <border>
      <left/>
      <right/>
      <top style="thin">
        <color theme="0"/>
      </top>
      <bottom style="medium">
        <color theme="0"/>
      </bottom>
      <diagonal/>
    </border>
    <border>
      <left style="thin">
        <color theme="0"/>
      </left>
      <right/>
      <top style="thin">
        <color theme="0"/>
      </top>
      <bottom style="thin">
        <color auto="1"/>
      </bottom>
      <diagonal/>
    </border>
    <border>
      <left style="thin">
        <color theme="0"/>
      </left>
      <right/>
      <top style="medium">
        <color auto="1"/>
      </top>
      <bottom/>
      <diagonal/>
    </border>
    <border>
      <left style="thin">
        <color theme="0"/>
      </left>
      <right style="thin">
        <color indexed="64"/>
      </right>
      <top style="thin">
        <color indexed="64"/>
      </top>
      <bottom style="double">
        <color indexed="64"/>
      </bottom>
      <diagonal/>
    </border>
    <border>
      <left/>
      <right style="medium">
        <color auto="1"/>
      </right>
      <top style="thin">
        <color theme="0"/>
      </top>
      <bottom style="thin">
        <color theme="0"/>
      </bottom>
      <diagonal/>
    </border>
    <border>
      <left/>
      <right style="medium">
        <color theme="0"/>
      </right>
      <top style="medium">
        <color auto="1"/>
      </top>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medium">
        <color theme="0"/>
      </right>
      <top/>
      <bottom/>
      <diagonal/>
    </border>
    <border>
      <left/>
      <right style="medium">
        <color theme="0"/>
      </right>
      <top style="medium">
        <color theme="0"/>
      </top>
      <bottom/>
      <diagonal/>
    </border>
    <border>
      <left style="medium">
        <color theme="0"/>
      </left>
      <right style="medium">
        <color theme="0"/>
      </right>
      <top style="medium">
        <color auto="1"/>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style="medium">
        <color auto="1"/>
      </top>
      <bottom/>
      <diagonal/>
    </border>
    <border>
      <left style="medium">
        <color theme="0"/>
      </left>
      <right style="medium">
        <color theme="0"/>
      </right>
      <top style="medium">
        <color theme="0"/>
      </top>
      <bottom style="thin">
        <color theme="0"/>
      </bottom>
      <diagonal/>
    </border>
    <border>
      <left style="medium">
        <color theme="0"/>
      </left>
      <right/>
      <top style="thin">
        <color theme="0"/>
      </top>
      <bottom/>
      <diagonal/>
    </border>
    <border>
      <left/>
      <right/>
      <top style="medium">
        <color theme="0"/>
      </top>
      <bottom/>
      <diagonal/>
    </border>
    <border>
      <left style="medium">
        <color theme="0"/>
      </left>
      <right style="medium">
        <color theme="0"/>
      </right>
      <top style="thin">
        <color theme="0"/>
      </top>
      <bottom/>
      <diagonal/>
    </border>
    <border>
      <left style="medium">
        <color theme="0"/>
      </left>
      <right/>
      <top/>
      <bottom/>
      <diagonal/>
    </border>
    <border>
      <left style="medium">
        <color theme="0"/>
      </left>
      <right style="thin">
        <color theme="0"/>
      </right>
      <top style="thin">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thin">
        <color auto="1"/>
      </left>
      <right style="medium">
        <color indexed="64"/>
      </right>
      <top/>
      <bottom/>
      <diagonal/>
    </border>
    <border>
      <left style="medium">
        <color auto="1"/>
      </left>
      <right style="medium">
        <color auto="1"/>
      </right>
      <top style="medium">
        <color auto="1"/>
      </top>
      <bottom style="double">
        <color indexed="64"/>
      </bottom>
      <diagonal/>
    </border>
    <border>
      <left style="thin">
        <color theme="0"/>
      </left>
      <right/>
      <top/>
      <bottom style="thin">
        <color indexed="64"/>
      </bottom>
      <diagonal/>
    </border>
    <border>
      <left style="thin">
        <color theme="0"/>
      </left>
      <right/>
      <top style="thin">
        <color indexed="64"/>
      </top>
      <bottom/>
      <diagonal/>
    </border>
    <border>
      <left/>
      <right style="thin">
        <color theme="0"/>
      </right>
      <top/>
      <bottom style="thin">
        <color theme="0"/>
      </bottom>
      <diagonal/>
    </border>
    <border>
      <left/>
      <right style="medium">
        <color indexed="64"/>
      </right>
      <top/>
      <bottom style="thin">
        <color theme="0"/>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theme="0"/>
      </top>
      <bottom/>
      <diagonal/>
    </border>
    <border>
      <left/>
      <right style="medium">
        <color theme="0"/>
      </right>
      <top/>
      <bottom style="medium">
        <color indexed="64"/>
      </bottom>
      <diagonal/>
    </border>
    <border>
      <left style="medium">
        <color theme="0"/>
      </left>
      <right/>
      <top/>
      <bottom style="medium">
        <color indexed="64"/>
      </bottom>
      <diagonal/>
    </border>
    <border>
      <left style="medium">
        <color auto="1"/>
      </left>
      <right/>
      <top style="thin">
        <color theme="0"/>
      </top>
      <bottom/>
      <diagonal/>
    </border>
    <border>
      <left style="thin">
        <color theme="0"/>
      </left>
      <right style="thin">
        <color theme="0"/>
      </right>
      <top style="thin">
        <color theme="0"/>
      </top>
      <bottom style="thin">
        <color indexed="64"/>
      </bottom>
      <diagonal/>
    </border>
    <border>
      <left style="medium">
        <color auto="1"/>
      </left>
      <right style="thin">
        <color theme="0"/>
      </right>
      <top style="thin">
        <color auto="1"/>
      </top>
      <bottom style="thin">
        <color indexed="64"/>
      </bottom>
      <diagonal/>
    </border>
    <border>
      <left style="thin">
        <color theme="0"/>
      </left>
      <right style="medium">
        <color auto="1"/>
      </right>
      <top style="thin">
        <color auto="1"/>
      </top>
      <bottom style="thin">
        <color auto="1"/>
      </bottom>
      <diagonal/>
    </border>
    <border>
      <left style="thin">
        <color theme="0"/>
      </left>
      <right style="thin">
        <color theme="0"/>
      </right>
      <top style="medium">
        <color auto="1"/>
      </top>
      <bottom/>
      <diagonal/>
    </border>
    <border>
      <left/>
      <right style="thin">
        <color auto="1"/>
      </right>
      <top style="medium">
        <color auto="1"/>
      </top>
      <bottom style="thin">
        <color auto="1"/>
      </bottom>
      <diagonal/>
    </border>
    <border>
      <left/>
      <right style="thick">
        <color auto="1"/>
      </right>
      <top style="thin">
        <color indexed="64"/>
      </top>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bottom/>
      <diagonal/>
    </border>
    <border>
      <left/>
      <right style="double">
        <color auto="1"/>
      </right>
      <top/>
      <bottom/>
      <diagonal/>
    </border>
    <border>
      <left style="thin">
        <color auto="1"/>
      </left>
      <right style="double">
        <color auto="1"/>
      </right>
      <top/>
      <bottom style="thin">
        <color auto="1"/>
      </bottom>
      <diagonal/>
    </border>
    <border>
      <left style="thin">
        <color indexed="64"/>
      </left>
      <right style="double">
        <color auto="1"/>
      </right>
      <top style="thin">
        <color auto="1"/>
      </top>
      <bottom style="medium">
        <color auto="1"/>
      </bottom>
      <diagonal/>
    </border>
    <border>
      <left style="double">
        <color auto="1"/>
      </left>
      <right/>
      <top/>
      <bottom style="medium">
        <color auto="1"/>
      </bottom>
      <diagonal/>
    </border>
    <border>
      <left/>
      <right style="double">
        <color auto="1"/>
      </right>
      <top/>
      <bottom style="medium">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auto="1"/>
      </right>
      <top/>
      <bottom style="double">
        <color indexed="64"/>
      </bottom>
      <diagonal/>
    </border>
    <border>
      <left/>
      <right style="thin">
        <color indexed="64"/>
      </right>
      <top/>
      <bottom style="double">
        <color indexed="64"/>
      </bottom>
      <diagonal/>
    </border>
    <border>
      <left style="double">
        <color indexed="64"/>
      </left>
      <right style="double">
        <color indexed="64"/>
      </right>
      <top/>
      <bottom/>
      <diagonal/>
    </border>
    <border>
      <left style="medium">
        <color theme="0"/>
      </left>
      <right style="medium">
        <color theme="0"/>
      </right>
      <top/>
      <bottom/>
      <diagonal/>
    </border>
    <border>
      <left style="medium">
        <color theme="0"/>
      </left>
      <right style="medium">
        <color theme="0"/>
      </right>
      <top/>
      <bottom style="thin">
        <color theme="0"/>
      </bottom>
      <diagonal/>
    </border>
    <border>
      <left style="medium">
        <color theme="0"/>
      </left>
      <right style="thin">
        <color theme="0"/>
      </right>
      <top/>
      <bottom style="thin">
        <color theme="0"/>
      </bottom>
      <diagonal/>
    </border>
    <border>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thin">
        <color auto="1"/>
      </right>
      <top style="double">
        <color indexed="64"/>
      </top>
      <bottom/>
      <diagonal/>
    </border>
    <border>
      <left style="medium">
        <color indexed="64"/>
      </left>
      <right style="thin">
        <color auto="1"/>
      </right>
      <top style="double">
        <color indexed="64"/>
      </top>
      <bottom/>
      <diagonal/>
    </border>
    <border>
      <left style="medium">
        <color auto="1"/>
      </left>
      <right style="medium">
        <color indexed="64"/>
      </right>
      <top style="thick">
        <color auto="1"/>
      </top>
      <bottom/>
      <diagonal/>
    </border>
    <border>
      <left style="thin">
        <color auto="1"/>
      </left>
      <right style="thin">
        <color auto="1"/>
      </right>
      <top style="double">
        <color indexed="64"/>
      </top>
      <bottom style="thin">
        <color auto="1"/>
      </bottom>
      <diagonal/>
    </border>
    <border>
      <left style="thin">
        <color indexed="64"/>
      </left>
      <right/>
      <top style="medium">
        <color indexed="64"/>
      </top>
      <bottom style="double">
        <color indexed="64"/>
      </bottom>
      <diagonal/>
    </border>
    <border>
      <left style="thin">
        <color auto="1"/>
      </left>
      <right style="thin">
        <color auto="1"/>
      </right>
      <top style="medium">
        <color auto="1"/>
      </top>
      <bottom style="double">
        <color auto="1"/>
      </bottom>
      <diagonal/>
    </border>
    <border>
      <left/>
      <right style="thin">
        <color auto="1"/>
      </right>
      <top style="medium">
        <color auto="1"/>
      </top>
      <bottom style="double">
        <color auto="1"/>
      </bottom>
      <diagonal/>
    </border>
  </borders>
  <cellStyleXfs count="3">
    <xf numFmtId="0" fontId="0" fillId="0" borderId="0"/>
    <xf numFmtId="9" fontId="1" fillId="0" borderId="0" applyFont="0" applyFill="0" applyBorder="0" applyAlignment="0" applyProtection="0"/>
    <xf numFmtId="0" fontId="4" fillId="0" borderId="0"/>
  </cellStyleXfs>
  <cellXfs count="1412">
    <xf numFmtId="0" fontId="0" fillId="0" borderId="0" xfId="0"/>
    <xf numFmtId="2" fontId="0" fillId="4" borderId="45" xfId="0" applyNumberFormat="1" applyFill="1" applyBorder="1" applyAlignment="1">
      <alignment vertical="center"/>
    </xf>
    <xf numFmtId="2" fontId="0" fillId="4" borderId="19" xfId="0" applyNumberFormat="1" applyFill="1" applyBorder="1" applyAlignment="1">
      <alignment vertical="center"/>
    </xf>
    <xf numFmtId="0" fontId="0" fillId="0" borderId="0" xfId="0" applyAlignment="1">
      <alignment wrapText="1"/>
    </xf>
    <xf numFmtId="0" fontId="6" fillId="0" borderId="0" xfId="0" applyFont="1" applyAlignment="1">
      <alignment vertical="top" wrapText="1"/>
    </xf>
    <xf numFmtId="0" fontId="5" fillId="0" borderId="0" xfId="0" applyFont="1"/>
    <xf numFmtId="0" fontId="0" fillId="10" borderId="55" xfId="0" applyFill="1" applyBorder="1" applyAlignment="1">
      <alignment horizontal="center"/>
    </xf>
    <xf numFmtId="0" fontId="0" fillId="3" borderId="55" xfId="0" applyFill="1" applyBorder="1" applyAlignment="1">
      <alignment horizontal="center"/>
    </xf>
    <xf numFmtId="0" fontId="0" fillId="2" borderId="55" xfId="0" applyFill="1" applyBorder="1" applyAlignment="1">
      <alignment horizontal="center"/>
    </xf>
    <xf numFmtId="0" fontId="0" fillId="5" borderId="55" xfId="0" applyFill="1" applyBorder="1" applyAlignment="1">
      <alignment horizontal="center"/>
    </xf>
    <xf numFmtId="0" fontId="0" fillId="6" borderId="56" xfId="0" applyFill="1" applyBorder="1" applyAlignment="1">
      <alignment horizontal="center"/>
    </xf>
    <xf numFmtId="0" fontId="5" fillId="11" borderId="54" xfId="0" applyFont="1" applyFill="1" applyBorder="1" applyAlignment="1">
      <alignment horizontal="center"/>
    </xf>
    <xf numFmtId="0" fontId="0" fillId="0" borderId="17" xfId="0" applyBorder="1"/>
    <xf numFmtId="2" fontId="0" fillId="4" borderId="63" xfId="0" applyNumberFormat="1" applyFill="1" applyBorder="1" applyAlignment="1">
      <alignment vertical="center"/>
    </xf>
    <xf numFmtId="2" fontId="0" fillId="4" borderId="64" xfId="0" applyNumberFormat="1" applyFill="1" applyBorder="1" applyAlignment="1">
      <alignment vertical="center"/>
    </xf>
    <xf numFmtId="0" fontId="0" fillId="0" borderId="32" xfId="0" applyBorder="1"/>
    <xf numFmtId="0" fontId="0" fillId="0" borderId="0" xfId="0" applyAlignment="1">
      <alignment horizontal="left"/>
    </xf>
    <xf numFmtId="0" fontId="7" fillId="0" borderId="0" xfId="0" applyFont="1"/>
    <xf numFmtId="0" fontId="5"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9" fillId="0" borderId="0" xfId="0" applyFont="1" applyAlignment="1">
      <alignment vertical="top" wrapText="1"/>
    </xf>
    <xf numFmtId="0" fontId="15" fillId="0" borderId="0" xfId="0" applyFont="1"/>
    <xf numFmtId="0" fontId="16" fillId="0" borderId="0" xfId="0" applyFont="1" applyAlignment="1">
      <alignment wrapText="1"/>
    </xf>
    <xf numFmtId="2" fontId="15" fillId="0" borderId="0" xfId="0" applyNumberFormat="1" applyFont="1"/>
    <xf numFmtId="0" fontId="15" fillId="0" borderId="51" xfId="0" applyFont="1" applyBorder="1"/>
    <xf numFmtId="2" fontId="15" fillId="0" borderId="51" xfId="0" applyNumberFormat="1" applyFont="1" applyBorder="1"/>
    <xf numFmtId="0" fontId="17" fillId="0" borderId="51" xfId="0" applyFont="1" applyBorder="1"/>
    <xf numFmtId="0" fontId="15" fillId="0" borderId="21" xfId="0" applyFont="1" applyBorder="1"/>
    <xf numFmtId="0" fontId="17" fillId="0" borderId="0" xfId="0" applyFont="1"/>
    <xf numFmtId="0" fontId="15" fillId="0" borderId="0" xfId="0" applyFont="1" applyAlignment="1">
      <alignment vertical="top"/>
    </xf>
    <xf numFmtId="2" fontId="15" fillId="0" borderId="0" xfId="0" applyNumberFormat="1" applyFont="1" applyAlignment="1">
      <alignment vertical="top"/>
    </xf>
    <xf numFmtId="2" fontId="15" fillId="0" borderId="21" xfId="0" applyNumberFormat="1" applyFont="1" applyBorder="1"/>
    <xf numFmtId="2" fontId="15" fillId="0" borderId="5" xfId="0" applyNumberFormat="1" applyFont="1" applyBorder="1"/>
    <xf numFmtId="164" fontId="15" fillId="0" borderId="0" xfId="0" applyNumberFormat="1" applyFont="1"/>
    <xf numFmtId="0" fontId="10" fillId="15" borderId="26" xfId="0" applyFont="1" applyFill="1" applyBorder="1" applyAlignment="1">
      <alignment horizontal="center" vertical="center"/>
    </xf>
    <xf numFmtId="0" fontId="10" fillId="15" borderId="29" xfId="0" applyFont="1" applyFill="1" applyBorder="1" applyAlignment="1">
      <alignment horizontal="center" vertical="center" wrapText="1"/>
    </xf>
    <xf numFmtId="164" fontId="10" fillId="15" borderId="70" xfId="0" applyNumberFormat="1" applyFont="1" applyFill="1" applyBorder="1" applyAlignment="1">
      <alignment horizontal="center" vertical="center" wrapText="1"/>
    </xf>
    <xf numFmtId="2" fontId="10" fillId="15" borderId="29" xfId="0" applyNumberFormat="1" applyFont="1" applyFill="1" applyBorder="1" applyAlignment="1">
      <alignment horizontal="center" vertical="center" wrapText="1"/>
    </xf>
    <xf numFmtId="0" fontId="10" fillId="15" borderId="58" xfId="0" applyFont="1" applyFill="1" applyBorder="1" applyAlignment="1">
      <alignment horizontal="center" vertical="center" wrapText="1"/>
    </xf>
    <xf numFmtId="0" fontId="20" fillId="0" borderId="0" xfId="0" applyFont="1"/>
    <xf numFmtId="0" fontId="21" fillId="0" borderId="0" xfId="0" applyFont="1" applyAlignment="1">
      <alignment horizontal="center"/>
    </xf>
    <xf numFmtId="0" fontId="20" fillId="0" borderId="0" xfId="0" applyFont="1" applyAlignment="1">
      <alignment horizontal="center"/>
    </xf>
    <xf numFmtId="0" fontId="22" fillId="14" borderId="53" xfId="0" applyFont="1" applyFill="1" applyBorder="1" applyAlignment="1">
      <alignment horizontal="center" vertical="center"/>
    </xf>
    <xf numFmtId="0" fontId="22" fillId="14" borderId="19" xfId="0" applyFont="1" applyFill="1" applyBorder="1" applyAlignment="1">
      <alignment horizontal="center" vertical="center" wrapText="1"/>
    </xf>
    <xf numFmtId="164" fontId="22" fillId="14" borderId="45" xfId="0" applyNumberFormat="1" applyFont="1" applyFill="1" applyBorder="1" applyAlignment="1">
      <alignment horizontal="center" vertical="center" wrapText="1"/>
    </xf>
    <xf numFmtId="0" fontId="22" fillId="14" borderId="20" xfId="0" applyFont="1" applyFill="1" applyBorder="1" applyAlignment="1">
      <alignment horizontal="center" vertical="center" wrapText="1"/>
    </xf>
    <xf numFmtId="0" fontId="20" fillId="0" borderId="0" xfId="0" applyFont="1" applyAlignment="1">
      <alignment wrapText="1"/>
    </xf>
    <xf numFmtId="0" fontId="20" fillId="4" borderId="19" xfId="0" applyFont="1" applyFill="1" applyBorder="1" applyAlignment="1">
      <alignment horizontal="center" vertical="center" wrapText="1"/>
    </xf>
    <xf numFmtId="0" fontId="20" fillId="4" borderId="19" xfId="0" applyFont="1" applyFill="1" applyBorder="1" applyAlignment="1">
      <alignment horizontal="center" vertical="center"/>
    </xf>
    <xf numFmtId="2" fontId="20" fillId="5" borderId="45" xfId="0" applyNumberFormat="1" applyFont="1" applyFill="1" applyBorder="1" applyAlignment="1">
      <alignment horizontal="center" vertical="center"/>
    </xf>
    <xf numFmtId="2" fontId="27" fillId="5" borderId="49" xfId="0" applyNumberFormat="1" applyFont="1" applyFill="1" applyBorder="1" applyAlignment="1">
      <alignment horizontal="center" vertical="center" wrapText="1"/>
    </xf>
    <xf numFmtId="0" fontId="28" fillId="0" borderId="0" xfId="0" applyFont="1" applyAlignment="1">
      <alignment wrapText="1"/>
    </xf>
    <xf numFmtId="0" fontId="31" fillId="0" borderId="0" xfId="0" applyFont="1" applyAlignment="1">
      <alignment wrapText="1"/>
    </xf>
    <xf numFmtId="0" fontId="20" fillId="4" borderId="35" xfId="0" applyFont="1" applyFill="1" applyBorder="1" applyAlignment="1">
      <alignment horizontal="center" vertical="center" wrapText="1"/>
    </xf>
    <xf numFmtId="2" fontId="20" fillId="4" borderId="68" xfId="0" applyNumberFormat="1" applyFont="1" applyFill="1" applyBorder="1" applyAlignment="1">
      <alignment horizontal="center" vertical="center"/>
    </xf>
    <xf numFmtId="0" fontId="32" fillId="0" borderId="0" xfId="0" applyFont="1" applyAlignment="1">
      <alignment vertical="center"/>
    </xf>
    <xf numFmtId="0" fontId="20" fillId="4" borderId="41" xfId="0" applyFont="1" applyFill="1" applyBorder="1" applyAlignment="1">
      <alignment horizontal="center" vertical="center" wrapText="1"/>
    </xf>
    <xf numFmtId="2" fontId="20" fillId="4" borderId="41" xfId="0" applyNumberFormat="1" applyFont="1" applyFill="1" applyBorder="1" applyAlignment="1">
      <alignment vertical="center"/>
    </xf>
    <xf numFmtId="0" fontId="20" fillId="5" borderId="43" xfId="0" applyFont="1" applyFill="1" applyBorder="1" applyAlignment="1">
      <alignment horizontal="center" vertical="center"/>
    </xf>
    <xf numFmtId="2" fontId="20" fillId="6" borderId="45" xfId="0" applyNumberFormat="1" applyFont="1" applyFill="1" applyBorder="1" applyAlignment="1">
      <alignment horizontal="center" vertical="center"/>
    </xf>
    <xf numFmtId="0" fontId="20" fillId="4" borderId="43" xfId="0" applyFont="1" applyFill="1" applyBorder="1" applyAlignment="1">
      <alignment horizontal="center" vertical="center" wrapText="1"/>
    </xf>
    <xf numFmtId="2" fontId="20" fillId="4" borderId="42" xfId="0" applyNumberFormat="1" applyFont="1" applyFill="1" applyBorder="1" applyAlignment="1">
      <alignment horizontal="center" vertical="center"/>
    </xf>
    <xf numFmtId="2" fontId="20" fillId="4" borderId="45" xfId="0" applyNumberFormat="1" applyFont="1" applyFill="1" applyBorder="1" applyAlignment="1">
      <alignment horizontal="center" vertical="center"/>
    </xf>
    <xf numFmtId="0" fontId="34" fillId="0" borderId="0" xfId="0" applyFont="1" applyAlignment="1">
      <alignment wrapText="1"/>
    </xf>
    <xf numFmtId="2" fontId="20" fillId="5" borderId="42" xfId="0" applyNumberFormat="1" applyFont="1" applyFill="1" applyBorder="1" applyAlignment="1">
      <alignment horizontal="center" vertical="center"/>
    </xf>
    <xf numFmtId="0" fontId="36" fillId="0" borderId="0" xfId="0" applyFont="1"/>
    <xf numFmtId="0" fontId="40" fillId="0" borderId="0" xfId="0" applyFont="1"/>
    <xf numFmtId="0" fontId="41" fillId="0" borderId="0" xfId="0" applyFont="1" applyAlignment="1">
      <alignment horizontal="center" vertical="top"/>
    </xf>
    <xf numFmtId="0" fontId="7" fillId="4" borderId="19" xfId="0" applyFont="1" applyFill="1" applyBorder="1" applyAlignment="1">
      <alignment horizontal="center" vertical="center"/>
    </xf>
    <xf numFmtId="0" fontId="7" fillId="4" borderId="19" xfId="0" applyFont="1" applyFill="1" applyBorder="1" applyAlignment="1">
      <alignment horizontal="center" vertical="center" wrapText="1"/>
    </xf>
    <xf numFmtId="0" fontId="7" fillId="4" borderId="35" xfId="0" applyFont="1" applyFill="1" applyBorder="1" applyAlignment="1">
      <alignment horizontal="center" vertical="center"/>
    </xf>
    <xf numFmtId="0" fontId="7" fillId="4" borderId="76"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3"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0" borderId="0" xfId="0" applyFont="1" applyAlignment="1">
      <alignment horizontal="right" vertical="center" wrapText="1"/>
    </xf>
    <xf numFmtId="14" fontId="13" fillId="18" borderId="10" xfId="0" applyNumberFormat="1" applyFont="1" applyFill="1" applyBorder="1" applyAlignment="1" applyProtection="1">
      <alignment horizontal="left" vertical="center" wrapText="1"/>
      <protection locked="0"/>
    </xf>
    <xf numFmtId="0" fontId="13" fillId="18" borderId="10" xfId="0" applyFont="1" applyFill="1" applyBorder="1" applyAlignment="1" applyProtection="1">
      <alignment horizontal="left" vertical="center" wrapText="1"/>
      <protection locked="0"/>
    </xf>
    <xf numFmtId="2" fontId="13" fillId="18" borderId="10" xfId="0" applyNumberFormat="1" applyFont="1" applyFill="1" applyBorder="1" applyAlignment="1" applyProtection="1">
      <alignment horizontal="left" vertical="center"/>
      <protection locked="0"/>
    </xf>
    <xf numFmtId="0" fontId="43" fillId="0" borderId="0" xfId="0" applyFont="1" applyAlignment="1">
      <alignment horizontal="center" vertical="top"/>
    </xf>
    <xf numFmtId="0" fontId="13" fillId="0" borderId="0" xfId="0" applyFont="1" applyAlignment="1">
      <alignment horizontal="right" vertical="top" wrapText="1"/>
    </xf>
    <xf numFmtId="0" fontId="13" fillId="0" borderId="0" xfId="0" applyFont="1" applyAlignment="1">
      <alignment horizontal="center" vertical="top"/>
    </xf>
    <xf numFmtId="0" fontId="13" fillId="0" borderId="0" xfId="0" applyFont="1" applyAlignment="1">
      <alignment vertical="top"/>
    </xf>
    <xf numFmtId="2" fontId="13" fillId="0" borderId="0" xfId="0" applyNumberFormat="1" applyFont="1" applyAlignment="1">
      <alignment vertical="top"/>
    </xf>
    <xf numFmtId="0" fontId="11" fillId="0" borderId="50" xfId="0" applyFont="1" applyBorder="1" applyAlignment="1">
      <alignment horizontal="left" vertical="center" wrapText="1"/>
    </xf>
    <xf numFmtId="0" fontId="13" fillId="0" borderId="0" xfId="0" applyFont="1" applyAlignment="1">
      <alignment horizontal="left" vertical="top" wrapText="1"/>
    </xf>
    <xf numFmtId="0" fontId="11" fillId="0" borderId="50"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7" fillId="4" borderId="37" xfId="0" applyFont="1" applyFill="1" applyBorder="1" applyAlignment="1">
      <alignment horizontal="center" vertical="center" wrapText="1"/>
    </xf>
    <xf numFmtId="2" fontId="7" fillId="4" borderId="25" xfId="0" applyNumberFormat="1" applyFont="1" applyFill="1" applyBorder="1" applyAlignment="1">
      <alignment horizontal="center" vertical="center"/>
    </xf>
    <xf numFmtId="2" fontId="7" fillId="4" borderId="25" xfId="0" applyNumberFormat="1" applyFont="1" applyFill="1" applyBorder="1" applyAlignment="1">
      <alignment vertical="center"/>
    </xf>
    <xf numFmtId="2" fontId="7" fillId="4" borderId="37" xfId="0" applyNumberFormat="1" applyFont="1" applyFill="1" applyBorder="1" applyAlignment="1">
      <alignment vertical="center"/>
    </xf>
    <xf numFmtId="2" fontId="7" fillId="4" borderId="68" xfId="0" applyNumberFormat="1" applyFont="1" applyFill="1" applyBorder="1" applyAlignment="1">
      <alignment horizontal="center" vertical="center"/>
    </xf>
    <xf numFmtId="2" fontId="7" fillId="4" borderId="43" xfId="0" applyNumberFormat="1" applyFont="1" applyFill="1" applyBorder="1" applyAlignment="1">
      <alignment vertical="center"/>
    </xf>
    <xf numFmtId="0" fontId="7" fillId="4" borderId="40" xfId="0" applyFont="1" applyFill="1" applyBorder="1" applyAlignment="1">
      <alignment horizontal="center" vertical="center" wrapText="1"/>
    </xf>
    <xf numFmtId="0" fontId="7" fillId="4" borderId="40" xfId="0" applyFont="1" applyFill="1" applyBorder="1" applyAlignment="1">
      <alignment horizontal="center" vertical="center"/>
    </xf>
    <xf numFmtId="2" fontId="7" fillId="4" borderId="69" xfId="0" applyNumberFormat="1" applyFont="1" applyFill="1" applyBorder="1" applyAlignment="1">
      <alignment horizontal="center" vertical="center"/>
    </xf>
    <xf numFmtId="2" fontId="7" fillId="4" borderId="40" xfId="0" applyNumberFormat="1" applyFont="1" applyFill="1" applyBorder="1" applyAlignment="1">
      <alignment vertical="center"/>
    </xf>
    <xf numFmtId="2" fontId="7" fillId="4" borderId="35" xfId="0" applyNumberFormat="1" applyFont="1" applyFill="1" applyBorder="1" applyAlignment="1">
      <alignment vertical="center"/>
    </xf>
    <xf numFmtId="2" fontId="7" fillId="4" borderId="35" xfId="0" applyNumberFormat="1" applyFont="1" applyFill="1" applyBorder="1" applyAlignment="1">
      <alignment horizontal="center" vertical="center"/>
    </xf>
    <xf numFmtId="2" fontId="7" fillId="4" borderId="19" xfId="0" applyNumberFormat="1" applyFont="1" applyFill="1" applyBorder="1" applyAlignment="1">
      <alignment horizontal="center" vertical="center"/>
    </xf>
    <xf numFmtId="2" fontId="7" fillId="4" borderId="50" xfId="0" applyNumberFormat="1" applyFont="1" applyFill="1" applyBorder="1" applyAlignment="1">
      <alignment vertical="center"/>
    </xf>
    <xf numFmtId="2" fontId="7" fillId="4" borderId="79" xfId="0" applyNumberFormat="1" applyFont="1" applyFill="1" applyBorder="1" applyAlignment="1">
      <alignment vertical="center"/>
    </xf>
    <xf numFmtId="0" fontId="7" fillId="4" borderId="79" xfId="0" applyFont="1" applyFill="1" applyBorder="1" applyAlignment="1">
      <alignment horizontal="center" vertical="center" wrapText="1"/>
    </xf>
    <xf numFmtId="2" fontId="7" fillId="4" borderId="79" xfId="0" applyNumberFormat="1" applyFont="1" applyFill="1" applyBorder="1" applyAlignment="1">
      <alignment horizontal="center" vertical="center"/>
    </xf>
    <xf numFmtId="0" fontId="12" fillId="4" borderId="43" xfId="0" applyFont="1" applyFill="1" applyBorder="1" applyAlignment="1">
      <alignment horizontal="center" vertical="top"/>
    </xf>
    <xf numFmtId="2" fontId="7" fillId="4" borderId="45" xfId="0" applyNumberFormat="1" applyFont="1" applyFill="1" applyBorder="1" applyAlignment="1">
      <alignment horizontal="center" vertical="center"/>
    </xf>
    <xf numFmtId="2" fontId="7" fillId="4" borderId="45" xfId="0" applyNumberFormat="1" applyFont="1" applyFill="1" applyBorder="1" applyAlignment="1">
      <alignment vertical="center"/>
    </xf>
    <xf numFmtId="2" fontId="7" fillId="4" borderId="19" xfId="0" applyNumberFormat="1" applyFont="1" applyFill="1" applyBorder="1" applyAlignment="1">
      <alignment vertical="center"/>
    </xf>
    <xf numFmtId="2" fontId="7" fillId="4" borderId="42" xfId="0" applyNumberFormat="1" applyFont="1" applyFill="1" applyBorder="1" applyAlignment="1">
      <alignment horizontal="center" vertical="center"/>
    </xf>
    <xf numFmtId="2" fontId="7" fillId="6" borderId="45" xfId="0" applyNumberFormat="1" applyFont="1" applyFill="1" applyBorder="1" applyAlignment="1">
      <alignment horizontal="center" vertical="center"/>
    </xf>
    <xf numFmtId="0" fontId="7" fillId="4" borderId="47" xfId="0" applyFont="1" applyFill="1" applyBorder="1" applyAlignment="1">
      <alignment horizontal="center" vertical="center" wrapText="1"/>
    </xf>
    <xf numFmtId="0" fontId="7" fillId="4" borderId="47" xfId="0" applyFont="1" applyFill="1" applyBorder="1" applyAlignment="1">
      <alignment horizontal="center" vertical="center"/>
    </xf>
    <xf numFmtId="2" fontId="7" fillId="4" borderId="47" xfId="0" applyNumberFormat="1" applyFont="1" applyFill="1" applyBorder="1" applyAlignment="1">
      <alignment horizontal="center" vertical="center"/>
    </xf>
    <xf numFmtId="2" fontId="7" fillId="4" borderId="47" xfId="0" applyNumberFormat="1" applyFont="1" applyFill="1" applyBorder="1" applyAlignment="1">
      <alignment vertical="center"/>
    </xf>
    <xf numFmtId="2" fontId="7" fillId="6" borderId="42" xfId="0" applyNumberFormat="1" applyFont="1" applyFill="1" applyBorder="1" applyAlignment="1">
      <alignment horizontal="center" vertical="center"/>
    </xf>
    <xf numFmtId="2" fontId="7" fillId="4" borderId="22" xfId="0" applyNumberFormat="1" applyFont="1" applyFill="1" applyBorder="1" applyAlignment="1">
      <alignment vertical="center"/>
    </xf>
    <xf numFmtId="0" fontId="7" fillId="6" borderId="19" xfId="0" applyFont="1" applyFill="1" applyBorder="1" applyAlignment="1">
      <alignment horizontal="center" vertical="center"/>
    </xf>
    <xf numFmtId="2" fontId="7" fillId="4" borderId="50" xfId="0" applyNumberFormat="1" applyFont="1" applyFill="1" applyBorder="1" applyAlignment="1">
      <alignment horizontal="center" vertical="center"/>
    </xf>
    <xf numFmtId="2" fontId="7" fillId="4" borderId="38" xfId="0" applyNumberFormat="1" applyFont="1" applyFill="1" applyBorder="1" applyAlignment="1">
      <alignment vertical="center"/>
    </xf>
    <xf numFmtId="0" fontId="7" fillId="4" borderId="50" xfId="0" applyFont="1" applyFill="1" applyBorder="1" applyAlignment="1">
      <alignment horizontal="center" vertical="center"/>
    </xf>
    <xf numFmtId="2" fontId="7" fillId="4" borderId="41" xfId="0" applyNumberFormat="1" applyFont="1" applyFill="1" applyBorder="1" applyAlignment="1">
      <alignment horizontal="center" vertical="center"/>
    </xf>
    <xf numFmtId="2" fontId="7" fillId="4" borderId="41" xfId="0" applyNumberFormat="1" applyFont="1" applyFill="1" applyBorder="1" applyAlignment="1">
      <alignment vertical="center"/>
    </xf>
    <xf numFmtId="2" fontId="46" fillId="5" borderId="57" xfId="0" applyNumberFormat="1" applyFont="1" applyFill="1" applyBorder="1" applyAlignment="1">
      <alignment horizontal="center" vertical="center" wrapText="1"/>
    </xf>
    <xf numFmtId="1" fontId="47" fillId="12" borderId="38" xfId="1" applyNumberFormat="1" applyFont="1" applyFill="1" applyBorder="1" applyAlignment="1" applyProtection="1">
      <alignment horizontal="center" vertical="center"/>
      <protection locked="0"/>
    </xf>
    <xf numFmtId="1" fontId="47" fillId="12" borderId="37" xfId="1" applyNumberFormat="1" applyFont="1" applyFill="1" applyBorder="1" applyAlignment="1" applyProtection="1">
      <alignment horizontal="center" vertical="center"/>
      <protection locked="0"/>
    </xf>
    <xf numFmtId="2" fontId="46" fillId="12" borderId="43" xfId="0" applyNumberFormat="1" applyFont="1" applyFill="1" applyBorder="1" applyAlignment="1" applyProtection="1">
      <alignment horizontal="center" vertical="center"/>
      <protection locked="0"/>
    </xf>
    <xf numFmtId="1" fontId="47" fillId="12" borderId="37" xfId="1" applyNumberFormat="1" applyFont="1" applyFill="1" applyBorder="1" applyAlignment="1" applyProtection="1">
      <alignment horizontal="center" vertical="center" wrapText="1"/>
      <protection locked="0"/>
    </xf>
    <xf numFmtId="1" fontId="47" fillId="12" borderId="38" xfId="1" applyNumberFormat="1" applyFont="1" applyFill="1" applyBorder="1" applyAlignment="1" applyProtection="1">
      <alignment horizontal="center" vertical="center" wrapText="1"/>
      <protection locked="0"/>
    </xf>
    <xf numFmtId="2" fontId="46" fillId="5" borderId="20" xfId="0" applyNumberFormat="1" applyFont="1" applyFill="1" applyBorder="1" applyAlignment="1">
      <alignment horizontal="center" vertical="center" wrapText="1"/>
    </xf>
    <xf numFmtId="2" fontId="46" fillId="5" borderId="58" xfId="0" applyNumberFormat="1" applyFont="1" applyFill="1" applyBorder="1" applyAlignment="1">
      <alignment horizontal="center" vertical="center" wrapText="1"/>
    </xf>
    <xf numFmtId="2" fontId="46" fillId="12" borderId="19" xfId="0" applyNumberFormat="1" applyFont="1" applyFill="1" applyBorder="1" applyAlignment="1" applyProtection="1">
      <alignment horizontal="center" vertical="center"/>
      <protection locked="0"/>
    </xf>
    <xf numFmtId="2" fontId="46" fillId="5" borderId="18" xfId="0" applyNumberFormat="1" applyFont="1" applyFill="1" applyBorder="1" applyAlignment="1">
      <alignment horizontal="center" vertical="center"/>
    </xf>
    <xf numFmtId="2" fontId="46" fillId="5" borderId="39" xfId="0" applyNumberFormat="1" applyFont="1" applyFill="1" applyBorder="1" applyAlignment="1">
      <alignment horizontal="center" vertical="center" wrapText="1"/>
    </xf>
    <xf numFmtId="2" fontId="46" fillId="5" borderId="23" xfId="0" applyNumberFormat="1" applyFont="1" applyFill="1" applyBorder="1" applyAlignment="1">
      <alignment horizontal="center" vertical="center" wrapText="1"/>
    </xf>
    <xf numFmtId="2" fontId="46" fillId="5" borderId="39" xfId="0" applyNumberFormat="1" applyFont="1" applyFill="1" applyBorder="1" applyAlignment="1">
      <alignment horizontal="center" vertical="center"/>
    </xf>
    <xf numFmtId="2" fontId="46" fillId="5" borderId="86" xfId="0" applyNumberFormat="1" applyFont="1" applyFill="1" applyBorder="1" applyAlignment="1">
      <alignment horizontal="center" vertical="center"/>
    </xf>
    <xf numFmtId="0" fontId="7" fillId="18" borderId="0" xfId="0" applyFont="1" applyFill="1" applyAlignment="1" applyProtection="1">
      <alignment horizontal="center" vertical="center"/>
      <protection locked="0"/>
    </xf>
    <xf numFmtId="0" fontId="11" fillId="18" borderId="43" xfId="0" applyFont="1" applyFill="1" applyBorder="1" applyAlignment="1" applyProtection="1">
      <alignment horizontal="center" vertical="center" wrapText="1"/>
      <protection locked="0"/>
    </xf>
    <xf numFmtId="0" fontId="7" fillId="6" borderId="37"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40" xfId="0" applyFont="1" applyFill="1" applyBorder="1" applyAlignment="1">
      <alignment horizontal="center" vertical="center"/>
    </xf>
    <xf numFmtId="0" fontId="7" fillId="6" borderId="19" xfId="0" applyFont="1" applyFill="1" applyBorder="1" applyAlignment="1">
      <alignment horizontal="center" vertical="center" wrapText="1"/>
    </xf>
    <xf numFmtId="0" fontId="7" fillId="6" borderId="76"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6" borderId="43" xfId="0" applyFont="1" applyFill="1" applyBorder="1" applyAlignment="1">
      <alignment horizontal="center" vertical="center"/>
    </xf>
    <xf numFmtId="0" fontId="7" fillId="6" borderId="79" xfId="0" applyFont="1" applyFill="1" applyBorder="1" applyAlignment="1">
      <alignment horizontal="center" vertical="center" wrapText="1"/>
    </xf>
    <xf numFmtId="0" fontId="0" fillId="4" borderId="64" xfId="0" applyFill="1" applyBorder="1" applyAlignment="1">
      <alignment horizontal="center" vertical="center" wrapText="1"/>
    </xf>
    <xf numFmtId="2" fontId="0" fillId="4" borderId="63" xfId="0" applyNumberFormat="1" applyFill="1" applyBorder="1" applyAlignment="1">
      <alignment horizontal="center" vertical="center"/>
    </xf>
    <xf numFmtId="2" fontId="0" fillId="4" borderId="64" xfId="0" applyNumberFormat="1" applyFill="1" applyBorder="1" applyAlignment="1">
      <alignment horizontal="center" vertical="center" wrapText="1"/>
    </xf>
    <xf numFmtId="2" fontId="46" fillId="5" borderId="109" xfId="0" applyNumberFormat="1" applyFont="1" applyFill="1" applyBorder="1" applyAlignment="1">
      <alignment horizontal="center" vertical="center" wrapText="1"/>
    </xf>
    <xf numFmtId="0" fontId="0" fillId="4" borderId="19" xfId="0" applyFill="1" applyBorder="1" applyAlignment="1">
      <alignment horizontal="center" vertical="center" wrapText="1"/>
    </xf>
    <xf numFmtId="2" fontId="0" fillId="4" borderId="45" xfId="0" applyNumberFormat="1" applyFill="1" applyBorder="1" applyAlignment="1">
      <alignment horizontal="center" vertical="center"/>
    </xf>
    <xf numFmtId="0" fontId="15" fillId="0" borderId="2" xfId="0" applyFont="1" applyBorder="1"/>
    <xf numFmtId="0" fontId="0" fillId="0" borderId="0" xfId="0" applyAlignment="1">
      <alignment vertical="top"/>
    </xf>
    <xf numFmtId="0" fontId="0" fillId="0" borderId="51" xfId="0" applyBorder="1"/>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2" fontId="16" fillId="0" borderId="27" xfId="0" applyNumberFormat="1" applyFont="1" applyBorder="1" applyAlignment="1">
      <alignment horizontal="center" vertical="center" wrapText="1"/>
    </xf>
    <xf numFmtId="2" fontId="0" fillId="0" borderId="0" xfId="0" applyNumberFormat="1"/>
    <xf numFmtId="2" fontId="46" fillId="5" borderId="0" xfId="0" applyNumberFormat="1" applyFont="1" applyFill="1" applyAlignment="1">
      <alignment horizontal="center" vertical="center" wrapText="1"/>
    </xf>
    <xf numFmtId="0" fontId="11" fillId="6" borderId="37" xfId="0" applyFont="1" applyFill="1" applyBorder="1" applyAlignment="1">
      <alignment horizontal="center" vertical="center"/>
    </xf>
    <xf numFmtId="2" fontId="7" fillId="4" borderId="43" xfId="0" applyNumberFormat="1" applyFont="1" applyFill="1" applyBorder="1" applyAlignment="1">
      <alignment horizontal="center" vertical="center"/>
    </xf>
    <xf numFmtId="165" fontId="6" fillId="0" borderId="41" xfId="0" applyNumberFormat="1" applyFont="1" applyBorder="1" applyAlignment="1">
      <alignment horizontal="left" vertical="top" wrapText="1"/>
    </xf>
    <xf numFmtId="0" fontId="29" fillId="0" borderId="0" xfId="2" applyFont="1"/>
    <xf numFmtId="0" fontId="4" fillId="0" borderId="0" xfId="2"/>
    <xf numFmtId="0" fontId="29" fillId="0" borderId="0" xfId="2" applyFont="1" applyAlignment="1">
      <alignment horizontal="left"/>
    </xf>
    <xf numFmtId="0" fontId="49" fillId="0" borderId="0" xfId="2" applyFont="1" applyAlignment="1">
      <alignment vertical="center"/>
    </xf>
    <xf numFmtId="0" fontId="49" fillId="0" borderId="0" xfId="2" applyFont="1" applyAlignment="1">
      <alignment horizontal="right"/>
    </xf>
    <xf numFmtId="0" fontId="49" fillId="0" borderId="125" xfId="2" applyFont="1" applyBorder="1" applyAlignment="1">
      <alignment horizontal="center"/>
    </xf>
    <xf numFmtId="0" fontId="49" fillId="0" borderId="0" xfId="2" applyFont="1" applyAlignment="1">
      <alignment horizontal="center"/>
    </xf>
    <xf numFmtId="0" fontId="49" fillId="0" borderId="0" xfId="2" applyFont="1" applyAlignment="1">
      <alignment vertical="center" wrapText="1"/>
    </xf>
    <xf numFmtId="0" fontId="49" fillId="0" borderId="0" xfId="2" applyFont="1" applyAlignment="1">
      <alignment horizontal="left" vertical="center" wrapText="1"/>
    </xf>
    <xf numFmtId="0" fontId="9" fillId="0" borderId="0" xfId="2" applyFont="1"/>
    <xf numFmtId="0" fontId="51" fillId="0" borderId="0" xfId="2" applyFont="1"/>
    <xf numFmtId="0" fontId="49" fillId="0" borderId="0" xfId="2" applyFont="1"/>
    <xf numFmtId="0" fontId="49" fillId="0" borderId="32" xfId="2" applyFont="1" applyBorder="1"/>
    <xf numFmtId="0" fontId="4" fillId="0" borderId="32" xfId="2" applyBorder="1"/>
    <xf numFmtId="0" fontId="53" fillId="0" borderId="0" xfId="2" applyFont="1" applyAlignment="1">
      <alignment vertical="top"/>
    </xf>
    <xf numFmtId="0" fontId="53" fillId="0" borderId="71" xfId="2" applyFont="1" applyBorder="1" applyAlignment="1">
      <alignment vertical="top"/>
    </xf>
    <xf numFmtId="0" fontId="4" fillId="0" borderId="71" xfId="2" applyBorder="1"/>
    <xf numFmtId="0" fontId="49" fillId="0" borderId="37" xfId="2" applyFont="1" applyBorder="1"/>
    <xf numFmtId="0" fontId="49" fillId="0" borderId="37" xfId="2" applyFont="1" applyBorder="1" applyAlignment="1">
      <alignment horizontal="center"/>
    </xf>
    <xf numFmtId="0" fontId="49" fillId="0" borderId="37" xfId="2" applyFont="1" applyBorder="1" applyAlignment="1">
      <alignment horizontal="left"/>
    </xf>
    <xf numFmtId="0" fontId="49" fillId="0" borderId="78" xfId="2" applyFont="1" applyBorder="1"/>
    <xf numFmtId="0" fontId="49" fillId="0" borderId="50" xfId="2" applyFont="1" applyBorder="1" applyAlignment="1">
      <alignment horizontal="center"/>
    </xf>
    <xf numFmtId="0" fontId="54" fillId="0" borderId="50" xfId="2" quotePrefix="1" applyFont="1" applyBorder="1" applyAlignment="1">
      <alignment horizontal="center" vertical="top" wrapText="1"/>
    </xf>
    <xf numFmtId="0" fontId="49" fillId="0" borderId="0" xfId="2" applyFont="1" applyAlignment="1">
      <alignment horizontal="left"/>
    </xf>
    <xf numFmtId="0" fontId="49" fillId="0" borderId="0" xfId="2" quotePrefix="1" applyFont="1" applyAlignment="1">
      <alignment horizontal="left" vertical="top" wrapText="1"/>
    </xf>
    <xf numFmtId="0" fontId="6" fillId="0" borderId="37" xfId="2" applyFont="1" applyBorder="1"/>
    <xf numFmtId="0" fontId="6" fillId="0" borderId="0" xfId="2" applyFont="1" applyAlignment="1">
      <alignment horizontal="left"/>
    </xf>
    <xf numFmtId="0" fontId="4" fillId="0" borderId="78" xfId="2" applyBorder="1"/>
    <xf numFmtId="0" fontId="4" fillId="0" borderId="50" xfId="2" applyBorder="1"/>
    <xf numFmtId="0" fontId="56" fillId="0" borderId="0" xfId="2" applyFont="1"/>
    <xf numFmtId="0" fontId="49" fillId="9" borderId="32" xfId="2" applyFont="1" applyFill="1" applyBorder="1"/>
    <xf numFmtId="0" fontId="49" fillId="9" borderId="71" xfId="2" applyFont="1" applyFill="1" applyBorder="1"/>
    <xf numFmtId="0" fontId="49" fillId="0" borderId="133" xfId="2" applyFont="1" applyBorder="1" applyAlignment="1">
      <alignment horizontal="center"/>
    </xf>
    <xf numFmtId="0" fontId="49" fillId="0" borderId="134" xfId="2" applyFont="1" applyBorder="1" applyAlignment="1">
      <alignment horizontal="center"/>
    </xf>
    <xf numFmtId="2" fontId="49" fillId="20" borderId="83" xfId="2" applyNumberFormat="1" applyFont="1" applyFill="1" applyBorder="1" applyAlignment="1">
      <alignment horizontal="center"/>
    </xf>
    <xf numFmtId="166" fontId="49" fillId="20" borderId="135" xfId="2" applyNumberFormat="1" applyFont="1" applyFill="1" applyBorder="1" applyAlignment="1">
      <alignment horizontal="center"/>
    </xf>
    <xf numFmtId="0" fontId="49" fillId="0" borderId="138" xfId="2" applyFont="1" applyBorder="1" applyAlignment="1">
      <alignment horizontal="center"/>
    </xf>
    <xf numFmtId="0" fontId="49" fillId="0" borderId="117" xfId="2" applyFont="1" applyBorder="1" applyAlignment="1">
      <alignment horizontal="center" vertical="center"/>
    </xf>
    <xf numFmtId="0" fontId="49" fillId="0" borderId="110" xfId="2" applyFont="1" applyBorder="1" applyAlignment="1">
      <alignment horizontal="center" vertical="center"/>
    </xf>
    <xf numFmtId="0" fontId="51" fillId="0" borderId="0" xfId="2" applyFont="1" applyAlignment="1">
      <alignment horizontal="center"/>
    </xf>
    <xf numFmtId="0" fontId="49" fillId="9" borderId="32" xfId="2" applyFont="1" applyFill="1" applyBorder="1" applyAlignment="1">
      <alignment wrapText="1"/>
    </xf>
    <xf numFmtId="0" fontId="49" fillId="0" borderId="136" xfId="2" applyFont="1" applyBorder="1"/>
    <xf numFmtId="0" fontId="49" fillId="0" borderId="141" xfId="2" applyFont="1" applyBorder="1" applyAlignment="1">
      <alignment horizontal="center"/>
    </xf>
    <xf numFmtId="0" fontId="49" fillId="0" borderId="142" xfId="2" applyFont="1" applyBorder="1" applyAlignment="1">
      <alignment horizontal="center"/>
    </xf>
    <xf numFmtId="0" fontId="49" fillId="9" borderId="71" xfId="2" applyFont="1" applyFill="1" applyBorder="1" applyAlignment="1">
      <alignment horizontal="center"/>
    </xf>
    <xf numFmtId="0" fontId="49" fillId="0" borderId="32" xfId="2" applyFont="1" applyBorder="1" applyAlignment="1">
      <alignment horizontal="center"/>
    </xf>
    <xf numFmtId="0" fontId="56" fillId="0" borderId="0" xfId="2" applyFont="1" applyAlignment="1">
      <alignment horizontal="center"/>
    </xf>
    <xf numFmtId="0" fontId="56" fillId="0" borderId="0" xfId="2" applyFont="1" applyAlignment="1">
      <alignment vertical="center" wrapText="1"/>
    </xf>
    <xf numFmtId="0" fontId="49" fillId="20" borderId="117" xfId="2" applyFont="1" applyFill="1" applyBorder="1" applyAlignment="1">
      <alignment horizontal="center" vertical="center" wrapText="1"/>
    </xf>
    <xf numFmtId="0" fontId="59" fillId="0" borderId="32" xfId="2" applyFont="1" applyBorder="1" applyAlignment="1">
      <alignment vertical="center" wrapText="1"/>
    </xf>
    <xf numFmtId="0" fontId="59" fillId="0" borderId="0" xfId="2" applyFont="1" applyAlignment="1">
      <alignment vertical="center" wrapText="1"/>
    </xf>
    <xf numFmtId="0" fontId="56" fillId="0" borderId="0" xfId="2" applyFont="1" applyAlignment="1">
      <alignment horizontal="left"/>
    </xf>
    <xf numFmtId="0" fontId="49" fillId="9" borderId="32" xfId="2" applyFont="1" applyFill="1" applyBorder="1" applyAlignment="1">
      <alignment horizontal="left"/>
    </xf>
    <xf numFmtId="0" fontId="49" fillId="9" borderId="71" xfId="2" applyFont="1" applyFill="1" applyBorder="1" applyAlignment="1">
      <alignment horizontal="left"/>
    </xf>
    <xf numFmtId="0" fontId="49" fillId="0" borderId="32" xfId="2" applyFont="1" applyBorder="1" applyAlignment="1">
      <alignment horizontal="left"/>
    </xf>
    <xf numFmtId="0" fontId="49" fillId="20" borderId="117" xfId="2" applyFont="1" applyFill="1" applyBorder="1" applyAlignment="1">
      <alignment horizontal="center"/>
    </xf>
    <xf numFmtId="0" fontId="49" fillId="0" borderId="147" xfId="2" applyFont="1" applyBorder="1"/>
    <xf numFmtId="0" fontId="49" fillId="0" borderId="148" xfId="2" applyFont="1" applyBorder="1" applyAlignment="1">
      <alignment horizontal="center"/>
    </xf>
    <xf numFmtId="0" fontId="49" fillId="0" borderId="149" xfId="2" applyFont="1" applyBorder="1" applyAlignment="1">
      <alignment horizontal="center"/>
    </xf>
    <xf numFmtId="0" fontId="49" fillId="0" borderId="117" xfId="2" applyFont="1" applyBorder="1"/>
    <xf numFmtId="0" fontId="49" fillId="0" borderId="38" xfId="2" applyFont="1" applyBorder="1"/>
    <xf numFmtId="0" fontId="49" fillId="0" borderId="119" xfId="2" applyFont="1" applyBorder="1"/>
    <xf numFmtId="0" fontId="49" fillId="20" borderId="119" xfId="2" applyFont="1" applyFill="1" applyBorder="1" applyAlignment="1">
      <alignment horizontal="center"/>
    </xf>
    <xf numFmtId="0" fontId="49" fillId="0" borderId="110" xfId="2" applyFont="1" applyBorder="1"/>
    <xf numFmtId="0" fontId="49" fillId="0" borderId="43" xfId="2" applyFont="1" applyBorder="1"/>
    <xf numFmtId="0" fontId="49" fillId="0" borderId="156" xfId="2" applyFont="1" applyBorder="1"/>
    <xf numFmtId="0" fontId="49" fillId="0" borderId="157" xfId="2" applyFont="1" applyBorder="1"/>
    <xf numFmtId="0" fontId="49" fillId="0" borderId="153" xfId="2" applyFont="1" applyBorder="1"/>
    <xf numFmtId="0" fontId="49" fillId="0" borderId="159" xfId="2" applyFont="1" applyBorder="1"/>
    <xf numFmtId="0" fontId="49" fillId="0" borderId="160" xfId="2" applyFont="1" applyBorder="1" applyAlignment="1">
      <alignment horizontal="left" vertical="center" wrapText="1"/>
    </xf>
    <xf numFmtId="0" fontId="49" fillId="0" borderId="159" xfId="2" applyFont="1" applyBorder="1" applyAlignment="1">
      <alignment horizontal="left" vertical="center" wrapText="1"/>
    </xf>
    <xf numFmtId="0" fontId="49" fillId="0" borderId="162" xfId="2" applyFont="1" applyBorder="1"/>
    <xf numFmtId="0" fontId="49" fillId="0" borderId="163" xfId="2" applyFont="1" applyBorder="1"/>
    <xf numFmtId="0" fontId="4" fillId="0" borderId="164" xfId="2" applyBorder="1"/>
    <xf numFmtId="0" fontId="4" fillId="0" borderId="165" xfId="2" applyBorder="1"/>
    <xf numFmtId="0" fontId="4" fillId="0" borderId="166" xfId="2" applyBorder="1"/>
    <xf numFmtId="0" fontId="49" fillId="0" borderId="167" xfId="2" applyFont="1" applyBorder="1"/>
    <xf numFmtId="0" fontId="4" fillId="0" borderId="168" xfId="2" applyBorder="1"/>
    <xf numFmtId="0" fontId="4" fillId="0" borderId="169" xfId="2" applyBorder="1"/>
    <xf numFmtId="0" fontId="49" fillId="0" borderId="170" xfId="2" applyFont="1" applyBorder="1"/>
    <xf numFmtId="0" fontId="49" fillId="0" borderId="171" xfId="2" applyFont="1" applyBorder="1"/>
    <xf numFmtId="0" fontId="49" fillId="0" borderId="172" xfId="2" applyFont="1" applyBorder="1"/>
    <xf numFmtId="0" fontId="49" fillId="0" borderId="173" xfId="2" applyFont="1" applyBorder="1"/>
    <xf numFmtId="0" fontId="49" fillId="0" borderId="175" xfId="2" applyFont="1" applyBorder="1"/>
    <xf numFmtId="0" fontId="49" fillId="0" borderId="175" xfId="2" applyFont="1" applyBorder="1" applyAlignment="1">
      <alignment horizontal="center"/>
    </xf>
    <xf numFmtId="0" fontId="49" fillId="0" borderId="168" xfId="2" applyFont="1" applyBorder="1"/>
    <xf numFmtId="0" fontId="49" fillId="0" borderId="176" xfId="2" applyFont="1" applyBorder="1"/>
    <xf numFmtId="0" fontId="49" fillId="0" borderId="169" xfId="2" applyFont="1" applyBorder="1"/>
    <xf numFmtId="0" fontId="4" fillId="0" borderId="127" xfId="2" applyBorder="1"/>
    <xf numFmtId="0" fontId="4" fillId="0" borderId="181" xfId="2" applyBorder="1"/>
    <xf numFmtId="0" fontId="4" fillId="0" borderId="182" xfId="2" applyBorder="1"/>
    <xf numFmtId="0" fontId="53" fillId="0" borderId="183" xfId="2" applyFont="1" applyBorder="1" applyAlignment="1">
      <alignment vertical="top"/>
    </xf>
    <xf numFmtId="0" fontId="53" fillId="0" borderId="180" xfId="2" applyFont="1" applyBorder="1" applyAlignment="1">
      <alignment vertical="top"/>
    </xf>
    <xf numFmtId="0" fontId="49" fillId="0" borderId="184" xfId="2" applyFont="1" applyBorder="1"/>
    <xf numFmtId="0" fontId="49" fillId="0" borderId="185" xfId="2" applyFont="1" applyBorder="1"/>
    <xf numFmtId="0" fontId="4" fillId="0" borderId="186" xfId="2" applyBorder="1"/>
    <xf numFmtId="0" fontId="4" fillId="0" borderId="187" xfId="2" applyBorder="1"/>
    <xf numFmtId="0" fontId="53" fillId="0" borderId="188" xfId="2" applyFont="1" applyBorder="1" applyAlignment="1">
      <alignment vertical="top"/>
    </xf>
    <xf numFmtId="0" fontId="49" fillId="0" borderId="189" xfId="2" applyFont="1" applyBorder="1" applyAlignment="1">
      <alignment horizontal="center"/>
    </xf>
    <xf numFmtId="0" fontId="49" fillId="0" borderId="190" xfId="2" applyFont="1" applyBorder="1" applyAlignment="1">
      <alignment horizontal="center"/>
    </xf>
    <xf numFmtId="0" fontId="49" fillId="0" borderId="162" xfId="2" applyFont="1" applyBorder="1" applyAlignment="1">
      <alignment horizontal="left"/>
    </xf>
    <xf numFmtId="0" fontId="49" fillId="0" borderId="162" xfId="2" applyFont="1" applyBorder="1" applyAlignment="1">
      <alignment horizontal="center"/>
    </xf>
    <xf numFmtId="0" fontId="49" fillId="0" borderId="163" xfId="2" applyFont="1" applyBorder="1" applyAlignment="1">
      <alignment horizontal="center"/>
    </xf>
    <xf numFmtId="0" fontId="49" fillId="0" borderId="191" xfId="2" applyFont="1" applyBorder="1" applyAlignment="1">
      <alignment horizontal="left"/>
    </xf>
    <xf numFmtId="0" fontId="53" fillId="0" borderId="162" xfId="2" applyFont="1" applyBorder="1" applyAlignment="1">
      <alignment vertical="top"/>
    </xf>
    <xf numFmtId="0" fontId="4" fillId="0" borderId="183" xfId="2" applyBorder="1"/>
    <xf numFmtId="0" fontId="53" fillId="0" borderId="187" xfId="2" applyFont="1" applyBorder="1" applyAlignment="1">
      <alignment vertical="top"/>
    </xf>
    <xf numFmtId="0" fontId="53" fillId="0" borderId="193" xfId="2" applyFont="1" applyBorder="1" applyAlignment="1">
      <alignment vertical="top"/>
    </xf>
    <xf numFmtId="0" fontId="4" fillId="0" borderId="194" xfId="2" applyBorder="1"/>
    <xf numFmtId="0" fontId="4" fillId="0" borderId="178" xfId="2" applyBorder="1"/>
    <xf numFmtId="0" fontId="4" fillId="0" borderId="169" xfId="2" applyBorder="1" applyAlignment="1">
      <alignment horizontal="center"/>
    </xf>
    <xf numFmtId="0" fontId="4" fillId="0" borderId="169" xfId="2" applyBorder="1" applyAlignment="1">
      <alignment horizontal="left"/>
    </xf>
    <xf numFmtId="0" fontId="4" fillId="0" borderId="193" xfId="2" applyBorder="1" applyAlignment="1">
      <alignment horizontal="left"/>
    </xf>
    <xf numFmtId="0" fontId="49" fillId="0" borderId="181" xfId="2" applyFont="1" applyBorder="1"/>
    <xf numFmtId="0" fontId="4" fillId="0" borderId="172" xfId="2" applyBorder="1"/>
    <xf numFmtId="0" fontId="4" fillId="0" borderId="171" xfId="2" applyBorder="1"/>
    <xf numFmtId="0" fontId="49" fillId="0" borderId="168" xfId="2" quotePrefix="1" applyFont="1" applyBorder="1" applyAlignment="1">
      <alignment vertical="top" wrapText="1"/>
    </xf>
    <xf numFmtId="0" fontId="53" fillId="0" borderId="168" xfId="2" applyFont="1" applyBorder="1" applyAlignment="1">
      <alignment vertical="top"/>
    </xf>
    <xf numFmtId="0" fontId="53" fillId="0" borderId="191" xfId="2" applyFont="1" applyBorder="1" applyAlignment="1">
      <alignment vertical="top"/>
    </xf>
    <xf numFmtId="0" fontId="53" fillId="0" borderId="195" xfId="2" applyFont="1" applyBorder="1" applyAlignment="1">
      <alignment vertical="top"/>
    </xf>
    <xf numFmtId="0" fontId="53" fillId="0" borderId="175" xfId="2" applyFont="1" applyBorder="1" applyAlignment="1">
      <alignment vertical="top"/>
    </xf>
    <xf numFmtId="0" fontId="4" fillId="0" borderId="175" xfId="2" applyBorder="1"/>
    <xf numFmtId="0" fontId="6" fillId="0" borderId="168" xfId="2" applyFont="1" applyBorder="1" applyAlignment="1">
      <alignment horizontal="left"/>
    </xf>
    <xf numFmtId="0" fontId="6" fillId="0" borderId="169" xfId="2" applyFont="1" applyBorder="1" applyAlignment="1">
      <alignment horizontal="left"/>
    </xf>
    <xf numFmtId="0" fontId="6" fillId="0" borderId="152" xfId="2" applyFont="1" applyBorder="1" applyAlignment="1">
      <alignment horizontal="left"/>
    </xf>
    <xf numFmtId="0" fontId="4" fillId="0" borderId="196" xfId="2" applyBorder="1"/>
    <xf numFmtId="0" fontId="4" fillId="0" borderId="174" xfId="2" applyBorder="1"/>
    <xf numFmtId="0" fontId="49" fillId="0" borderId="37" xfId="2" applyFont="1" applyBorder="1" applyAlignment="1" applyProtection="1">
      <alignment horizontal="center"/>
      <protection locked="0"/>
    </xf>
    <xf numFmtId="0" fontId="49" fillId="0" borderId="154" xfId="2" applyFont="1" applyBorder="1" applyAlignment="1">
      <alignment horizontal="center"/>
    </xf>
    <xf numFmtId="0" fontId="49" fillId="0" borderId="127" xfId="2" applyFont="1" applyBorder="1" applyAlignment="1">
      <alignment horizontal="right"/>
    </xf>
    <xf numFmtId="0" fontId="49" fillId="0" borderId="125" xfId="2" applyFont="1" applyBorder="1" applyAlignment="1">
      <alignment horizontal="right"/>
    </xf>
    <xf numFmtId="0" fontId="6" fillId="0" borderId="151" xfId="2" applyFont="1" applyBorder="1" applyAlignment="1">
      <alignment vertical="center"/>
    </xf>
    <xf numFmtId="0" fontId="6" fillId="0" borderId="151" xfId="2" applyFont="1" applyBorder="1" applyAlignment="1">
      <alignment horizontal="center" vertical="center"/>
    </xf>
    <xf numFmtId="0" fontId="49" fillId="0" borderId="37" xfId="2" applyFont="1" applyBorder="1" applyAlignment="1" applyProtection="1">
      <alignment horizontal="center" vertical="center"/>
      <protection locked="0"/>
    </xf>
    <xf numFmtId="0" fontId="49" fillId="0" borderId="125" xfId="2" applyFont="1" applyBorder="1"/>
    <xf numFmtId="0" fontId="49" fillId="0" borderId="154" xfId="2" applyFont="1" applyBorder="1"/>
    <xf numFmtId="0" fontId="49" fillId="0" borderId="127" xfId="2" applyFont="1" applyBorder="1"/>
    <xf numFmtId="0" fontId="49" fillId="0" borderId="151" xfId="2" applyFont="1" applyBorder="1"/>
    <xf numFmtId="0" fontId="49" fillId="0" borderId="151" xfId="2" applyFont="1" applyBorder="1" applyAlignment="1">
      <alignment horizontal="right"/>
    </xf>
    <xf numFmtId="0" fontId="49" fillId="0" borderId="189" xfId="2" applyFont="1" applyBorder="1"/>
    <xf numFmtId="0" fontId="49" fillId="0" borderId="161" xfId="2" applyFont="1" applyBorder="1"/>
    <xf numFmtId="0" fontId="51" fillId="0" borderId="173" xfId="2" applyFont="1" applyBorder="1"/>
    <xf numFmtId="0" fontId="51" fillId="0" borderId="163" xfId="2" applyFont="1" applyBorder="1"/>
    <xf numFmtId="0" fontId="51" fillId="0" borderId="162" xfId="2" applyFont="1" applyBorder="1" applyAlignment="1">
      <alignment horizontal="center"/>
    </xf>
    <xf numFmtId="0" fontId="51" fillId="0" borderId="163" xfId="2" applyFont="1" applyBorder="1" applyAlignment="1">
      <alignment horizontal="center"/>
    </xf>
    <xf numFmtId="0" fontId="49" fillId="0" borderId="163" xfId="2" applyFont="1" applyBorder="1" applyAlignment="1">
      <alignment horizontal="left"/>
    </xf>
    <xf numFmtId="0" fontId="49" fillId="0" borderId="199" xfId="2" applyFont="1" applyBorder="1" applyAlignment="1">
      <alignment horizontal="left"/>
    </xf>
    <xf numFmtId="0" fontId="56" fillId="0" borderId="192" xfId="2" applyFont="1" applyBorder="1"/>
    <xf numFmtId="0" fontId="49" fillId="0" borderId="200" xfId="2" applyFont="1" applyBorder="1"/>
    <xf numFmtId="0" fontId="56" fillId="0" borderId="158" xfId="2" applyFont="1" applyBorder="1"/>
    <xf numFmtId="0" fontId="56" fillId="0" borderId="123" xfId="2" applyFont="1" applyBorder="1"/>
    <xf numFmtId="0" fontId="56" fillId="0" borderId="124" xfId="2" applyFont="1" applyBorder="1"/>
    <xf numFmtId="0" fontId="56" fillId="0" borderId="126" xfId="2" applyFont="1" applyBorder="1"/>
    <xf numFmtId="0" fontId="56" fillId="0" borderId="183" xfId="2" applyFont="1" applyBorder="1" applyAlignment="1">
      <alignment horizontal="left"/>
    </xf>
    <xf numFmtId="0" fontId="56" fillId="0" borderId="183" xfId="2" applyFont="1" applyBorder="1"/>
    <xf numFmtId="0" fontId="56" fillId="0" borderId="122" xfId="2" applyFont="1" applyBorder="1"/>
    <xf numFmtId="0" fontId="56" fillId="0" borderId="202" xfId="2" applyFont="1" applyBorder="1"/>
    <xf numFmtId="0" fontId="56" fillId="0" borderId="203" xfId="2" applyFont="1" applyBorder="1"/>
    <xf numFmtId="0" fontId="56" fillId="0" borderId="204" xfId="2" applyFont="1" applyBorder="1"/>
    <xf numFmtId="0" fontId="56" fillId="0" borderId="205" xfId="2" applyFont="1" applyBorder="1"/>
    <xf numFmtId="0" fontId="56" fillId="0" borderId="206" xfId="2" applyFont="1" applyBorder="1"/>
    <xf numFmtId="0" fontId="56" fillId="0" borderId="207" xfId="2" applyFont="1" applyBorder="1"/>
    <xf numFmtId="0" fontId="56" fillId="0" borderId="208" xfId="2" applyFont="1" applyBorder="1"/>
    <xf numFmtId="0" fontId="56" fillId="0" borderId="209" xfId="2" applyFont="1" applyBorder="1"/>
    <xf numFmtId="0" fontId="56" fillId="0" borderId="210" xfId="2" applyFont="1" applyBorder="1"/>
    <xf numFmtId="0" fontId="49" fillId="0" borderId="212" xfId="2" applyFont="1" applyBorder="1"/>
    <xf numFmtId="0" fontId="49" fillId="0" borderId="197" xfId="2" applyFont="1" applyBorder="1"/>
    <xf numFmtId="0" fontId="49" fillId="0" borderId="215" xfId="2" applyFont="1" applyBorder="1"/>
    <xf numFmtId="0" fontId="49" fillId="0" borderId="206" xfId="2" applyFont="1" applyBorder="1"/>
    <xf numFmtId="0" fontId="56" fillId="0" borderId="216" xfId="2" applyFont="1" applyBorder="1"/>
    <xf numFmtId="0" fontId="56" fillId="0" borderId="203" xfId="2" applyFont="1" applyBorder="1" applyAlignment="1">
      <alignment horizontal="center"/>
    </xf>
    <xf numFmtId="0" fontId="49" fillId="0" borderId="205" xfId="2" applyFont="1" applyBorder="1" applyAlignment="1">
      <alignment horizontal="center"/>
    </xf>
    <xf numFmtId="0" fontId="49" fillId="0" borderId="206" xfId="2" applyFont="1" applyBorder="1" applyAlignment="1">
      <alignment horizontal="center"/>
    </xf>
    <xf numFmtId="0" fontId="49" fillId="0" borderId="213" xfId="2" applyFont="1" applyBorder="1"/>
    <xf numFmtId="0" fontId="49" fillId="0" borderId="217" xfId="2" applyFont="1" applyBorder="1"/>
    <xf numFmtId="0" fontId="49" fillId="0" borderId="38" xfId="2" applyFont="1" applyBorder="1" applyAlignment="1" applyProtection="1">
      <alignment horizontal="center"/>
      <protection locked="0"/>
    </xf>
    <xf numFmtId="0" fontId="49" fillId="0" borderId="112" xfId="2" applyFont="1" applyBorder="1" applyAlignment="1" applyProtection="1">
      <alignment horizontal="center"/>
      <protection locked="0"/>
    </xf>
    <xf numFmtId="0" fontId="49" fillId="0" borderId="35" xfId="2" applyFont="1" applyBorder="1" applyAlignment="1" applyProtection="1">
      <alignment horizontal="center"/>
      <protection locked="0"/>
    </xf>
    <xf numFmtId="0" fontId="49" fillId="0" borderId="65" xfId="2" applyFont="1" applyBorder="1" applyAlignment="1" applyProtection="1">
      <alignment horizontal="center"/>
      <protection locked="0"/>
    </xf>
    <xf numFmtId="0" fontId="49" fillId="0" borderId="43" xfId="2" applyFont="1" applyBorder="1" applyAlignment="1" applyProtection="1">
      <alignment horizontal="center"/>
      <protection locked="0"/>
    </xf>
    <xf numFmtId="0" fontId="49" fillId="0" borderId="87" xfId="2" applyFont="1" applyBorder="1" applyAlignment="1" applyProtection="1">
      <alignment horizontal="center"/>
      <protection locked="0"/>
    </xf>
    <xf numFmtId="0" fontId="49" fillId="0" borderId="21" xfId="2" applyFont="1" applyBorder="1" applyAlignment="1" applyProtection="1">
      <alignment horizontal="center"/>
      <protection locked="0"/>
    </xf>
    <xf numFmtId="0" fontId="49" fillId="0" borderId="44" xfId="2" applyFont="1" applyBorder="1" applyAlignment="1" applyProtection="1">
      <alignment horizontal="center"/>
      <protection locked="0"/>
    </xf>
    <xf numFmtId="0" fontId="52" fillId="0" borderId="0" xfId="2" applyFont="1" applyAlignment="1">
      <alignment vertical="center" wrapText="1"/>
    </xf>
    <xf numFmtId="0" fontId="52" fillId="0" borderId="0" xfId="2" applyFont="1" applyAlignment="1">
      <alignment horizontal="center" vertical="center"/>
    </xf>
    <xf numFmtId="0" fontId="52" fillId="0" borderId="0" xfId="2" applyFont="1" applyAlignment="1">
      <alignment horizontal="center"/>
    </xf>
    <xf numFmtId="0" fontId="52" fillId="0" borderId="0" xfId="2" applyFont="1" applyAlignment="1">
      <alignment horizontal="center" vertical="center" wrapText="1"/>
    </xf>
    <xf numFmtId="0" fontId="52" fillId="9" borderId="218" xfId="2" applyFont="1" applyFill="1" applyBorder="1"/>
    <xf numFmtId="0" fontId="49" fillId="9" borderId="218" xfId="2" applyFont="1" applyFill="1" applyBorder="1"/>
    <xf numFmtId="0" fontId="49" fillId="9" borderId="32" xfId="2" applyFont="1" applyFill="1" applyBorder="1" applyAlignment="1">
      <alignment horizontal="center"/>
    </xf>
    <xf numFmtId="0" fontId="49" fillId="0" borderId="101" xfId="2" applyFont="1" applyBorder="1"/>
    <xf numFmtId="0" fontId="49" fillId="9" borderId="74" xfId="2" applyFont="1" applyFill="1" applyBorder="1"/>
    <xf numFmtId="0" fontId="6" fillId="0" borderId="156" xfId="2" applyFont="1" applyBorder="1" applyAlignment="1">
      <alignment horizontal="left"/>
    </xf>
    <xf numFmtId="0" fontId="6" fillId="0" borderId="153" xfId="2" applyFont="1" applyBorder="1" applyAlignment="1">
      <alignment horizontal="left"/>
    </xf>
    <xf numFmtId="0" fontId="6" fillId="0" borderId="189" xfId="2" applyFont="1" applyBorder="1" applyAlignment="1">
      <alignment horizontal="left"/>
    </xf>
    <xf numFmtId="0" fontId="6" fillId="0" borderId="221" xfId="2" applyFont="1" applyBorder="1" applyAlignment="1">
      <alignment horizontal="left"/>
    </xf>
    <xf numFmtId="0" fontId="52" fillId="0" borderId="0" xfId="2" applyFont="1"/>
    <xf numFmtId="0" fontId="49" fillId="0" borderId="222" xfId="2" applyFont="1" applyBorder="1"/>
    <xf numFmtId="0" fontId="49" fillId="0" borderId="223" xfId="2" applyFont="1" applyBorder="1"/>
    <xf numFmtId="0" fontId="49" fillId="0" borderId="160" xfId="2" applyFont="1" applyBorder="1"/>
    <xf numFmtId="0" fontId="52" fillId="0" borderId="219" xfId="2" applyFont="1" applyBorder="1" applyAlignment="1">
      <alignment horizontal="center" vertical="center"/>
    </xf>
    <xf numFmtId="0" fontId="49" fillId="0" borderId="0" xfId="2" applyFont="1" applyAlignment="1">
      <alignment wrapText="1"/>
    </xf>
    <xf numFmtId="0" fontId="4" fillId="0" borderId="0" xfId="2" applyAlignment="1">
      <alignment wrapText="1"/>
    </xf>
    <xf numFmtId="0" fontId="49" fillId="0" borderId="54" xfId="2" applyFont="1" applyBorder="1" applyAlignment="1">
      <alignment horizontal="center"/>
    </xf>
    <xf numFmtId="0" fontId="49" fillId="0" borderId="225" xfId="2" applyFont="1" applyBorder="1" applyAlignment="1" applyProtection="1">
      <alignment horizontal="center"/>
      <protection locked="0"/>
    </xf>
    <xf numFmtId="0" fontId="49" fillId="0" borderId="54" xfId="2" applyFont="1" applyBorder="1" applyAlignment="1" applyProtection="1">
      <alignment horizontal="center" vertical="center"/>
      <protection locked="0"/>
    </xf>
    <xf numFmtId="0" fontId="49" fillId="0" borderId="22" xfId="2" applyFont="1" applyBorder="1" applyAlignment="1" applyProtection="1">
      <alignment horizontal="center" vertical="center"/>
      <protection locked="0"/>
    </xf>
    <xf numFmtId="0" fontId="49" fillId="0" borderId="33" xfId="2" applyFont="1" applyBorder="1" applyAlignment="1" applyProtection="1">
      <alignment horizontal="center" vertical="center"/>
      <protection locked="0"/>
    </xf>
    <xf numFmtId="0" fontId="49" fillId="0" borderId="117" xfId="2" applyFont="1" applyBorder="1" applyAlignment="1" applyProtection="1">
      <alignment horizontal="center" vertical="center"/>
      <protection locked="0"/>
    </xf>
    <xf numFmtId="0" fontId="49" fillId="0" borderId="38" xfId="2" applyFont="1" applyBorder="1" applyAlignment="1" applyProtection="1">
      <alignment horizontal="center" vertical="center"/>
      <protection locked="0"/>
    </xf>
    <xf numFmtId="0" fontId="49" fillId="0" borderId="112" xfId="2" applyFont="1" applyBorder="1" applyAlignment="1" applyProtection="1">
      <alignment horizontal="center" vertical="center"/>
      <protection locked="0"/>
    </xf>
    <xf numFmtId="0" fontId="49" fillId="0" borderId="116" xfId="2" applyFont="1" applyBorder="1" applyAlignment="1" applyProtection="1">
      <alignment horizontal="center" vertical="center"/>
      <protection locked="0"/>
    </xf>
    <xf numFmtId="0" fontId="49" fillId="0" borderId="65" xfId="2" applyFont="1" applyBorder="1" applyAlignment="1" applyProtection="1">
      <alignment horizontal="center" vertical="center"/>
      <protection locked="0"/>
    </xf>
    <xf numFmtId="0" fontId="49" fillId="0" borderId="115" xfId="2" applyFont="1" applyBorder="1" applyAlignment="1" applyProtection="1">
      <alignment horizontal="center" vertical="center"/>
      <protection locked="0"/>
    </xf>
    <xf numFmtId="166" fontId="49" fillId="20" borderId="225" xfId="2" applyNumberFormat="1" applyFont="1" applyFill="1" applyBorder="1" applyAlignment="1">
      <alignment horizontal="center"/>
    </xf>
    <xf numFmtId="0" fontId="49" fillId="0" borderId="55" xfId="2" applyFont="1" applyBorder="1" applyAlignment="1">
      <alignment horizontal="center"/>
    </xf>
    <xf numFmtId="0" fontId="49" fillId="0" borderId="55" xfId="2" applyFont="1" applyBorder="1" applyAlignment="1" applyProtection="1">
      <alignment horizontal="center"/>
      <protection locked="0"/>
    </xf>
    <xf numFmtId="0" fontId="49" fillId="0" borderId="55" xfId="2" applyFont="1" applyBorder="1" applyAlignment="1" applyProtection="1">
      <alignment horizontal="center" vertical="center"/>
      <protection locked="0"/>
    </xf>
    <xf numFmtId="0" fontId="49" fillId="0" borderId="25" xfId="2" applyFont="1" applyBorder="1" applyAlignment="1" applyProtection="1">
      <alignment horizontal="center" vertical="center"/>
      <protection locked="0"/>
    </xf>
    <xf numFmtId="0" fontId="49" fillId="0" borderId="113" xfId="2" applyFont="1" applyBorder="1" applyAlignment="1" applyProtection="1">
      <alignment horizontal="center" vertical="center"/>
      <protection locked="0"/>
    </xf>
    <xf numFmtId="0" fontId="49" fillId="0" borderId="119" xfId="2" applyFont="1" applyBorder="1" applyAlignment="1" applyProtection="1">
      <alignment horizontal="center" vertical="center"/>
      <protection locked="0"/>
    </xf>
    <xf numFmtId="166" fontId="49" fillId="20" borderId="55" xfId="2" applyNumberFormat="1" applyFont="1" applyFill="1" applyBorder="1" applyAlignment="1">
      <alignment horizontal="center"/>
    </xf>
    <xf numFmtId="0" fontId="49" fillId="0" borderId="36" xfId="2" applyFont="1" applyBorder="1" applyAlignment="1" applyProtection="1">
      <alignment horizontal="center" vertical="center"/>
      <protection locked="0"/>
    </xf>
    <xf numFmtId="0" fontId="49" fillId="0" borderId="121" xfId="2" applyFont="1" applyBorder="1" applyAlignment="1" applyProtection="1">
      <alignment horizontal="center" vertical="center"/>
      <protection locked="0"/>
    </xf>
    <xf numFmtId="0" fontId="49" fillId="0" borderId="120" xfId="2" applyFont="1" applyBorder="1" applyAlignment="1" applyProtection="1">
      <alignment horizontal="center" vertical="center"/>
      <protection locked="0"/>
    </xf>
    <xf numFmtId="0" fontId="49" fillId="0" borderId="56" xfId="2" applyFont="1" applyBorder="1" applyAlignment="1">
      <alignment horizontal="center"/>
    </xf>
    <xf numFmtId="0" fontId="49" fillId="0" borderId="56" xfId="2" applyFont="1" applyBorder="1" applyAlignment="1" applyProtection="1">
      <alignment horizontal="center"/>
      <protection locked="0"/>
    </xf>
    <xf numFmtId="0" fontId="49" fillId="0" borderId="56" xfId="2" applyFont="1" applyBorder="1" applyAlignment="1" applyProtection="1">
      <alignment horizontal="center" vertical="center"/>
      <protection locked="0"/>
    </xf>
    <xf numFmtId="0" fontId="49" fillId="0" borderId="42" xfId="2" applyFont="1" applyBorder="1" applyAlignment="1" applyProtection="1">
      <alignment horizontal="center" vertical="center"/>
      <protection locked="0"/>
    </xf>
    <xf numFmtId="0" fontId="49" fillId="0" borderId="87" xfId="2" applyFont="1" applyBorder="1" applyAlignment="1" applyProtection="1">
      <alignment horizontal="center" vertical="center"/>
      <protection locked="0"/>
    </xf>
    <xf numFmtId="0" fontId="49" fillId="0" borderId="110" xfId="2" applyFont="1" applyBorder="1" applyAlignment="1" applyProtection="1">
      <alignment horizontal="center" vertical="center"/>
      <protection locked="0"/>
    </xf>
    <xf numFmtId="0" fontId="49" fillId="0" borderId="43" xfId="2" applyFont="1" applyBorder="1" applyAlignment="1" applyProtection="1">
      <alignment horizontal="center" vertical="center"/>
      <protection locked="0"/>
    </xf>
    <xf numFmtId="0" fontId="49" fillId="6" borderId="104" xfId="2" applyFont="1" applyFill="1" applyBorder="1"/>
    <xf numFmtId="0" fontId="49" fillId="6" borderId="44" xfId="2" applyFont="1" applyFill="1" applyBorder="1"/>
    <xf numFmtId="0" fontId="49" fillId="6" borderId="0" xfId="2" applyFont="1" applyFill="1"/>
    <xf numFmtId="0" fontId="49" fillId="6" borderId="88" xfId="2" applyFont="1" applyFill="1" applyBorder="1"/>
    <xf numFmtId="166" fontId="49" fillId="20" borderId="56" xfId="2" applyNumberFormat="1" applyFont="1" applyFill="1" applyBorder="1" applyAlignment="1">
      <alignment horizontal="center"/>
    </xf>
    <xf numFmtId="0" fontId="49" fillId="0" borderId="133" xfId="2" applyFont="1" applyBorder="1" applyAlignment="1">
      <alignment horizontal="center" vertical="center"/>
    </xf>
    <xf numFmtId="0" fontId="49" fillId="0" borderId="134" xfId="2" applyFont="1" applyBorder="1" applyAlignment="1">
      <alignment horizontal="center" vertical="center"/>
    </xf>
    <xf numFmtId="0" fontId="49" fillId="20" borderId="83" xfId="2" applyFont="1" applyFill="1" applyBorder="1" applyAlignment="1">
      <alignment horizontal="center"/>
    </xf>
    <xf numFmtId="0" fontId="49" fillId="20" borderId="117" xfId="2" applyFont="1" applyFill="1" applyBorder="1" applyAlignment="1">
      <alignment horizontal="center" vertical="center"/>
    </xf>
    <xf numFmtId="0" fontId="49" fillId="0" borderId="15" xfId="2" applyFont="1" applyBorder="1" applyAlignment="1">
      <alignment horizontal="center" vertical="center"/>
    </xf>
    <xf numFmtId="0" fontId="49" fillId="0" borderId="0" xfId="2" applyFont="1" applyAlignment="1">
      <alignment horizontal="center" vertical="center"/>
    </xf>
    <xf numFmtId="0" fontId="49" fillId="0" borderId="214" xfId="2" applyFont="1" applyBorder="1"/>
    <xf numFmtId="0" fontId="56" fillId="0" borderId="214" xfId="2" applyFont="1" applyBorder="1"/>
    <xf numFmtId="0" fontId="4" fillId="0" borderId="162" xfId="2" applyBorder="1"/>
    <xf numFmtId="0" fontId="4" fillId="0" borderId="163" xfId="2" applyBorder="1"/>
    <xf numFmtId="0" fontId="4" fillId="0" borderId="150" xfId="2" applyBorder="1"/>
    <xf numFmtId="0" fontId="4" fillId="0" borderId="231" xfId="2" applyBorder="1"/>
    <xf numFmtId="0" fontId="4" fillId="0" borderId="158" xfId="2" applyBorder="1"/>
    <xf numFmtId="0" fontId="56" fillId="0" borderId="201" xfId="2" applyFont="1" applyBorder="1" applyAlignment="1">
      <alignment vertical="center" wrapText="1"/>
    </xf>
    <xf numFmtId="0" fontId="46" fillId="12" borderId="37" xfId="0" applyFont="1" applyFill="1" applyBorder="1" applyAlignment="1" applyProtection="1">
      <alignment horizontal="center" vertical="center" wrapText="1"/>
      <protection locked="0"/>
    </xf>
    <xf numFmtId="2" fontId="46" fillId="12" borderId="40" xfId="0" applyNumberFormat="1" applyFont="1" applyFill="1" applyBorder="1" applyAlignment="1" applyProtection="1">
      <alignment horizontal="center" vertical="center"/>
      <protection locked="0"/>
    </xf>
    <xf numFmtId="2" fontId="46" fillId="12" borderId="35" xfId="0" applyNumberFormat="1" applyFont="1" applyFill="1" applyBorder="1" applyAlignment="1" applyProtection="1">
      <alignment horizontal="center" vertical="center"/>
      <protection locked="0"/>
    </xf>
    <xf numFmtId="0" fontId="47" fillId="12" borderId="43" xfId="0" applyFont="1" applyFill="1" applyBorder="1" applyAlignment="1" applyProtection="1">
      <alignment horizontal="center" vertical="center" wrapText="1"/>
      <protection locked="0"/>
    </xf>
    <xf numFmtId="2" fontId="46" fillId="12" borderId="43" xfId="0" applyNumberFormat="1" applyFont="1" applyFill="1" applyBorder="1" applyAlignment="1" applyProtection="1">
      <alignment horizontal="center" vertical="center" wrapText="1"/>
      <protection locked="0"/>
    </xf>
    <xf numFmtId="2" fontId="46" fillId="12" borderId="47" xfId="0" applyNumberFormat="1" applyFont="1" applyFill="1" applyBorder="1" applyAlignment="1" applyProtection="1">
      <alignment horizontal="center" vertical="center"/>
      <protection locked="0"/>
    </xf>
    <xf numFmtId="2" fontId="46" fillId="12" borderId="79" xfId="0" applyNumberFormat="1" applyFont="1" applyFill="1" applyBorder="1" applyAlignment="1" applyProtection="1">
      <alignment horizontal="center" vertical="center"/>
      <protection locked="0"/>
    </xf>
    <xf numFmtId="165" fontId="0" fillId="0" borderId="87" xfId="0" applyNumberFormat="1" applyBorder="1" applyAlignment="1">
      <alignment horizontal="left" vertical="top" wrapText="1"/>
    </xf>
    <xf numFmtId="165" fontId="13" fillId="18" borderId="52" xfId="0" applyNumberFormat="1" applyFont="1" applyFill="1" applyBorder="1" applyAlignment="1" applyProtection="1">
      <alignment horizontal="left" vertical="center"/>
      <protection locked="0"/>
    </xf>
    <xf numFmtId="165" fontId="13" fillId="18" borderId="10" xfId="0" applyNumberFormat="1" applyFont="1" applyFill="1" applyBorder="1" applyAlignment="1" applyProtection="1">
      <alignment horizontal="left" vertical="center"/>
      <protection locked="0"/>
    </xf>
    <xf numFmtId="0" fontId="7" fillId="4" borderId="75" xfId="0" applyFont="1" applyFill="1" applyBorder="1" applyAlignment="1">
      <alignment horizontal="center" vertical="center"/>
    </xf>
    <xf numFmtId="0" fontId="10" fillId="6" borderId="35" xfId="0" applyFont="1" applyFill="1" applyBorder="1" applyAlignment="1">
      <alignment horizontal="center" vertical="top"/>
    </xf>
    <xf numFmtId="0" fontId="10" fillId="6" borderId="51" xfId="0" applyFont="1" applyFill="1" applyBorder="1" applyAlignment="1">
      <alignment horizontal="center" vertical="top"/>
    </xf>
    <xf numFmtId="0" fontId="7" fillId="6" borderId="35" xfId="0" applyFont="1" applyFill="1" applyBorder="1" applyAlignment="1">
      <alignment horizontal="center" vertical="top"/>
    </xf>
    <xf numFmtId="0" fontId="52" fillId="0" borderId="131" xfId="2" applyFont="1" applyBorder="1" applyAlignment="1">
      <alignment horizontal="center"/>
    </xf>
    <xf numFmtId="2" fontId="7" fillId="5" borderId="86" xfId="0" applyNumberFormat="1" applyFont="1" applyFill="1" applyBorder="1" applyAlignment="1">
      <alignment horizontal="center" vertical="center"/>
    </xf>
    <xf numFmtId="2" fontId="7" fillId="6" borderId="37" xfId="0" applyNumberFormat="1" applyFont="1" applyFill="1" applyBorder="1" applyAlignment="1">
      <alignment horizontal="center" vertical="center"/>
    </xf>
    <xf numFmtId="2" fontId="7" fillId="4" borderId="22" xfId="0" applyNumberFormat="1" applyFont="1" applyFill="1" applyBorder="1" applyAlignment="1">
      <alignment horizontal="right" vertical="center"/>
    </xf>
    <xf numFmtId="2" fontId="7" fillId="4" borderId="25" xfId="0" applyNumberFormat="1" applyFont="1" applyFill="1" applyBorder="1" applyAlignment="1">
      <alignment horizontal="right" vertical="center"/>
    </xf>
    <xf numFmtId="0" fontId="7" fillId="4" borderId="64" xfId="0" applyFont="1" applyFill="1" applyBorder="1" applyAlignment="1">
      <alignment horizontal="center" vertical="center"/>
    </xf>
    <xf numFmtId="2" fontId="46" fillId="5" borderId="49" xfId="0" applyNumberFormat="1" applyFont="1" applyFill="1" applyBorder="1" applyAlignment="1">
      <alignment horizontal="center" vertical="center" wrapText="1"/>
    </xf>
    <xf numFmtId="2" fontId="46" fillId="5" borderId="49" xfId="0" applyNumberFormat="1" applyFont="1" applyFill="1" applyBorder="1" applyAlignment="1">
      <alignment horizontal="center" vertical="center"/>
    </xf>
    <xf numFmtId="2" fontId="46" fillId="5" borderId="89" xfId="0" applyNumberFormat="1" applyFont="1" applyFill="1" applyBorder="1" applyAlignment="1">
      <alignment horizontal="center" vertical="center"/>
    </xf>
    <xf numFmtId="2" fontId="29" fillId="0" borderId="0" xfId="0" applyNumberFormat="1" applyFont="1" applyAlignment="1">
      <alignment horizontal="right"/>
    </xf>
    <xf numFmtId="0" fontId="4" fillId="0" borderId="0" xfId="0" applyFont="1" applyAlignment="1">
      <alignment vertical="top"/>
    </xf>
    <xf numFmtId="0" fontId="29" fillId="0" borderId="50" xfId="0" applyFont="1" applyBorder="1" applyAlignment="1">
      <alignment vertical="top"/>
    </xf>
    <xf numFmtId="0" fontId="49" fillId="0" borderId="50" xfId="0" applyFont="1" applyBorder="1" applyAlignment="1">
      <alignment vertical="top"/>
    </xf>
    <xf numFmtId="2" fontId="29" fillId="0" borderId="50" xfId="0" applyNumberFormat="1" applyFont="1" applyBorder="1" applyAlignment="1">
      <alignment horizontal="right"/>
    </xf>
    <xf numFmtId="0" fontId="6" fillId="0" borderId="116" xfId="0" applyFont="1" applyBorder="1" applyAlignment="1">
      <alignment vertical="top" wrapText="1"/>
    </xf>
    <xf numFmtId="2" fontId="4" fillId="0" borderId="0" xfId="0" applyNumberFormat="1" applyFont="1" applyAlignment="1">
      <alignment vertical="top" wrapText="1"/>
    </xf>
    <xf numFmtId="0" fontId="6" fillId="0" borderId="119" xfId="0" applyFont="1" applyBorder="1" applyAlignment="1">
      <alignment vertical="top" wrapText="1"/>
    </xf>
    <xf numFmtId="14" fontId="4" fillId="0" borderId="0" xfId="0" applyNumberFormat="1" applyFont="1" applyAlignment="1">
      <alignment vertical="top" wrapText="1"/>
    </xf>
    <xf numFmtId="0" fontId="6" fillId="0" borderId="110" xfId="0" applyFont="1" applyBorder="1" applyAlignment="1">
      <alignment vertical="top" wrapText="1"/>
    </xf>
    <xf numFmtId="0" fontId="0" fillId="0" borderId="0" xfId="0" applyAlignment="1">
      <alignment horizontal="left" vertical="top" wrapText="1"/>
    </xf>
    <xf numFmtId="165" fontId="6" fillId="0" borderId="50" xfId="0" applyNumberFormat="1" applyFont="1" applyBorder="1" applyAlignment="1">
      <alignment horizontal="left" vertical="top" wrapText="1"/>
    </xf>
    <xf numFmtId="0" fontId="6" fillId="0" borderId="50" xfId="0" applyFont="1" applyBorder="1" applyAlignment="1">
      <alignment horizontal="left" vertical="top" wrapText="1"/>
    </xf>
    <xf numFmtId="0" fontId="0" fillId="0" borderId="50" xfId="0" applyBorder="1" applyAlignment="1">
      <alignment vertical="top"/>
    </xf>
    <xf numFmtId="2" fontId="0" fillId="0" borderId="50" xfId="0" applyNumberFormat="1" applyBorder="1" applyAlignment="1">
      <alignment horizontal="left" vertical="top" wrapText="1"/>
    </xf>
    <xf numFmtId="0" fontId="6" fillId="0" borderId="49" xfId="0" applyFont="1" applyBorder="1" applyAlignment="1">
      <alignment vertical="center"/>
    </xf>
    <xf numFmtId="2" fontId="9" fillId="15" borderId="83" xfId="0" applyNumberFormat="1" applyFont="1" applyFill="1" applyBorder="1" applyAlignment="1">
      <alignment horizontal="center" vertical="center" wrapText="1"/>
    </xf>
    <xf numFmtId="2" fontId="9" fillId="15" borderId="19" xfId="0" applyNumberFormat="1" applyFont="1" applyFill="1" applyBorder="1" applyAlignment="1">
      <alignment horizontal="center" vertical="center" wrapText="1"/>
    </xf>
    <xf numFmtId="2" fontId="9" fillId="17" borderId="19" xfId="0" applyNumberFormat="1" applyFont="1" applyFill="1" applyBorder="1" applyAlignment="1">
      <alignment horizontal="center" vertical="center" wrapText="1"/>
    </xf>
    <xf numFmtId="0" fontId="9" fillId="17" borderId="111" xfId="0" applyFont="1" applyFill="1" applyBorder="1" applyAlignment="1">
      <alignment horizontal="center" vertical="center" wrapText="1"/>
    </xf>
    <xf numFmtId="0" fontId="4" fillId="0" borderId="0" xfId="0" applyFont="1" applyAlignment="1">
      <alignment horizontal="center" vertical="center" wrapText="1"/>
    </xf>
    <xf numFmtId="0" fontId="50" fillId="9" borderId="0" xfId="0" applyFont="1" applyFill="1" applyAlignment="1">
      <alignment horizontal="center" wrapText="1"/>
    </xf>
    <xf numFmtId="0" fontId="50" fillId="9" borderId="0" xfId="0" applyFont="1" applyFill="1" applyAlignment="1">
      <alignment wrapText="1"/>
    </xf>
    <xf numFmtId="0" fontId="4" fillId="0" borderId="0" xfId="0" applyFont="1" applyAlignment="1">
      <alignment wrapText="1"/>
    </xf>
    <xf numFmtId="2" fontId="6" fillId="7" borderId="38" xfId="0" applyNumberFormat="1" applyFont="1" applyFill="1" applyBorder="1" applyAlignment="1">
      <alignment horizontal="center" vertical="center"/>
    </xf>
    <xf numFmtId="164" fontId="6" fillId="7" borderId="38" xfId="0" applyNumberFormat="1" applyFont="1" applyFill="1" applyBorder="1" applyAlignment="1">
      <alignment horizontal="center" vertical="center"/>
    </xf>
    <xf numFmtId="2" fontId="6" fillId="16" borderId="38" xfId="0" applyNumberFormat="1" applyFont="1" applyFill="1" applyBorder="1" applyAlignment="1">
      <alignment horizontal="center" vertical="center"/>
    </xf>
    <xf numFmtId="164" fontId="6" fillId="16" borderId="112" xfId="0" applyNumberFormat="1" applyFont="1" applyFill="1" applyBorder="1" applyAlignment="1">
      <alignment horizontal="center" vertical="center"/>
    </xf>
    <xf numFmtId="164" fontId="50" fillId="9" borderId="0" xfId="0" applyNumberFormat="1" applyFont="1" applyFill="1" applyAlignment="1">
      <alignment horizontal="center" vertical="top"/>
    </xf>
    <xf numFmtId="164" fontId="50" fillId="9" borderId="0" xfId="0" applyNumberFormat="1" applyFont="1" applyFill="1" applyAlignment="1">
      <alignment vertical="top" wrapText="1"/>
    </xf>
    <xf numFmtId="2" fontId="6" fillId="7" borderId="37" xfId="0" applyNumberFormat="1" applyFont="1" applyFill="1" applyBorder="1" applyAlignment="1">
      <alignment horizontal="center" vertical="center"/>
    </xf>
    <xf numFmtId="164" fontId="6" fillId="7" borderId="37" xfId="0" applyNumberFormat="1" applyFont="1" applyFill="1" applyBorder="1" applyAlignment="1">
      <alignment horizontal="center" vertical="center"/>
    </xf>
    <xf numFmtId="2" fontId="6" fillId="16" borderId="37" xfId="0" applyNumberFormat="1" applyFont="1" applyFill="1" applyBorder="1" applyAlignment="1">
      <alignment horizontal="center" vertical="center"/>
    </xf>
    <xf numFmtId="164" fontId="6" fillId="16" borderId="113" xfId="0" applyNumberFormat="1" applyFont="1" applyFill="1" applyBorder="1" applyAlignment="1">
      <alignment horizontal="center" vertical="center"/>
    </xf>
    <xf numFmtId="164" fontId="6" fillId="7" borderId="35" xfId="0" applyNumberFormat="1" applyFont="1" applyFill="1" applyBorder="1" applyAlignment="1">
      <alignment horizontal="center" vertical="center"/>
    </xf>
    <xf numFmtId="2" fontId="6" fillId="16" borderId="43" xfId="0" applyNumberFormat="1" applyFont="1" applyFill="1" applyBorder="1" applyAlignment="1">
      <alignment horizontal="center" vertical="center"/>
    </xf>
    <xf numFmtId="164" fontId="6" fillId="16" borderId="87" xfId="0" applyNumberFormat="1" applyFont="1" applyFill="1" applyBorder="1" applyAlignment="1">
      <alignment horizontal="center" vertical="center"/>
    </xf>
    <xf numFmtId="164" fontId="6" fillId="7" borderId="65" xfId="0" applyNumberFormat="1" applyFont="1" applyFill="1" applyBorder="1" applyAlignment="1">
      <alignment horizontal="center" vertical="center"/>
    </xf>
    <xf numFmtId="164" fontId="6" fillId="7" borderId="43" xfId="0" applyNumberFormat="1" applyFont="1" applyFill="1" applyBorder="1" applyAlignment="1">
      <alignment horizontal="center" vertical="center"/>
    </xf>
    <xf numFmtId="164" fontId="6" fillId="16" borderId="114" xfId="0" applyNumberFormat="1" applyFont="1" applyFill="1" applyBorder="1" applyAlignment="1">
      <alignment horizontal="center" vertical="center"/>
    </xf>
    <xf numFmtId="164" fontId="6" fillId="16" borderId="115" xfId="0" applyNumberFormat="1" applyFont="1" applyFill="1" applyBorder="1" applyAlignment="1">
      <alignment horizontal="center" vertical="center"/>
    </xf>
    <xf numFmtId="2" fontId="6" fillId="16" borderId="35" xfId="0" applyNumberFormat="1" applyFont="1" applyFill="1" applyBorder="1" applyAlignment="1">
      <alignment horizontal="center" vertical="center"/>
    </xf>
    <xf numFmtId="2" fontId="6" fillId="16" borderId="65" xfId="0" applyNumberFormat="1" applyFont="1" applyFill="1" applyBorder="1" applyAlignment="1">
      <alignment horizontal="center" vertical="center"/>
    </xf>
    <xf numFmtId="2" fontId="6" fillId="7" borderId="43" xfId="0" applyNumberFormat="1" applyFont="1" applyFill="1" applyBorder="1" applyAlignment="1">
      <alignment horizontal="center" vertical="center"/>
    </xf>
    <xf numFmtId="0" fontId="9" fillId="0" borderId="27" xfId="0" applyFont="1" applyBorder="1" applyAlignment="1">
      <alignment vertical="top"/>
    </xf>
    <xf numFmtId="2" fontId="6" fillId="0" borderId="27" xfId="0" applyNumberFormat="1" applyFont="1" applyBorder="1" applyAlignment="1">
      <alignment horizontal="right"/>
    </xf>
    <xf numFmtId="0" fontId="6" fillId="0" borderId="27" xfId="0" applyFont="1" applyBorder="1" applyAlignment="1">
      <alignment vertical="top"/>
    </xf>
    <xf numFmtId="2" fontId="6" fillId="16" borderId="113" xfId="0" applyNumberFormat="1" applyFont="1" applyFill="1" applyBorder="1" applyAlignment="1">
      <alignment horizontal="center" vertical="center"/>
    </xf>
    <xf numFmtId="2" fontId="6" fillId="16" borderId="87" xfId="0" applyNumberFormat="1" applyFont="1" applyFill="1" applyBorder="1" applyAlignment="1">
      <alignment horizontal="center" vertical="center"/>
    </xf>
    <xf numFmtId="0" fontId="49" fillId="0" borderId="0" xfId="0" applyFont="1" applyAlignment="1">
      <alignment vertical="top"/>
    </xf>
    <xf numFmtId="2" fontId="49" fillId="0" borderId="0" xfId="0" applyNumberFormat="1" applyFont="1" applyAlignment="1">
      <alignment horizontal="right"/>
    </xf>
    <xf numFmtId="0" fontId="4" fillId="0" borderId="0" xfId="0" applyFont="1" applyAlignment="1">
      <alignment vertical="center" wrapText="1"/>
    </xf>
    <xf numFmtId="0" fontId="6" fillId="0" borderId="0" xfId="0" applyFont="1" applyAlignment="1">
      <alignment vertical="center" wrapText="1"/>
    </xf>
    <xf numFmtId="2" fontId="4" fillId="0" borderId="0" xfId="0" applyNumberFormat="1" applyFont="1" applyAlignment="1">
      <alignment horizontal="right"/>
    </xf>
    <xf numFmtId="0" fontId="63" fillId="0" borderId="0" xfId="0" applyFont="1"/>
    <xf numFmtId="0" fontId="58" fillId="0" borderId="51" xfId="2" applyFont="1" applyBorder="1" applyAlignment="1">
      <alignment vertical="center" wrapText="1"/>
    </xf>
    <xf numFmtId="0" fontId="56" fillId="0" borderId="201" xfId="2" applyFont="1" applyBorder="1"/>
    <xf numFmtId="0" fontId="58" fillId="0" borderId="172" xfId="2" applyFont="1" applyBorder="1" applyAlignment="1">
      <alignment vertical="center" wrapText="1"/>
    </xf>
    <xf numFmtId="0" fontId="58" fillId="0" borderId="168" xfId="2" applyFont="1" applyBorder="1" applyAlignment="1">
      <alignment vertical="center" wrapText="1"/>
    </xf>
    <xf numFmtId="0" fontId="56" fillId="0" borderId="168" xfId="2" applyFont="1" applyBorder="1"/>
    <xf numFmtId="0" fontId="56" fillId="0" borderId="232" xfId="2" applyFont="1" applyBorder="1"/>
    <xf numFmtId="0" fontId="58" fillId="0" borderId="169" xfId="2" applyFont="1" applyBorder="1" applyAlignment="1">
      <alignment vertical="center" wrapText="1"/>
    </xf>
    <xf numFmtId="0" fontId="56" fillId="0" borderId="51" xfId="2" applyFont="1" applyBorder="1"/>
    <xf numFmtId="0" fontId="56" fillId="0" borderId="176" xfId="2" applyFont="1" applyBorder="1"/>
    <xf numFmtId="0" fontId="56" fillId="0" borderId="169" xfId="2" applyFont="1" applyBorder="1"/>
    <xf numFmtId="0" fontId="49" fillId="0" borderId="233" xfId="2" applyFont="1" applyBorder="1" applyAlignment="1">
      <alignment horizontal="center" wrapText="1"/>
    </xf>
    <xf numFmtId="0" fontId="53" fillId="0" borderId="0" xfId="2" applyFont="1" applyAlignment="1">
      <alignment horizontal="center"/>
    </xf>
    <xf numFmtId="0" fontId="64" fillId="0" borderId="168" xfId="2" applyFont="1" applyBorder="1" applyAlignment="1">
      <alignment vertical="center" wrapText="1"/>
    </xf>
    <xf numFmtId="0" fontId="64" fillId="0" borderId="169" xfId="2" applyFont="1" applyBorder="1" applyAlignment="1">
      <alignment vertical="center" wrapText="1"/>
    </xf>
    <xf numFmtId="0" fontId="53" fillId="0" borderId="169" xfId="2" applyFont="1" applyBorder="1"/>
    <xf numFmtId="0" fontId="53" fillId="0" borderId="168" xfId="2" applyFont="1" applyBorder="1" applyAlignment="1">
      <alignment horizontal="center"/>
    </xf>
    <xf numFmtId="0" fontId="53" fillId="0" borderId="234" xfId="2" applyFont="1" applyBorder="1" applyAlignment="1">
      <alignment horizontal="center"/>
    </xf>
    <xf numFmtId="0" fontId="49" fillId="0" borderId="234" xfId="2" applyFont="1" applyBorder="1"/>
    <xf numFmtId="0" fontId="49" fillId="0" borderId="169" xfId="2" applyFont="1" applyBorder="1" applyAlignment="1">
      <alignment wrapText="1"/>
    </xf>
    <xf numFmtId="0" fontId="49" fillId="0" borderId="235" xfId="2" applyFont="1" applyBorder="1" applyAlignment="1">
      <alignment horizontal="left"/>
    </xf>
    <xf numFmtId="2" fontId="49" fillId="20" borderId="112" xfId="2" applyNumberFormat="1" applyFont="1" applyFill="1" applyBorder="1" applyAlignment="1">
      <alignment horizontal="center"/>
    </xf>
    <xf numFmtId="0" fontId="15" fillId="0" borderId="32" xfId="0" applyFont="1" applyBorder="1"/>
    <xf numFmtId="0" fontId="16" fillId="0" borderId="32" xfId="0" applyFont="1" applyBorder="1" applyAlignment="1">
      <alignment wrapText="1"/>
    </xf>
    <xf numFmtId="2" fontId="9" fillId="15" borderId="29" xfId="0" applyNumberFormat="1" applyFont="1" applyFill="1" applyBorder="1" applyAlignment="1">
      <alignment horizontal="center" vertical="center" wrapText="1"/>
    </xf>
    <xf numFmtId="2" fontId="6" fillId="16" borderId="33" xfId="0" applyNumberFormat="1" applyFont="1" applyFill="1" applyBorder="1" applyAlignment="1">
      <alignment horizontal="center" vertical="center"/>
    </xf>
    <xf numFmtId="0" fontId="4" fillId="0" borderId="32" xfId="0" applyFont="1" applyBorder="1" applyAlignment="1">
      <alignment vertical="top"/>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2" fontId="6" fillId="7" borderId="22" xfId="0" applyNumberFormat="1" applyFont="1" applyFill="1" applyBorder="1" applyAlignment="1">
      <alignment horizontal="center" vertical="center"/>
    </xf>
    <xf numFmtId="2" fontId="6" fillId="7" borderId="25" xfId="0" applyNumberFormat="1" applyFont="1" applyFill="1" applyBorder="1" applyAlignment="1">
      <alignment horizontal="center" vertical="center"/>
    </xf>
    <xf numFmtId="2" fontId="6" fillId="7" borderId="68" xfId="0" applyNumberFormat="1" applyFont="1" applyFill="1" applyBorder="1" applyAlignment="1">
      <alignment horizontal="center" vertical="center"/>
    </xf>
    <xf numFmtId="2" fontId="6" fillId="7" borderId="236" xfId="0" applyNumberFormat="1" applyFont="1" applyFill="1" applyBorder="1" applyAlignment="1">
      <alignment horizontal="center" vertical="center"/>
    </xf>
    <xf numFmtId="2" fontId="6" fillId="7" borderId="42" xfId="0" applyNumberFormat="1" applyFont="1" applyFill="1" applyBorder="1" applyAlignment="1">
      <alignment horizontal="center" vertical="center"/>
    </xf>
    <xf numFmtId="0" fontId="6" fillId="0" borderId="54" xfId="0" applyFont="1" applyBorder="1" applyAlignment="1">
      <alignment vertical="top"/>
    </xf>
    <xf numFmtId="0" fontId="6" fillId="0" borderId="225" xfId="0" applyFont="1" applyBorder="1" applyAlignment="1">
      <alignment vertical="top"/>
    </xf>
    <xf numFmtId="0" fontId="6" fillId="0" borderId="101" xfId="0" applyFont="1" applyBorder="1" applyAlignment="1">
      <alignment vertical="top"/>
    </xf>
    <xf numFmtId="0" fontId="6" fillId="0" borderId="155" xfId="0" applyFont="1" applyBorder="1" applyAlignment="1">
      <alignment vertical="top"/>
    </xf>
    <xf numFmtId="0" fontId="6" fillId="0" borderId="55" xfId="0" applyFont="1" applyBorder="1" applyAlignment="1">
      <alignment vertical="top"/>
    </xf>
    <xf numFmtId="0" fontId="6" fillId="0" borderId="56" xfId="0" applyFont="1" applyBorder="1" applyAlignment="1">
      <alignment vertical="top"/>
    </xf>
    <xf numFmtId="2" fontId="50" fillId="9" borderId="0" xfId="0" applyNumberFormat="1" applyFont="1" applyFill="1" applyAlignment="1">
      <alignment vertical="top" wrapText="1"/>
    </xf>
    <xf numFmtId="2" fontId="46" fillId="5" borderId="23" xfId="0" applyNumberFormat="1" applyFont="1" applyFill="1" applyBorder="1" applyAlignment="1">
      <alignment horizontal="center" vertical="center"/>
    </xf>
    <xf numFmtId="0" fontId="0" fillId="6" borderId="0" xfId="0" applyFill="1" applyAlignment="1">
      <alignment horizontal="center" wrapText="1"/>
    </xf>
    <xf numFmtId="0" fontId="0" fillId="6" borderId="33" xfId="0" applyFill="1" applyBorder="1" applyAlignment="1">
      <alignment horizontal="center" wrapText="1"/>
    </xf>
    <xf numFmtId="2" fontId="67" fillId="4" borderId="38" xfId="0" applyNumberFormat="1" applyFont="1" applyFill="1" applyBorder="1" applyAlignment="1">
      <alignment vertical="center"/>
    </xf>
    <xf numFmtId="0" fontId="68" fillId="19" borderId="46" xfId="2" applyFont="1" applyFill="1" applyBorder="1" applyAlignment="1">
      <alignment horizontal="center" wrapText="1"/>
    </xf>
    <xf numFmtId="2" fontId="15" fillId="0" borderId="50" xfId="0" applyNumberFormat="1" applyFont="1" applyBorder="1"/>
    <xf numFmtId="0" fontId="0" fillId="0" borderId="5" xfId="0" applyBorder="1"/>
    <xf numFmtId="0" fontId="15" fillId="0" borderId="17" xfId="0" applyFont="1" applyBorder="1"/>
    <xf numFmtId="0" fontId="49" fillId="0" borderId="50" xfId="2" applyFont="1" applyBorder="1" applyAlignment="1" applyProtection="1">
      <alignment horizontal="center" vertical="top"/>
      <protection locked="0"/>
    </xf>
    <xf numFmtId="0" fontId="49" fillId="0" borderId="50" xfId="2" applyFont="1" applyBorder="1" applyAlignment="1" applyProtection="1">
      <alignment horizontal="left"/>
      <protection locked="0"/>
    </xf>
    <xf numFmtId="0" fontId="49" fillId="0" borderId="77" xfId="2" applyFont="1" applyBorder="1" applyAlignment="1" applyProtection="1">
      <alignment horizontal="left"/>
      <protection locked="0"/>
    </xf>
    <xf numFmtId="0" fontId="49" fillId="0" borderId="0" xfId="2" applyFont="1" applyAlignment="1" applyProtection="1">
      <alignment horizontal="center" vertical="top"/>
      <protection locked="0"/>
    </xf>
    <xf numFmtId="0" fontId="49" fillId="0" borderId="50" xfId="2" applyFont="1" applyBorder="1" applyAlignment="1">
      <alignment horizontal="center" vertical="center"/>
    </xf>
    <xf numFmtId="0" fontId="49" fillId="0" borderId="50" xfId="2" applyFont="1" applyBorder="1" applyAlignment="1" applyProtection="1">
      <alignment horizontal="center" vertical="center"/>
      <protection locked="0"/>
    </xf>
    <xf numFmtId="0" fontId="49" fillId="0" borderId="235" xfId="2" applyFont="1" applyBorder="1"/>
    <xf numFmtId="0" fontId="49" fillId="0" borderId="15" xfId="2" applyFont="1" applyBorder="1"/>
    <xf numFmtId="0" fontId="49" fillId="0" borderId="199" xfId="2" applyFont="1" applyBorder="1"/>
    <xf numFmtId="0" fontId="49" fillId="0" borderId="199" xfId="2" applyFont="1" applyBorder="1" applyAlignment="1">
      <alignment horizontal="center"/>
    </xf>
    <xf numFmtId="0" fontId="49" fillId="0" borderId="0" xfId="2" applyFont="1" applyAlignment="1">
      <alignment vertical="top"/>
    </xf>
    <xf numFmtId="0" fontId="59" fillId="2" borderId="0" xfId="2" applyFont="1" applyFill="1"/>
    <xf numFmtId="0" fontId="49" fillId="2" borderId="0" xfId="2" applyFont="1" applyFill="1"/>
    <xf numFmtId="0" fontId="4" fillId="2" borderId="0" xfId="2" applyFill="1"/>
    <xf numFmtId="0" fontId="49" fillId="0" borderId="33" xfId="2" applyFont="1" applyBorder="1" applyAlignment="1" applyProtection="1">
      <alignment horizontal="center"/>
      <protection locked="0"/>
    </xf>
    <xf numFmtId="0" fontId="49" fillId="0" borderId="41" xfId="2" applyFont="1" applyBorder="1" applyAlignment="1" applyProtection="1">
      <alignment horizontal="center"/>
      <protection locked="0"/>
    </xf>
    <xf numFmtId="0" fontId="49" fillId="0" borderId="242" xfId="2" applyFont="1" applyBorder="1" applyAlignment="1" applyProtection="1">
      <alignment horizontal="center"/>
      <protection locked="0"/>
    </xf>
    <xf numFmtId="0" fontId="49" fillId="0" borderId="243" xfId="2" applyFont="1" applyBorder="1" applyAlignment="1" applyProtection="1">
      <alignment horizontal="center"/>
      <protection locked="0"/>
    </xf>
    <xf numFmtId="0" fontId="51" fillId="0" borderId="159" xfId="2" applyFont="1" applyBorder="1" applyAlignment="1">
      <alignment horizontal="right"/>
    </xf>
    <xf numFmtId="0" fontId="51" fillId="0" borderId="160" xfId="2" applyFont="1" applyBorder="1"/>
    <xf numFmtId="0" fontId="49" fillId="0" borderId="159" xfId="2" applyFont="1" applyBorder="1" applyAlignment="1">
      <alignment horizontal="center"/>
    </xf>
    <xf numFmtId="0" fontId="49" fillId="0" borderId="246" xfId="2" applyFont="1" applyBorder="1" applyAlignment="1">
      <alignment horizontal="center"/>
    </xf>
    <xf numFmtId="0" fontId="49" fillId="0" borderId="247" xfId="2" applyFont="1" applyBorder="1" applyAlignment="1">
      <alignment horizontal="center"/>
    </xf>
    <xf numFmtId="0" fontId="49" fillId="0" borderId="248" xfId="2" applyFont="1" applyBorder="1" applyAlignment="1">
      <alignment horizontal="center"/>
    </xf>
    <xf numFmtId="0" fontId="49" fillId="0" borderId="249" xfId="2" applyFont="1" applyBorder="1" applyAlignment="1">
      <alignment horizontal="center"/>
    </xf>
    <xf numFmtId="0" fontId="49" fillId="0" borderId="22" xfId="2" applyFont="1" applyBorder="1" applyAlignment="1">
      <alignment horizontal="center" vertical="center"/>
    </xf>
    <xf numFmtId="0" fontId="49" fillId="0" borderId="42" xfId="2" applyFont="1" applyBorder="1" applyAlignment="1">
      <alignment horizontal="center" vertical="center"/>
    </xf>
    <xf numFmtId="0" fontId="51" fillId="0" borderId="161" xfId="2" quotePrefix="1" applyFont="1" applyBorder="1" applyAlignment="1">
      <alignment horizontal="left"/>
    </xf>
    <xf numFmtId="0" fontId="49" fillId="0" borderId="192" xfId="2" applyFont="1" applyBorder="1" applyAlignment="1">
      <alignment vertical="top" wrapText="1"/>
    </xf>
    <xf numFmtId="0" fontId="49" fillId="0" borderId="201" xfId="2" applyFont="1" applyBorder="1" applyAlignment="1">
      <alignment vertical="top" wrapText="1"/>
    </xf>
    <xf numFmtId="0" fontId="52" fillId="9" borderId="32" xfId="2" applyFont="1" applyFill="1" applyBorder="1"/>
    <xf numFmtId="0" fontId="52" fillId="9" borderId="71" xfId="2" applyFont="1" applyFill="1" applyBorder="1"/>
    <xf numFmtId="0" fontId="56" fillId="0" borderId="251" xfId="2" applyFont="1" applyBorder="1"/>
    <xf numFmtId="2" fontId="49" fillId="20" borderId="135" xfId="2" applyNumberFormat="1" applyFont="1" applyFill="1" applyBorder="1" applyAlignment="1">
      <alignment horizontal="center"/>
    </xf>
    <xf numFmtId="0" fontId="49" fillId="0" borderId="211" xfId="2" applyFont="1" applyBorder="1" applyAlignment="1">
      <alignment horizontal="left" wrapText="1"/>
    </xf>
    <xf numFmtId="0" fontId="49" fillId="0" borderId="156" xfId="2" applyFont="1" applyBorder="1" applyAlignment="1">
      <alignment horizontal="left" wrapText="1"/>
    </xf>
    <xf numFmtId="0" fontId="49" fillId="0" borderId="214" xfId="2" applyFont="1" applyBorder="1" applyAlignment="1">
      <alignment horizontal="left" wrapText="1"/>
    </xf>
    <xf numFmtId="0" fontId="49" fillId="0" borderId="0" xfId="2" applyFont="1" applyAlignment="1">
      <alignment horizontal="left" wrapText="1"/>
    </xf>
    <xf numFmtId="0" fontId="38" fillId="0" borderId="0" xfId="0" applyFont="1"/>
    <xf numFmtId="0" fontId="13" fillId="0" borderId="0" xfId="0" applyFont="1" applyAlignment="1">
      <alignment wrapText="1"/>
    </xf>
    <xf numFmtId="0" fontId="38" fillId="0" borderId="17" xfId="0" applyFont="1" applyBorder="1"/>
    <xf numFmtId="0" fontId="49" fillId="0" borderId="137" xfId="2" applyFont="1" applyBorder="1" applyAlignment="1">
      <alignment horizontal="center"/>
    </xf>
    <xf numFmtId="0" fontId="49" fillId="0" borderId="41" xfId="2" applyFont="1" applyBorder="1" applyProtection="1">
      <protection locked="0"/>
    </xf>
    <xf numFmtId="0" fontId="49" fillId="0" borderId="88" xfId="2" applyFont="1" applyBorder="1" applyProtection="1">
      <protection locked="0"/>
    </xf>
    <xf numFmtId="0" fontId="49" fillId="0" borderId="36" xfId="2" applyFont="1" applyBorder="1" applyProtection="1">
      <protection locked="0"/>
    </xf>
    <xf numFmtId="0" fontId="49" fillId="0" borderId="121" xfId="2" applyFont="1" applyBorder="1" applyProtection="1">
      <protection locked="0"/>
    </xf>
    <xf numFmtId="2" fontId="56" fillId="0" borderId="0" xfId="2" applyNumberFormat="1" applyFont="1"/>
    <xf numFmtId="0" fontId="74" fillId="0" borderId="36" xfId="2" applyFont="1" applyBorder="1" applyProtection="1">
      <protection locked="0"/>
    </xf>
    <xf numFmtId="0" fontId="56" fillId="0" borderId="252" xfId="2" applyFont="1" applyBorder="1"/>
    <xf numFmtId="0" fontId="56" fillId="0" borderId="205" xfId="2" applyFont="1" applyBorder="1" applyAlignment="1">
      <alignment horizontal="center"/>
    </xf>
    <xf numFmtId="0" fontId="56" fillId="0" borderId="253" xfId="2" applyFont="1" applyBorder="1"/>
    <xf numFmtId="0" fontId="56" fillId="0" borderId="223" xfId="2" applyFont="1" applyBorder="1"/>
    <xf numFmtId="0" fontId="74" fillId="0" borderId="79" xfId="2" applyFont="1" applyBorder="1" applyProtection="1">
      <protection locked="0"/>
    </xf>
    <xf numFmtId="0" fontId="49" fillId="0" borderId="77" xfId="2" applyFont="1" applyBorder="1" applyProtection="1">
      <protection locked="0"/>
    </xf>
    <xf numFmtId="0" fontId="49" fillId="0" borderId="45" xfId="2" applyFont="1" applyBorder="1" applyAlignment="1" applyProtection="1">
      <alignment horizontal="center" vertical="center"/>
      <protection locked="0"/>
    </xf>
    <xf numFmtId="0" fontId="49" fillId="0" borderId="159" xfId="2" applyFont="1" applyBorder="1" applyAlignment="1">
      <alignment horizontal="left"/>
    </xf>
    <xf numFmtId="0" fontId="49" fillId="0" borderId="161" xfId="2" applyFont="1" applyBorder="1" applyAlignment="1">
      <alignment horizontal="left"/>
    </xf>
    <xf numFmtId="0" fontId="49" fillId="0" borderId="19" xfId="2" applyFont="1" applyBorder="1" applyAlignment="1" applyProtection="1">
      <alignment horizontal="center" vertical="center"/>
      <protection locked="0"/>
    </xf>
    <xf numFmtId="0" fontId="49" fillId="0" borderId="135" xfId="2" applyFont="1" applyBorder="1" applyAlignment="1" applyProtection="1">
      <alignment horizontal="center" vertical="center"/>
      <protection locked="0"/>
    </xf>
    <xf numFmtId="0" fontId="20" fillId="4" borderId="41" xfId="0" applyFont="1" applyFill="1" applyBorder="1" applyAlignment="1">
      <alignment vertical="center" wrapText="1"/>
    </xf>
    <xf numFmtId="0" fontId="20" fillId="4" borderId="40" xfId="0" applyFont="1" applyFill="1" applyBorder="1" applyAlignment="1">
      <alignment horizontal="center" vertical="center" wrapText="1"/>
    </xf>
    <xf numFmtId="2" fontId="20" fillId="4" borderId="50" xfId="0" applyNumberFormat="1" applyFont="1" applyFill="1" applyBorder="1" applyAlignment="1">
      <alignment horizontal="center" vertical="center"/>
    </xf>
    <xf numFmtId="0" fontId="49" fillId="0" borderId="25" xfId="2" applyFont="1" applyBorder="1" applyAlignment="1" applyProtection="1">
      <alignment horizontal="center"/>
      <protection locked="0"/>
    </xf>
    <xf numFmtId="2" fontId="20" fillId="4" borderId="88" xfId="0" applyNumberFormat="1" applyFont="1" applyFill="1" applyBorder="1" applyAlignment="1">
      <alignment vertical="center"/>
    </xf>
    <xf numFmtId="2" fontId="20" fillId="4" borderId="41" xfId="0" applyNumberFormat="1" applyFont="1" applyFill="1" applyBorder="1" applyAlignment="1">
      <alignment vertical="center" wrapText="1"/>
    </xf>
    <xf numFmtId="0" fontId="20" fillId="4" borderId="37" xfId="0" applyFont="1" applyFill="1" applyBorder="1" applyAlignment="1">
      <alignment vertical="center" wrapText="1"/>
    </xf>
    <xf numFmtId="0" fontId="20" fillId="4" borderId="43" xfId="0" applyFont="1" applyFill="1" applyBorder="1" applyAlignment="1">
      <alignment vertical="center" wrapText="1"/>
    </xf>
    <xf numFmtId="2" fontId="20" fillId="6" borderId="19" xfId="0" applyNumberFormat="1" applyFont="1" applyFill="1" applyBorder="1" applyAlignment="1">
      <alignment horizontal="center" vertical="center"/>
    </xf>
    <xf numFmtId="0" fontId="20" fillId="4" borderId="19" xfId="0" applyFont="1" applyFill="1" applyBorder="1" applyAlignment="1">
      <alignment vertical="center" wrapText="1"/>
    </xf>
    <xf numFmtId="2" fontId="20" fillId="4" borderId="79" xfId="0" applyNumberFormat="1" applyFont="1" applyFill="1" applyBorder="1" applyAlignment="1">
      <alignment vertical="center"/>
    </xf>
    <xf numFmtId="2" fontId="20" fillId="4" borderId="77" xfId="0" applyNumberFormat="1" applyFont="1" applyFill="1" applyBorder="1" applyAlignment="1">
      <alignment vertical="center"/>
    </xf>
    <xf numFmtId="0" fontId="20" fillId="4" borderId="40" xfId="0" applyFont="1" applyFill="1" applyBorder="1" applyAlignment="1">
      <alignment vertical="center" wrapText="1"/>
    </xf>
    <xf numFmtId="1" fontId="46" fillId="21" borderId="19" xfId="0" applyNumberFormat="1" applyFont="1" applyFill="1" applyBorder="1" applyAlignment="1" applyProtection="1">
      <alignment horizontal="center" vertical="center"/>
      <protection locked="0"/>
    </xf>
    <xf numFmtId="1" fontId="46" fillId="21" borderId="43" xfId="0" applyNumberFormat="1" applyFont="1" applyFill="1" applyBorder="1" applyAlignment="1" applyProtection="1">
      <alignment horizontal="center" vertical="center"/>
      <protection locked="0"/>
    </xf>
    <xf numFmtId="1" fontId="46" fillId="21" borderId="41" xfId="0" applyNumberFormat="1" applyFont="1" applyFill="1" applyBorder="1" applyAlignment="1" applyProtection="1">
      <alignment horizontal="center" vertical="center"/>
      <protection locked="0"/>
    </xf>
    <xf numFmtId="1" fontId="47" fillId="21" borderId="19" xfId="1" applyNumberFormat="1" applyFont="1" applyFill="1" applyBorder="1" applyAlignment="1" applyProtection="1">
      <alignment horizontal="center" vertical="center" wrapText="1"/>
      <protection locked="0"/>
    </xf>
    <xf numFmtId="2" fontId="46" fillId="21" borderId="37" xfId="0" applyNumberFormat="1" applyFont="1" applyFill="1" applyBorder="1" applyAlignment="1" applyProtection="1">
      <alignment horizontal="center" vertical="center"/>
      <protection locked="0"/>
    </xf>
    <xf numFmtId="2" fontId="46" fillId="21" borderId="43" xfId="0" applyNumberFormat="1" applyFont="1" applyFill="1" applyBorder="1" applyAlignment="1" applyProtection="1">
      <alignment horizontal="center" vertical="center"/>
      <protection locked="0"/>
    </xf>
    <xf numFmtId="2" fontId="47" fillId="21" borderId="37" xfId="1" applyNumberFormat="1" applyFont="1" applyFill="1" applyBorder="1" applyAlignment="1" applyProtection="1">
      <alignment horizontal="center" vertical="center"/>
      <protection locked="0"/>
    </xf>
    <xf numFmtId="1" fontId="27" fillId="21" borderId="19" xfId="0" applyNumberFormat="1" applyFont="1" applyFill="1" applyBorder="1" applyAlignment="1" applyProtection="1">
      <alignment horizontal="center" vertical="center"/>
      <protection locked="0"/>
    </xf>
    <xf numFmtId="2" fontId="47" fillId="21" borderId="38" xfId="1" applyNumberFormat="1" applyFont="1" applyFill="1" applyBorder="1" applyAlignment="1" applyProtection="1">
      <alignment horizontal="center" vertical="center"/>
      <protection locked="0"/>
    </xf>
    <xf numFmtId="2" fontId="20" fillId="4" borderId="25" xfId="0" applyNumberFormat="1" applyFont="1" applyFill="1" applyBorder="1" applyAlignment="1">
      <alignment vertical="center"/>
    </xf>
    <xf numFmtId="0" fontId="49" fillId="0" borderId="125" xfId="2" applyFont="1" applyBorder="1" applyAlignment="1">
      <alignment horizontal="left"/>
    </xf>
    <xf numFmtId="0" fontId="49" fillId="0" borderId="154" xfId="2" applyFont="1" applyBorder="1" applyAlignment="1">
      <alignment horizontal="left"/>
    </xf>
    <xf numFmtId="0" fontId="56" fillId="0" borderId="192" xfId="2" applyFont="1" applyBorder="1" applyAlignment="1">
      <alignment horizontal="center"/>
    </xf>
    <xf numFmtId="0" fontId="56" fillId="0" borderId="192" xfId="2" applyFont="1" applyBorder="1" applyAlignment="1">
      <alignment vertical="center" wrapText="1"/>
    </xf>
    <xf numFmtId="0" fontId="56" fillId="0" borderId="123" xfId="2" applyFont="1" applyBorder="1" applyAlignment="1">
      <alignment vertical="center" wrapText="1"/>
    </xf>
    <xf numFmtId="0" fontId="56" fillId="0" borderId="233" xfId="2" applyFont="1" applyBorder="1"/>
    <xf numFmtId="0" fontId="56" fillId="0" borderId="71" xfId="2" applyFont="1" applyBorder="1"/>
    <xf numFmtId="2" fontId="10" fillId="14" borderId="19" xfId="0" applyNumberFormat="1" applyFont="1" applyFill="1" applyBorder="1" applyAlignment="1">
      <alignment horizontal="center" vertical="center" wrapText="1"/>
    </xf>
    <xf numFmtId="2" fontId="73" fillId="4" borderId="36" xfId="0" applyNumberFormat="1" applyFont="1" applyFill="1" applyBorder="1" applyAlignment="1">
      <alignment vertical="center" wrapText="1"/>
    </xf>
    <xf numFmtId="2" fontId="73" fillId="4" borderId="41" xfId="0" applyNumberFormat="1" applyFont="1" applyFill="1" applyBorder="1" applyAlignment="1">
      <alignment vertical="center" wrapText="1"/>
    </xf>
    <xf numFmtId="0" fontId="7" fillId="4" borderId="78" xfId="0" applyFont="1" applyFill="1" applyBorder="1" applyAlignment="1">
      <alignment horizontal="center" vertical="center"/>
    </xf>
    <xf numFmtId="0" fontId="7" fillId="4" borderId="83" xfId="0" applyFont="1" applyFill="1" applyBorder="1" applyAlignment="1">
      <alignment horizontal="center" vertical="center"/>
    </xf>
    <xf numFmtId="2" fontId="20" fillId="4" borderId="79" xfId="0" applyNumberFormat="1" applyFont="1" applyFill="1" applyBorder="1" applyAlignment="1">
      <alignment horizontal="center" vertical="center"/>
    </xf>
    <xf numFmtId="2" fontId="20" fillId="4" borderId="69" xfId="0" applyNumberFormat="1" applyFont="1" applyFill="1" applyBorder="1" applyAlignment="1">
      <alignment horizontal="center" vertical="center"/>
    </xf>
    <xf numFmtId="2" fontId="20" fillId="4" borderId="71" xfId="0" applyNumberFormat="1" applyFont="1" applyFill="1" applyBorder="1" applyAlignment="1">
      <alignment vertical="center"/>
    </xf>
    <xf numFmtId="0" fontId="49" fillId="0" borderId="36" xfId="2" applyFont="1" applyBorder="1" applyAlignment="1" applyProtection="1">
      <alignment horizontal="center"/>
      <protection locked="0"/>
    </xf>
    <xf numFmtId="0" fontId="49" fillId="20" borderId="22" xfId="2" applyFont="1" applyFill="1" applyBorder="1" applyAlignment="1">
      <alignment horizontal="center" vertical="center" wrapText="1"/>
    </xf>
    <xf numFmtId="0" fontId="49" fillId="0" borderId="0" xfId="2" applyFont="1" applyAlignment="1" applyProtection="1">
      <alignment horizontal="center"/>
      <protection locked="0"/>
    </xf>
    <xf numFmtId="0" fontId="49" fillId="0" borderId="113" xfId="2" applyFont="1" applyBorder="1" applyAlignment="1" applyProtection="1">
      <alignment horizontal="center"/>
      <protection locked="0"/>
    </xf>
    <xf numFmtId="0" fontId="49" fillId="0" borderId="84" xfId="2" applyFont="1" applyBorder="1" applyAlignment="1" applyProtection="1">
      <alignment horizontal="center"/>
      <protection locked="0"/>
    </xf>
    <xf numFmtId="0" fontId="49" fillId="0" borderId="143" xfId="2" applyFont="1" applyBorder="1" applyAlignment="1" applyProtection="1">
      <alignment horizontal="center"/>
      <protection locked="0"/>
    </xf>
    <xf numFmtId="0" fontId="49" fillId="0" borderId="115" xfId="2" applyFont="1" applyBorder="1" applyAlignment="1" applyProtection="1">
      <alignment horizontal="center"/>
      <protection locked="0"/>
    </xf>
    <xf numFmtId="0" fontId="49" fillId="0" borderId="75" xfId="2" applyFont="1" applyBorder="1" applyAlignment="1" applyProtection="1">
      <alignment horizontal="center"/>
      <protection locked="0"/>
    </xf>
    <xf numFmtId="0" fontId="49" fillId="0" borderId="114" xfId="2" applyFont="1" applyBorder="1" applyAlignment="1" applyProtection="1">
      <alignment horizontal="center"/>
      <protection locked="0"/>
    </xf>
    <xf numFmtId="0" fontId="49" fillId="0" borderId="76" xfId="2" applyFont="1" applyBorder="1" applyAlignment="1" applyProtection="1">
      <alignment horizontal="center"/>
      <protection locked="0"/>
    </xf>
    <xf numFmtId="0" fontId="0" fillId="0" borderId="0" xfId="0" applyProtection="1">
      <protection locked="0"/>
    </xf>
    <xf numFmtId="0" fontId="49" fillId="0" borderId="148" xfId="2" applyFont="1" applyBorder="1"/>
    <xf numFmtId="0" fontId="12" fillId="0" borderId="0" xfId="0" applyFont="1"/>
    <xf numFmtId="0" fontId="78" fillId="0" borderId="0" xfId="0" applyFont="1"/>
    <xf numFmtId="0" fontId="29" fillId="0" borderId="0" xfId="0" applyFont="1" applyAlignment="1">
      <alignment horizontal="left" vertical="top"/>
    </xf>
    <xf numFmtId="0" fontId="29" fillId="0" borderId="0" xfId="2" applyFont="1" applyAlignment="1">
      <alignment vertical="center"/>
    </xf>
    <xf numFmtId="0" fontId="29" fillId="0" borderId="122" xfId="2" applyFont="1" applyBorder="1" applyAlignment="1">
      <alignment vertical="center"/>
    </xf>
    <xf numFmtId="0" fontId="51" fillId="0" borderId="0" xfId="2" applyFont="1" applyAlignment="1">
      <alignment vertical="center"/>
    </xf>
    <xf numFmtId="0" fontId="29" fillId="0" borderId="122" xfId="2" applyFont="1" applyBorder="1"/>
    <xf numFmtId="0" fontId="79" fillId="0" borderId="0" xfId="0" applyFont="1"/>
    <xf numFmtId="0" fontId="31" fillId="0" borderId="0" xfId="0" applyFont="1"/>
    <xf numFmtId="0" fontId="6" fillId="0" borderId="151" xfId="2" applyFont="1" applyBorder="1" applyAlignment="1">
      <alignment horizontal="right"/>
    </xf>
    <xf numFmtId="0" fontId="6" fillId="0" borderId="153" xfId="2" applyFont="1" applyBorder="1"/>
    <xf numFmtId="0" fontId="4" fillId="0" borderId="36" xfId="2" applyBorder="1"/>
    <xf numFmtId="0" fontId="4" fillId="0" borderId="25" xfId="2" applyBorder="1"/>
    <xf numFmtId="14" fontId="49" fillId="0" borderId="178" xfId="2" applyNumberFormat="1" applyFont="1" applyBorder="1" applyAlignment="1">
      <alignment vertical="center"/>
    </xf>
    <xf numFmtId="0" fontId="49" fillId="0" borderId="259" xfId="2" applyFont="1" applyBorder="1" applyAlignment="1" applyProtection="1">
      <alignment horizontal="center"/>
      <protection locked="0"/>
    </xf>
    <xf numFmtId="0" fontId="49" fillId="0" borderId="260" xfId="2" applyFont="1" applyBorder="1" applyAlignment="1">
      <alignment horizontal="center"/>
    </xf>
    <xf numFmtId="0" fontId="49" fillId="0" borderId="261" xfId="2" applyFont="1" applyBorder="1" applyAlignment="1">
      <alignment horizontal="center"/>
    </xf>
    <xf numFmtId="0" fontId="49" fillId="0" borderId="131" xfId="2" applyFont="1" applyBorder="1" applyAlignment="1">
      <alignment horizontal="center"/>
    </xf>
    <xf numFmtId="0" fontId="49" fillId="0" borderId="262" xfId="2" applyFont="1" applyBorder="1" applyAlignment="1">
      <alignment horizontal="center"/>
    </xf>
    <xf numFmtId="2" fontId="49" fillId="0" borderId="0" xfId="2" applyNumberFormat="1" applyFont="1" applyAlignment="1">
      <alignment horizontal="center"/>
    </xf>
    <xf numFmtId="166" fontId="49" fillId="0" borderId="0" xfId="2" applyNumberFormat="1" applyFont="1" applyAlignment="1">
      <alignment horizontal="center"/>
    </xf>
    <xf numFmtId="0" fontId="52" fillId="0" borderId="0" xfId="2" applyFont="1" applyAlignment="1">
      <alignment horizontal="left" vertical="center"/>
    </xf>
    <xf numFmtId="0" fontId="0" fillId="0" borderId="0" xfId="0" applyAlignment="1">
      <alignment horizontal="left" wrapText="1"/>
    </xf>
    <xf numFmtId="2" fontId="49" fillId="20" borderId="83" xfId="2" applyNumberFormat="1" applyFont="1" applyFill="1" applyBorder="1" applyAlignment="1" applyProtection="1">
      <alignment horizontal="center"/>
      <protection locked="0"/>
    </xf>
    <xf numFmtId="166" fontId="49" fillId="20" borderId="135" xfId="2" applyNumberFormat="1" applyFont="1" applyFill="1" applyBorder="1" applyAlignment="1" applyProtection="1">
      <alignment horizontal="center"/>
      <protection locked="0"/>
    </xf>
    <xf numFmtId="0" fontId="13" fillId="0" borderId="259" xfId="0" applyFont="1" applyBorder="1" applyProtection="1">
      <protection locked="0"/>
    </xf>
    <xf numFmtId="0" fontId="13" fillId="0" borderId="255" xfId="0" applyFont="1" applyBorder="1" applyProtection="1">
      <protection locked="0"/>
    </xf>
    <xf numFmtId="0" fontId="13" fillId="0" borderId="19" xfId="0" applyFont="1" applyBorder="1" applyProtection="1">
      <protection locked="0"/>
    </xf>
    <xf numFmtId="0" fontId="13" fillId="0" borderId="79" xfId="0" applyFont="1" applyBorder="1" applyProtection="1">
      <protection locked="0"/>
    </xf>
    <xf numFmtId="0" fontId="13" fillId="0" borderId="254" xfId="0" applyFont="1" applyBorder="1" applyProtection="1">
      <protection locked="0"/>
    </xf>
    <xf numFmtId="0" fontId="13" fillId="0" borderId="45" xfId="0" applyFont="1" applyBorder="1" applyProtection="1">
      <protection locked="0"/>
    </xf>
    <xf numFmtId="0" fontId="11" fillId="0" borderId="79" xfId="0" applyFont="1" applyBorder="1" applyAlignment="1">
      <alignment horizontal="left" vertical="center" wrapText="1"/>
    </xf>
    <xf numFmtId="0" fontId="11" fillId="0" borderId="45" xfId="0" applyFont="1" applyBorder="1" applyAlignment="1">
      <alignment horizontal="left" vertical="center" wrapText="1"/>
    </xf>
    <xf numFmtId="0" fontId="11" fillId="0" borderId="104" xfId="0" applyFont="1" applyBorder="1" applyAlignment="1">
      <alignment horizontal="left" vertical="center" wrapText="1"/>
    </xf>
    <xf numFmtId="0" fontId="11" fillId="0" borderId="42" xfId="0" applyFont="1" applyBorder="1" applyAlignment="1">
      <alignment horizontal="left" vertical="center" wrapText="1"/>
    </xf>
    <xf numFmtId="0" fontId="13" fillId="18" borderId="7" xfId="0" applyFont="1" applyFill="1" applyBorder="1" applyAlignment="1" applyProtection="1">
      <alignment horizontal="left" vertical="center" wrapText="1"/>
      <protection locked="0"/>
    </xf>
    <xf numFmtId="0" fontId="13" fillId="18" borderId="9"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0" fillId="0" borderId="0" xfId="0"/>
    <xf numFmtId="0" fontId="7" fillId="18" borderId="7" xfId="0" applyFont="1" applyFill="1" applyBorder="1" applyAlignment="1" applyProtection="1">
      <alignment horizontal="center" vertical="center" wrapText="1"/>
      <protection locked="0"/>
    </xf>
    <xf numFmtId="0" fontId="7" fillId="18" borderId="9" xfId="0" applyFont="1" applyFill="1" applyBorder="1" applyAlignment="1" applyProtection="1">
      <alignment horizontal="center" vertical="center" wrapText="1"/>
      <protection locked="0"/>
    </xf>
    <xf numFmtId="0" fontId="38" fillId="18" borderId="7" xfId="0" applyFont="1" applyFill="1" applyBorder="1" applyProtection="1">
      <protection locked="0"/>
    </xf>
    <xf numFmtId="0" fontId="0" fillId="18" borderId="8" xfId="0" applyFill="1" applyBorder="1" applyProtection="1">
      <protection locked="0"/>
    </xf>
    <xf numFmtId="0" fontId="0" fillId="18" borderId="9" xfId="0" applyFill="1" applyBorder="1" applyProtection="1">
      <protection locked="0"/>
    </xf>
    <xf numFmtId="0" fontId="38" fillId="9" borderId="106" xfId="0" applyFont="1" applyFill="1" applyBorder="1" applyAlignment="1">
      <alignment horizontal="center"/>
    </xf>
    <xf numFmtId="0" fontId="38" fillId="9" borderId="107" xfId="0" applyFont="1" applyFill="1" applyBorder="1" applyAlignment="1">
      <alignment horizontal="center"/>
    </xf>
    <xf numFmtId="0" fontId="11" fillId="0" borderId="103" xfId="0" applyFont="1" applyBorder="1" applyAlignment="1">
      <alignment horizontal="left" vertical="center" wrapText="1"/>
    </xf>
    <xf numFmtId="0" fontId="11" fillId="0" borderId="68" xfId="0" applyFont="1" applyBorder="1" applyAlignment="1">
      <alignment horizontal="left" vertical="center" wrapText="1"/>
    </xf>
    <xf numFmtId="0" fontId="11" fillId="0" borderId="36" xfId="0" applyFont="1" applyBorder="1" applyAlignment="1">
      <alignment horizontal="left" vertical="center" wrapText="1"/>
    </xf>
    <xf numFmtId="0" fontId="11" fillId="0" borderId="25" xfId="0" applyFont="1" applyBorder="1" applyAlignment="1">
      <alignment horizontal="left" vertical="center" wrapText="1"/>
    </xf>
    <xf numFmtId="0" fontId="37" fillId="0" borderId="1" xfId="0" applyFont="1" applyBorder="1" applyAlignment="1">
      <alignment horizontal="center" vertical="center" wrapText="1"/>
    </xf>
    <xf numFmtId="0" fontId="38" fillId="0" borderId="2" xfId="0" applyFont="1" applyBorder="1"/>
    <xf numFmtId="0" fontId="38" fillId="0" borderId="3" xfId="0" applyFont="1" applyBorder="1"/>
    <xf numFmtId="0" fontId="39" fillId="0" borderId="4" xfId="0" applyFont="1" applyBorder="1" applyAlignment="1">
      <alignment horizontal="center" vertical="center"/>
    </xf>
    <xf numFmtId="0" fontId="38" fillId="0" borderId="5" xfId="0" applyFont="1" applyBorder="1"/>
    <xf numFmtId="0" fontId="38" fillId="0" borderId="6" xfId="0" applyFont="1" applyBorder="1"/>
    <xf numFmtId="0" fontId="43" fillId="0" borderId="0" xfId="0" applyFont="1" applyAlignment="1">
      <alignment horizontal="center" vertical="top"/>
    </xf>
    <xf numFmtId="0" fontId="0" fillId="0" borderId="0" xfId="0" applyAlignment="1">
      <alignment horizontal="center"/>
    </xf>
    <xf numFmtId="0" fontId="0" fillId="18" borderId="14" xfId="0" applyFill="1" applyBorder="1" applyAlignment="1" applyProtection="1">
      <alignment horizontal="left" vertical="top" wrapText="1"/>
      <protection locked="0"/>
    </xf>
    <xf numFmtId="0" fontId="0" fillId="18" borderId="15" xfId="0" applyFill="1" applyBorder="1" applyAlignment="1" applyProtection="1">
      <alignment horizontal="left" vertical="top" wrapText="1"/>
      <protection locked="0"/>
    </xf>
    <xf numFmtId="0" fontId="0" fillId="18" borderId="16" xfId="0" applyFill="1" applyBorder="1" applyAlignment="1" applyProtection="1">
      <alignment horizontal="left" vertical="top" wrapText="1"/>
      <protection locked="0"/>
    </xf>
    <xf numFmtId="0" fontId="0" fillId="18" borderId="17" xfId="0" applyFill="1" applyBorder="1" applyAlignment="1" applyProtection="1">
      <alignment horizontal="left" vertical="top" wrapText="1"/>
      <protection locked="0"/>
    </xf>
    <xf numFmtId="0" fontId="0" fillId="18" borderId="0" xfId="0" applyFill="1" applyAlignment="1" applyProtection="1">
      <alignment horizontal="left" vertical="top" wrapText="1"/>
      <protection locked="0"/>
    </xf>
    <xf numFmtId="0" fontId="0" fillId="18" borderId="18" xfId="0" applyFill="1" applyBorder="1" applyAlignment="1" applyProtection="1">
      <alignment horizontal="left" vertical="top" wrapText="1"/>
      <protection locked="0"/>
    </xf>
    <xf numFmtId="0" fontId="0" fillId="18" borderId="4" xfId="0" applyFill="1" applyBorder="1" applyAlignment="1" applyProtection="1">
      <alignment horizontal="left" vertical="top" wrapText="1"/>
      <protection locked="0"/>
    </xf>
    <xf numFmtId="0" fontId="0" fillId="18" borderId="5" xfId="0" applyFill="1" applyBorder="1" applyAlignment="1" applyProtection="1">
      <alignment horizontal="left" vertical="top" wrapText="1"/>
      <protection locked="0"/>
    </xf>
    <xf numFmtId="0" fontId="0" fillId="18" borderId="6" xfId="0" applyFill="1" applyBorder="1" applyAlignment="1" applyProtection="1">
      <alignment horizontal="left" vertical="top" wrapText="1"/>
      <protection locked="0"/>
    </xf>
    <xf numFmtId="0" fontId="7" fillId="0" borderId="12" xfId="0" applyFont="1" applyBorder="1" applyAlignment="1">
      <alignment wrapText="1"/>
    </xf>
    <xf numFmtId="0" fontId="7" fillId="0" borderId="13" xfId="0" applyFont="1" applyBorder="1" applyAlignment="1">
      <alignment wrapText="1"/>
    </xf>
    <xf numFmtId="0" fontId="10" fillId="0" borderId="14" xfId="0" applyFont="1" applyBorder="1" applyAlignment="1">
      <alignment horizontal="left" vertical="center"/>
    </xf>
    <xf numFmtId="0" fontId="5" fillId="0" borderId="15" xfId="0" applyFont="1" applyBorder="1" applyAlignment="1">
      <alignment horizontal="left" vertical="center"/>
    </xf>
    <xf numFmtId="0" fontId="5" fillId="0" borderId="15" xfId="0" applyFont="1" applyBorder="1" applyAlignment="1">
      <alignment vertical="center"/>
    </xf>
    <xf numFmtId="0" fontId="5" fillId="0" borderId="74" xfId="0" applyFont="1" applyBorder="1" applyAlignment="1">
      <alignment vertical="center"/>
    </xf>
    <xf numFmtId="0" fontId="7" fillId="0" borderId="11" xfId="0" applyFont="1" applyBorder="1" applyAlignment="1">
      <alignment horizontal="left" vertical="top" wrapText="1"/>
    </xf>
    <xf numFmtId="0" fontId="7" fillId="0" borderId="12" xfId="0" applyFont="1" applyBorder="1" applyAlignment="1">
      <alignment vertical="top" wrapText="1"/>
    </xf>
    <xf numFmtId="0" fontId="0" fillId="18" borderId="0" xfId="0" applyFill="1" applyAlignment="1" applyProtection="1">
      <alignment horizontal="left" vertical="top"/>
      <protection locked="0"/>
    </xf>
    <xf numFmtId="0" fontId="0" fillId="18" borderId="18" xfId="0" applyFill="1" applyBorder="1" applyProtection="1">
      <protection locked="0"/>
    </xf>
    <xf numFmtId="0" fontId="0" fillId="18" borderId="17" xfId="0" applyFill="1" applyBorder="1" applyAlignment="1" applyProtection="1">
      <alignment horizontal="left" vertical="top"/>
      <protection locked="0"/>
    </xf>
    <xf numFmtId="0" fontId="0" fillId="18" borderId="4" xfId="0" applyFill="1" applyBorder="1" applyAlignment="1" applyProtection="1">
      <alignment horizontal="left" vertical="top"/>
      <protection locked="0"/>
    </xf>
    <xf numFmtId="0" fontId="0" fillId="18" borderId="5" xfId="0" applyFill="1" applyBorder="1" applyAlignment="1" applyProtection="1">
      <alignment horizontal="left" vertical="top"/>
      <protection locked="0"/>
    </xf>
    <xf numFmtId="0" fontId="0" fillId="18" borderId="6" xfId="0" applyFill="1" applyBorder="1" applyProtection="1">
      <protection locked="0"/>
    </xf>
    <xf numFmtId="0" fontId="7" fillId="0" borderId="11" xfId="0" applyFont="1" applyBorder="1" applyAlignment="1">
      <alignment vertical="top" wrapText="1"/>
    </xf>
    <xf numFmtId="0" fontId="0" fillId="0" borderId="13" xfId="0" applyBorder="1" applyAlignment="1">
      <alignment wrapText="1"/>
    </xf>
    <xf numFmtId="0" fontId="0" fillId="18" borderId="16" xfId="0" applyFill="1" applyBorder="1" applyAlignment="1" applyProtection="1">
      <alignment wrapText="1"/>
      <protection locked="0"/>
    </xf>
    <xf numFmtId="0" fontId="0" fillId="18" borderId="18" xfId="0" applyFill="1" applyBorder="1" applyAlignment="1" applyProtection="1">
      <alignment wrapText="1"/>
      <protection locked="0"/>
    </xf>
    <xf numFmtId="0" fontId="0" fillId="18" borderId="6" xfId="0" applyFill="1" applyBorder="1" applyAlignment="1" applyProtection="1">
      <alignment wrapText="1"/>
      <protection locked="0"/>
    </xf>
    <xf numFmtId="0" fontId="10" fillId="0" borderId="102" xfId="0" applyFont="1" applyBorder="1" applyAlignment="1">
      <alignment horizontal="left" vertical="center" wrapText="1"/>
    </xf>
    <xf numFmtId="0" fontId="10" fillId="0" borderId="85" xfId="0" applyFont="1" applyBorder="1" applyAlignment="1">
      <alignment horizontal="left" vertical="center" wrapText="1"/>
    </xf>
    <xf numFmtId="0" fontId="10" fillId="0" borderId="85" xfId="0" applyFont="1" applyBorder="1" applyAlignment="1">
      <alignment vertical="center" wrapText="1"/>
    </xf>
    <xf numFmtId="0" fontId="10" fillId="0" borderId="92" xfId="0" applyFont="1" applyBorder="1" applyAlignment="1">
      <alignment vertical="center" wrapText="1"/>
    </xf>
    <xf numFmtId="0" fontId="7" fillId="0" borderId="12" xfId="0" applyFont="1" applyBorder="1" applyAlignment="1">
      <alignment horizontal="left" vertical="top" wrapText="1"/>
    </xf>
    <xf numFmtId="0" fontId="7" fillId="0" borderId="13" xfId="0" applyFont="1" applyBorder="1"/>
    <xf numFmtId="0" fontId="48" fillId="9" borderId="105" xfId="0" applyFont="1" applyFill="1" applyBorder="1" applyAlignment="1">
      <alignment wrapText="1"/>
    </xf>
    <xf numFmtId="0" fontId="48" fillId="9" borderId="97" xfId="0" applyFont="1" applyFill="1" applyBorder="1"/>
    <xf numFmtId="0" fontId="11" fillId="18" borderId="82" xfId="0" applyFont="1" applyFill="1" applyBorder="1" applyAlignment="1" applyProtection="1">
      <alignment horizontal="center" vertical="center"/>
      <protection locked="0"/>
    </xf>
    <xf numFmtId="0" fontId="11" fillId="18" borderId="13" xfId="0" applyFont="1" applyFill="1" applyBorder="1" applyAlignment="1" applyProtection="1">
      <alignment horizontal="center" vertical="center"/>
      <protection locked="0"/>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48" xfId="0" applyFont="1" applyBorder="1" applyAlignment="1">
      <alignment horizontal="left" vertical="center"/>
    </xf>
    <xf numFmtId="0" fontId="10" fillId="0" borderId="46" xfId="0" applyFont="1" applyBorder="1" applyAlignment="1">
      <alignment horizontal="left" vertical="center"/>
    </xf>
    <xf numFmtId="0" fontId="11" fillId="18" borderId="46" xfId="0" applyFont="1" applyFill="1" applyBorder="1" applyAlignment="1" applyProtection="1">
      <alignment horizontal="center" vertical="center" wrapText="1"/>
      <protection locked="0"/>
    </xf>
    <xf numFmtId="0" fontId="11" fillId="18" borderId="48" xfId="0" applyFont="1" applyFill="1" applyBorder="1" applyAlignment="1" applyProtection="1">
      <alignment horizontal="center" vertical="center" wrapText="1"/>
      <protection locked="0"/>
    </xf>
    <xf numFmtId="0" fontId="11" fillId="9" borderId="94" xfId="0" applyFont="1" applyFill="1" applyBorder="1" applyAlignment="1">
      <alignment horizontal="center" vertical="center" wrapText="1"/>
    </xf>
    <xf numFmtId="0" fontId="11" fillId="9" borderId="95" xfId="0" applyFont="1" applyFill="1" applyBorder="1" applyAlignment="1">
      <alignment horizontal="center" vertical="center" wrapText="1"/>
    </xf>
    <xf numFmtId="0" fontId="11" fillId="9" borderId="93" xfId="0" applyFont="1" applyFill="1" applyBorder="1" applyAlignment="1">
      <alignment horizontal="center" vertical="center" wrapText="1"/>
    </xf>
    <xf numFmtId="0" fontId="11" fillId="9" borderId="98" xfId="0" applyFont="1" applyFill="1" applyBorder="1" applyAlignment="1">
      <alignment horizontal="center" vertical="center" wrapText="1"/>
    </xf>
    <xf numFmtId="0" fontId="12" fillId="9" borderId="96" xfId="0" applyFont="1" applyFill="1" applyBorder="1" applyAlignment="1">
      <alignment horizontal="center" vertical="center"/>
    </xf>
    <xf numFmtId="0" fontId="12" fillId="9" borderId="99" xfId="0" applyFont="1" applyFill="1" applyBorder="1" applyAlignment="1">
      <alignment horizontal="center" vertical="center"/>
    </xf>
    <xf numFmtId="0" fontId="12" fillId="9" borderId="100" xfId="0" applyFont="1" applyFill="1" applyBorder="1" applyAlignment="1">
      <alignment horizontal="center" vertical="center"/>
    </xf>
    <xf numFmtId="0" fontId="12" fillId="9" borderId="97" xfId="0" applyFont="1" applyFill="1" applyBorder="1" applyAlignment="1">
      <alignment horizontal="center" vertical="center"/>
    </xf>
    <xf numFmtId="0" fontId="11" fillId="9" borderId="96" xfId="0" applyFont="1" applyFill="1" applyBorder="1" applyAlignment="1">
      <alignment horizontal="center" vertical="center" wrapText="1"/>
    </xf>
    <xf numFmtId="0" fontId="11" fillId="9" borderId="99" xfId="0" applyFont="1" applyFill="1" applyBorder="1" applyAlignment="1">
      <alignment horizontal="center" vertical="center" wrapText="1"/>
    </xf>
    <xf numFmtId="0" fontId="7" fillId="18" borderId="46" xfId="0" applyFont="1" applyFill="1" applyBorder="1" applyAlignment="1" applyProtection="1">
      <alignment horizontal="center" vertical="center"/>
      <protection locked="0"/>
    </xf>
    <xf numFmtId="0" fontId="7" fillId="18" borderId="48" xfId="0" applyFont="1" applyFill="1" applyBorder="1" applyAlignment="1" applyProtection="1">
      <alignment horizontal="center" vertical="center"/>
      <protection locked="0"/>
    </xf>
    <xf numFmtId="0" fontId="10" fillId="0" borderId="84" xfId="0" applyFont="1" applyBorder="1" applyAlignment="1">
      <alignment horizontal="left" vertical="top" wrapText="1"/>
    </xf>
    <xf numFmtId="0" fontId="10" fillId="0" borderId="85" xfId="0" applyFont="1" applyBorder="1" applyAlignment="1">
      <alignment horizontal="left" vertical="top" wrapText="1"/>
    </xf>
    <xf numFmtId="0" fontId="10" fillId="0" borderId="85" xfId="0" applyFont="1" applyBorder="1" applyAlignment="1">
      <alignment vertical="top" wrapText="1"/>
    </xf>
    <xf numFmtId="0" fontId="7" fillId="0" borderId="85" xfId="0" applyFont="1" applyBorder="1" applyAlignment="1">
      <alignment vertical="top" wrapText="1"/>
    </xf>
    <xf numFmtId="0" fontId="7" fillId="0" borderId="90" xfId="0" applyFont="1" applyBorder="1" applyAlignment="1">
      <alignment vertical="top" wrapText="1"/>
    </xf>
    <xf numFmtId="0" fontId="7" fillId="0" borderId="36" xfId="0" applyFont="1" applyBorder="1" applyAlignment="1">
      <alignment horizontal="right" vertical="center" wrapText="1"/>
    </xf>
    <xf numFmtId="0" fontId="7" fillId="0" borderId="25" xfId="0" applyFont="1" applyBorder="1" applyAlignment="1">
      <alignment horizontal="right" vertical="center" wrapText="1"/>
    </xf>
    <xf numFmtId="2" fontId="46" fillId="5" borderId="39" xfId="0" applyNumberFormat="1" applyFont="1" applyFill="1" applyBorder="1" applyAlignment="1">
      <alignment horizontal="center" vertical="center"/>
    </xf>
    <xf numFmtId="2" fontId="46" fillId="5" borderId="23" xfId="0" applyNumberFormat="1" applyFont="1" applyFill="1" applyBorder="1" applyAlignment="1">
      <alignment horizontal="center" vertical="center"/>
    </xf>
    <xf numFmtId="2" fontId="7" fillId="6" borderId="75" xfId="0" applyNumberFormat="1" applyFont="1" applyFill="1" applyBorder="1" applyAlignment="1">
      <alignment horizontal="right" vertical="center" wrapText="1"/>
    </xf>
    <xf numFmtId="2" fontId="7" fillId="6" borderId="68" xfId="0" applyNumberFormat="1" applyFont="1" applyFill="1" applyBorder="1" applyAlignment="1">
      <alignment horizontal="right" vertical="center" wrapText="1"/>
    </xf>
    <xf numFmtId="2" fontId="7" fillId="6" borderId="79" xfId="0" applyNumberFormat="1" applyFont="1" applyFill="1" applyBorder="1" applyAlignment="1">
      <alignment horizontal="right" vertical="center" wrapText="1"/>
    </xf>
    <xf numFmtId="2" fontId="7" fillId="6" borderId="45" xfId="0" applyNumberFormat="1" applyFont="1" applyFill="1" applyBorder="1" applyAlignment="1">
      <alignment horizontal="right" vertical="center" wrapText="1"/>
    </xf>
    <xf numFmtId="2" fontId="7" fillId="6" borderId="33" xfId="0" applyNumberFormat="1" applyFont="1" applyFill="1" applyBorder="1" applyAlignment="1">
      <alignment horizontal="right" vertical="center" wrapText="1"/>
    </xf>
    <xf numFmtId="2" fontId="7" fillId="6" borderId="22" xfId="0" applyNumberFormat="1" applyFont="1" applyFill="1" applyBorder="1" applyAlignment="1">
      <alignment horizontal="right" vertical="center" wrapText="1"/>
    </xf>
    <xf numFmtId="0" fontId="7" fillId="0" borderId="41" xfId="0" applyFont="1" applyBorder="1" applyAlignment="1">
      <alignment horizontal="right" vertical="center" wrapText="1"/>
    </xf>
    <xf numFmtId="0" fontId="7" fillId="0" borderId="44" xfId="0" applyFont="1" applyBorder="1" applyAlignment="1">
      <alignment horizontal="right" vertical="center" wrapText="1"/>
    </xf>
    <xf numFmtId="0" fontId="7" fillId="0" borderId="79" xfId="0" applyFont="1" applyBorder="1" applyAlignment="1">
      <alignment horizontal="right" vertical="center" wrapText="1"/>
    </xf>
    <xf numFmtId="0" fontId="7" fillId="0" borderId="50" xfId="0" applyFont="1" applyBorder="1" applyAlignment="1">
      <alignment horizontal="right" vertical="center" wrapText="1"/>
    </xf>
    <xf numFmtId="0" fontId="11" fillId="0" borderId="75" xfId="0" applyFont="1" applyBorder="1" applyAlignment="1">
      <alignment horizontal="right" vertical="center" wrapText="1"/>
    </xf>
    <xf numFmtId="0" fontId="11" fillId="0" borderId="68" xfId="0" applyFont="1" applyBorder="1" applyAlignment="1">
      <alignment horizontal="right" vertical="center" wrapText="1"/>
    </xf>
    <xf numFmtId="0" fontId="12" fillId="4" borderId="75" xfId="0" applyFont="1" applyFill="1" applyBorder="1" applyAlignment="1">
      <alignment horizontal="center" vertical="top" wrapText="1"/>
    </xf>
    <xf numFmtId="0" fontId="12" fillId="4" borderId="68" xfId="0" applyFont="1" applyFill="1" applyBorder="1" applyAlignment="1">
      <alignment horizontal="center" vertical="top" wrapText="1"/>
    </xf>
    <xf numFmtId="0" fontId="7" fillId="4" borderId="35"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0" borderId="33" xfId="0" applyFont="1" applyBorder="1" applyAlignment="1">
      <alignment horizontal="right" vertical="center" wrapText="1"/>
    </xf>
    <xf numFmtId="0" fontId="7" fillId="0" borderId="21" xfId="0" applyFont="1" applyBorder="1" applyAlignment="1">
      <alignment horizontal="right" vertical="center" wrapText="1"/>
    </xf>
    <xf numFmtId="0" fontId="7" fillId="0" borderId="24" xfId="0" applyFont="1" applyBorder="1" applyAlignment="1">
      <alignment horizontal="right" vertical="center" wrapText="1"/>
    </xf>
    <xf numFmtId="0" fontId="7" fillId="0" borderId="22" xfId="0" applyFont="1" applyBorder="1"/>
    <xf numFmtId="2" fontId="7" fillId="4" borderId="69" xfId="0" applyNumberFormat="1" applyFont="1" applyFill="1" applyBorder="1" applyAlignment="1">
      <alignment horizontal="center" vertical="center"/>
    </xf>
    <xf numFmtId="0" fontId="10" fillId="0" borderId="59" xfId="0" applyFont="1" applyBorder="1" applyAlignment="1">
      <alignment horizontal="center" vertical="top" wrapText="1"/>
    </xf>
    <xf numFmtId="0" fontId="11" fillId="0" borderId="60" xfId="0" applyFont="1" applyBorder="1" applyAlignment="1">
      <alignment vertical="top" wrapText="1"/>
    </xf>
    <xf numFmtId="0" fontId="11" fillId="0" borderId="61" xfId="0" applyFont="1" applyBorder="1" applyAlignment="1">
      <alignment vertical="top" wrapText="1"/>
    </xf>
    <xf numFmtId="0" fontId="7" fillId="6" borderId="40" xfId="0" applyFont="1" applyFill="1" applyBorder="1" applyAlignment="1">
      <alignment horizontal="center" vertical="center"/>
    </xf>
    <xf numFmtId="0" fontId="7" fillId="0" borderId="25" xfId="0" applyFont="1" applyBorder="1"/>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90" xfId="0" applyFont="1" applyBorder="1" applyAlignment="1">
      <alignment horizontal="left" vertical="center" wrapText="1"/>
    </xf>
    <xf numFmtId="0" fontId="12" fillId="0" borderId="14" xfId="0" applyFont="1" applyBorder="1" applyAlignment="1">
      <alignment horizontal="center" vertical="top" wrapText="1"/>
    </xf>
    <xf numFmtId="0" fontId="12" fillId="0" borderId="53" xfId="0" applyFont="1" applyBorder="1" applyAlignment="1">
      <alignment horizontal="center" vertical="top" wrapText="1"/>
    </xf>
    <xf numFmtId="2" fontId="7" fillId="5" borderId="40" xfId="0" applyNumberFormat="1" applyFont="1" applyFill="1" applyBorder="1" applyAlignment="1">
      <alignment horizontal="center" vertical="center" wrapText="1"/>
    </xf>
    <xf numFmtId="2" fontId="7" fillId="5" borderId="19" xfId="0" applyNumberFormat="1" applyFont="1" applyFill="1" applyBorder="1" applyAlignment="1">
      <alignment horizontal="center" vertical="center" wrapText="1"/>
    </xf>
    <xf numFmtId="2" fontId="46" fillId="0" borderId="20" xfId="0" applyNumberFormat="1" applyFont="1" applyBorder="1" applyAlignment="1">
      <alignment horizontal="center" vertical="center"/>
    </xf>
    <xf numFmtId="0" fontId="12" fillId="0" borderId="59" xfId="0" applyFont="1" applyBorder="1" applyAlignment="1">
      <alignment horizontal="center" vertical="top" wrapText="1"/>
    </xf>
    <xf numFmtId="0" fontId="12" fillId="0" borderId="61" xfId="0" applyFont="1" applyBorder="1" applyAlignment="1">
      <alignment horizontal="center" vertical="top" wrapText="1"/>
    </xf>
    <xf numFmtId="0" fontId="10" fillId="0" borderId="30" xfId="0" applyFont="1" applyBorder="1" applyAlignment="1">
      <alignment horizontal="left" vertical="top" wrapText="1"/>
    </xf>
    <xf numFmtId="0" fontId="10" fillId="0" borderId="15" xfId="0" applyFont="1" applyBorder="1" applyAlignment="1">
      <alignment horizontal="left" vertical="top" wrapText="1"/>
    </xf>
    <xf numFmtId="0" fontId="10" fillId="0" borderId="15"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10" fillId="0" borderId="75" xfId="0" applyFont="1" applyBorder="1" applyAlignment="1">
      <alignment horizontal="center" vertical="top"/>
    </xf>
    <xf numFmtId="0" fontId="10" fillId="0" borderId="68" xfId="0" applyFont="1" applyBorder="1" applyAlignment="1">
      <alignment horizontal="center" vertical="top"/>
    </xf>
    <xf numFmtId="0" fontId="14" fillId="0" borderId="84" xfId="0" applyFont="1" applyBorder="1" applyAlignment="1">
      <alignment horizontal="left" vertical="top" wrapText="1"/>
    </xf>
    <xf numFmtId="0" fontId="7" fillId="0" borderId="85" xfId="0" applyFont="1" applyBorder="1" applyAlignment="1">
      <alignment horizontal="left" vertical="top"/>
    </xf>
    <xf numFmtId="0" fontId="7" fillId="0" borderId="90" xfId="0" applyFont="1" applyBorder="1" applyAlignment="1">
      <alignment horizontal="left" vertical="top"/>
    </xf>
    <xf numFmtId="0" fontId="7" fillId="0" borderId="42" xfId="0" applyFont="1" applyBorder="1" applyAlignment="1">
      <alignment horizontal="right" vertical="center" wrapText="1"/>
    </xf>
    <xf numFmtId="0" fontId="14" fillId="0" borderId="84" xfId="0" applyFont="1" applyBorder="1" applyAlignment="1">
      <alignment horizontal="left" vertical="center" wrapText="1"/>
    </xf>
    <xf numFmtId="2" fontId="46" fillId="5" borderId="89" xfId="0" applyNumberFormat="1" applyFont="1" applyFill="1" applyBorder="1" applyAlignment="1">
      <alignment horizontal="center" vertical="center"/>
    </xf>
    <xf numFmtId="0" fontId="12" fillId="0" borderId="59" xfId="0" applyFont="1" applyBorder="1" applyAlignment="1">
      <alignment horizontal="center" vertical="top"/>
    </xf>
    <xf numFmtId="0" fontId="12" fillId="0" borderId="62" xfId="0" applyFont="1" applyBorder="1" applyAlignment="1">
      <alignment horizontal="center" vertical="top"/>
    </xf>
    <xf numFmtId="0" fontId="10" fillId="0" borderId="85" xfId="0" applyFont="1" applyBorder="1" applyAlignment="1">
      <alignment horizontal="left" vertical="top"/>
    </xf>
    <xf numFmtId="0" fontId="10" fillId="0" borderId="85" xfId="0" applyFont="1" applyBorder="1" applyAlignment="1">
      <alignment vertical="top"/>
    </xf>
    <xf numFmtId="0" fontId="7" fillId="0" borderId="85" xfId="0" applyFont="1" applyBorder="1" applyAlignment="1">
      <alignment vertical="top"/>
    </xf>
    <xf numFmtId="0" fontId="7" fillId="0" borderId="90" xfId="0" applyFont="1" applyBorder="1" applyAlignment="1">
      <alignment vertical="top"/>
    </xf>
    <xf numFmtId="0" fontId="0" fillId="0" borderId="108" xfId="0" applyBorder="1" applyAlignment="1">
      <alignment horizontal="right" vertical="center" wrapText="1"/>
    </xf>
    <xf numFmtId="0" fontId="0" fillId="0" borderId="5" xfId="0" applyBorder="1" applyAlignment="1">
      <alignment horizontal="right" vertical="center" wrapText="1"/>
    </xf>
    <xf numFmtId="0" fontId="7" fillId="6" borderId="40" xfId="0" applyFont="1" applyFill="1" applyBorder="1" applyAlignment="1">
      <alignment horizontal="center" vertical="center" wrapText="1"/>
    </xf>
    <xf numFmtId="0" fontId="12" fillId="0" borderId="60" xfId="0" applyFont="1" applyBorder="1" applyAlignment="1">
      <alignment horizontal="center" vertical="top" wrapText="1"/>
    </xf>
    <xf numFmtId="0" fontId="10" fillId="13" borderId="26" xfId="0" applyFont="1" applyFill="1" applyBorder="1" applyAlignment="1">
      <alignment horizontal="center" vertical="center"/>
    </xf>
    <xf numFmtId="0" fontId="10" fillId="13" borderId="27" xfId="0" applyFont="1" applyFill="1" applyBorder="1" applyAlignment="1">
      <alignment horizontal="center" vertical="center"/>
    </xf>
    <xf numFmtId="0" fontId="10" fillId="13" borderId="28" xfId="0" applyFont="1" applyFill="1" applyBorder="1" applyAlignment="1">
      <alignment horizontal="center" vertical="center"/>
    </xf>
    <xf numFmtId="0" fontId="0" fillId="0" borderId="79" xfId="0" applyBorder="1" applyAlignment="1">
      <alignment horizontal="right" vertical="center" wrapText="1"/>
    </xf>
    <xf numFmtId="0" fontId="0" fillId="0" borderId="50" xfId="0" applyBorder="1" applyAlignment="1">
      <alignment horizontal="right" vertical="center" wrapText="1"/>
    </xf>
    <xf numFmtId="0" fontId="0" fillId="6" borderId="35" xfId="0" applyFill="1" applyBorder="1" applyAlignment="1">
      <alignment horizontal="center" vertical="center" wrapText="1"/>
    </xf>
    <xf numFmtId="0" fontId="0" fillId="6" borderId="38" xfId="0" applyFill="1" applyBorder="1" applyAlignment="1">
      <alignment horizontal="center" vertical="center" wrapText="1"/>
    </xf>
    <xf numFmtId="0" fontId="18" fillId="0" borderId="84" xfId="0" applyFont="1" applyBorder="1" applyAlignment="1">
      <alignment horizontal="left" vertical="top" wrapText="1"/>
    </xf>
    <xf numFmtId="0" fontId="7" fillId="6" borderId="35" xfId="0" applyFont="1" applyFill="1" applyBorder="1" applyAlignment="1">
      <alignment horizontal="center" vertical="center" wrapText="1"/>
    </xf>
    <xf numFmtId="2" fontId="46" fillId="5" borderId="20" xfId="0" applyNumberFormat="1" applyFont="1" applyFill="1" applyBorder="1" applyAlignment="1">
      <alignment horizontal="center" vertical="center"/>
    </xf>
    <xf numFmtId="0" fontId="10" fillId="0" borderId="76" xfId="0" applyFont="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vertical="top" wrapText="1"/>
    </xf>
    <xf numFmtId="0" fontId="7" fillId="0" borderId="0" xfId="0" applyFont="1" applyAlignment="1">
      <alignment vertical="top" wrapText="1"/>
    </xf>
    <xf numFmtId="0" fontId="7" fillId="0" borderId="18" xfId="0" applyFont="1" applyBorder="1" applyAlignment="1">
      <alignment vertical="top" wrapText="1"/>
    </xf>
    <xf numFmtId="0" fontId="7" fillId="0" borderId="24" xfId="0" applyFont="1" applyBorder="1"/>
    <xf numFmtId="0" fontId="14" fillId="0" borderId="27"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47" xfId="0" applyFont="1" applyBorder="1" applyAlignment="1">
      <alignment horizontal="right" vertical="center" wrapText="1"/>
    </xf>
    <xf numFmtId="0" fontId="7" fillId="0" borderId="70" xfId="0" applyFont="1" applyBorder="1" applyAlignment="1">
      <alignment horizontal="right" vertical="center" wrapText="1"/>
    </xf>
    <xf numFmtId="0" fontId="7" fillId="0" borderId="75" xfId="0" applyFont="1" applyBorder="1" applyAlignment="1">
      <alignment horizontal="right" vertical="center" wrapText="1"/>
    </xf>
    <xf numFmtId="0" fontId="7" fillId="0" borderId="68" xfId="0" applyFont="1" applyBorder="1" applyAlignment="1">
      <alignment horizontal="right" vertical="center" wrapText="1"/>
    </xf>
    <xf numFmtId="2" fontId="7" fillId="4" borderId="68" xfId="0" applyNumberFormat="1" applyFont="1" applyFill="1" applyBorder="1" applyAlignment="1">
      <alignment horizontal="center" vertical="center"/>
    </xf>
    <xf numFmtId="0" fontId="10" fillId="0" borderId="61" xfId="0" applyFont="1" applyBorder="1" applyAlignment="1">
      <alignment horizontal="center" vertical="top" wrapText="1"/>
    </xf>
    <xf numFmtId="2" fontId="46" fillId="5" borderId="86" xfId="0" applyNumberFormat="1" applyFont="1" applyFill="1" applyBorder="1" applyAlignment="1">
      <alignment horizontal="center" vertical="center"/>
    </xf>
    <xf numFmtId="0" fontId="10" fillId="0" borderId="33" xfId="0" applyFont="1" applyBorder="1" applyAlignment="1">
      <alignment horizontal="left" vertical="top" wrapText="1"/>
    </xf>
    <xf numFmtId="0" fontId="10" fillId="0" borderId="21" xfId="0" applyFont="1" applyBorder="1" applyAlignment="1">
      <alignment horizontal="left" vertical="top" wrapText="1"/>
    </xf>
    <xf numFmtId="0" fontId="10" fillId="0" borderId="21" xfId="0" applyFont="1" applyBorder="1" applyAlignment="1">
      <alignment vertical="top" wrapText="1"/>
    </xf>
    <xf numFmtId="0" fontId="7" fillId="0" borderId="21" xfId="0" applyFont="1" applyBorder="1" applyAlignment="1">
      <alignment vertical="top" wrapText="1"/>
    </xf>
    <xf numFmtId="0" fontId="7" fillId="0" borderId="34" xfId="0" applyFont="1" applyBorder="1" applyAlignment="1">
      <alignment vertical="top" wrapText="1"/>
    </xf>
    <xf numFmtId="0" fontId="12" fillId="0" borderId="36" xfId="0" applyFont="1" applyBorder="1" applyAlignment="1">
      <alignment horizontal="left" vertical="top"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80" xfId="0" applyFont="1" applyBorder="1" applyAlignment="1">
      <alignment horizontal="left" vertical="top" wrapText="1"/>
    </xf>
    <xf numFmtId="0" fontId="7" fillId="0" borderId="84" xfId="0" applyFont="1" applyBorder="1" applyAlignment="1">
      <alignment horizontal="left" vertical="top" wrapText="1"/>
    </xf>
    <xf numFmtId="0" fontId="7" fillId="0" borderId="85" xfId="0" applyFont="1" applyBorder="1" applyAlignment="1">
      <alignment horizontal="left" vertical="top" wrapText="1"/>
    </xf>
    <xf numFmtId="0" fontId="7" fillId="0" borderId="92" xfId="0" applyFont="1" applyBorder="1" applyAlignment="1">
      <alignment horizontal="left" vertical="top" wrapText="1"/>
    </xf>
    <xf numFmtId="0" fontId="10" fillId="6" borderId="37" xfId="0" applyFont="1" applyFill="1" applyBorder="1" applyAlignment="1">
      <alignment horizontal="center" vertical="top" wrapText="1"/>
    </xf>
    <xf numFmtId="0" fontId="7" fillId="6" borderId="37" xfId="0" applyFont="1" applyFill="1" applyBorder="1" applyAlignment="1">
      <alignment horizontal="center" vertical="top" wrapText="1"/>
    </xf>
    <xf numFmtId="0" fontId="7" fillId="6" borderId="37"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0" borderId="76" xfId="0" applyFont="1" applyBorder="1" applyAlignment="1">
      <alignment horizontal="right" vertical="center" wrapText="1"/>
    </xf>
    <xf numFmtId="0" fontId="7" fillId="0" borderId="0" xfId="0" applyFont="1" applyAlignment="1">
      <alignment horizontal="right" vertical="center" wrapText="1"/>
    </xf>
    <xf numFmtId="0" fontId="10" fillId="0" borderId="36" xfId="0" applyFont="1" applyBorder="1" applyAlignment="1">
      <alignment horizontal="left" vertical="top" wrapText="1"/>
    </xf>
    <xf numFmtId="0" fontId="10" fillId="0" borderId="24" xfId="0" applyFont="1" applyBorder="1" applyAlignment="1">
      <alignment horizontal="left" vertical="top" wrapText="1"/>
    </xf>
    <xf numFmtId="0" fontId="66" fillId="0" borderId="7" xfId="0" applyFont="1" applyBorder="1" applyAlignment="1">
      <alignment horizontal="center" vertical="center" wrapText="1"/>
    </xf>
    <xf numFmtId="0" fontId="66" fillId="0" borderId="8" xfId="0" applyFont="1" applyBorder="1" applyAlignment="1">
      <alignment horizontal="center" vertical="center" wrapText="1"/>
    </xf>
    <xf numFmtId="0" fontId="66" fillId="0" borderId="2" xfId="0" applyFont="1" applyBorder="1" applyAlignment="1">
      <alignment horizontal="center" vertical="center" wrapText="1"/>
    </xf>
    <xf numFmtId="0" fontId="66" fillId="0" borderId="9" xfId="0" applyFont="1" applyBorder="1" applyAlignment="1">
      <alignment horizontal="center" vertical="center" wrapText="1"/>
    </xf>
    <xf numFmtId="0" fontId="24" fillId="0" borderId="50" xfId="0" applyFont="1" applyBorder="1" applyAlignment="1">
      <alignment horizontal="center" vertical="center"/>
    </xf>
    <xf numFmtId="0" fontId="29" fillId="13" borderId="26" xfId="0" applyFont="1" applyFill="1" applyBorder="1" applyAlignment="1">
      <alignment horizontal="center" vertical="center" wrapText="1"/>
    </xf>
    <xf numFmtId="0" fontId="29" fillId="13" borderId="27" xfId="0" applyFont="1" applyFill="1" applyBorder="1" applyAlignment="1">
      <alignment horizontal="center" vertical="center" wrapText="1"/>
    </xf>
    <xf numFmtId="0" fontId="29" fillId="13" borderId="28" xfId="0" applyFont="1" applyFill="1" applyBorder="1" applyAlignment="1">
      <alignment horizontal="center" vertical="center" wrapText="1"/>
    </xf>
    <xf numFmtId="0" fontId="10" fillId="15" borderId="29" xfId="0" applyFont="1" applyFill="1" applyBorder="1" applyAlignment="1">
      <alignment horizontal="center" vertical="center" wrapText="1"/>
    </xf>
    <xf numFmtId="0" fontId="10" fillId="0" borderId="73" xfId="0" applyFont="1" applyBorder="1" applyAlignment="1">
      <alignment horizontal="center" vertical="center" wrapText="1"/>
    </xf>
    <xf numFmtId="0" fontId="7" fillId="0" borderId="72" xfId="0" applyFont="1" applyBorder="1" applyAlignment="1">
      <alignment horizontal="center" vertical="center" wrapText="1"/>
    </xf>
    <xf numFmtId="0" fontId="11" fillId="22" borderId="73" xfId="0" applyFont="1" applyFill="1" applyBorder="1" applyAlignment="1">
      <alignment horizontal="center" vertical="center" wrapText="1"/>
    </xf>
    <xf numFmtId="0" fontId="11" fillId="22" borderId="72" xfId="0" applyFont="1" applyFill="1" applyBorder="1" applyAlignment="1">
      <alignment horizontal="center" vertical="center" wrapText="1"/>
    </xf>
    <xf numFmtId="0" fontId="11" fillId="0" borderId="36" xfId="0" applyFont="1" applyBorder="1" applyAlignment="1">
      <alignment horizontal="left" vertical="top" wrapText="1"/>
    </xf>
    <xf numFmtId="0" fontId="11" fillId="0" borderId="24" xfId="0" applyFont="1" applyBorder="1" applyAlignment="1">
      <alignment horizontal="left" vertical="top" wrapText="1"/>
    </xf>
    <xf numFmtId="2" fontId="46" fillId="5" borderId="75" xfId="0" applyNumberFormat="1" applyFont="1" applyFill="1" applyBorder="1" applyAlignment="1">
      <alignment horizontal="center" vertical="center"/>
    </xf>
    <xf numFmtId="2" fontId="46" fillId="5" borderId="33" xfId="0" applyNumberFormat="1" applyFont="1" applyFill="1" applyBorder="1" applyAlignment="1">
      <alignment horizontal="center" vertical="center"/>
    </xf>
    <xf numFmtId="0" fontId="11" fillId="0" borderId="37" xfId="0" applyFont="1" applyBorder="1" applyAlignment="1">
      <alignment horizontal="right" vertical="center" wrapText="1"/>
    </xf>
    <xf numFmtId="0" fontId="11" fillId="9" borderId="31"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74" xfId="0" applyFont="1" applyFill="1" applyBorder="1" applyAlignment="1">
      <alignment horizontal="center" vertical="center" wrapText="1"/>
    </xf>
    <xf numFmtId="0" fontId="11" fillId="9" borderId="78" xfId="0" applyFont="1" applyFill="1" applyBorder="1" applyAlignment="1">
      <alignment horizontal="center" vertical="center" wrapText="1"/>
    </xf>
    <xf numFmtId="0" fontId="11" fillId="9" borderId="50" xfId="0" applyFont="1" applyFill="1" applyBorder="1" applyAlignment="1">
      <alignment horizontal="center" vertical="center" wrapText="1"/>
    </xf>
    <xf numFmtId="0" fontId="11" fillId="9" borderId="77" xfId="0" applyFont="1" applyFill="1" applyBorder="1" applyAlignment="1">
      <alignment horizontal="center" vertical="center" wrapText="1"/>
    </xf>
    <xf numFmtId="0" fontId="10" fillId="0" borderId="72" xfId="0" applyFont="1" applyBorder="1" applyAlignment="1">
      <alignment horizontal="center" vertical="center" wrapText="1"/>
    </xf>
    <xf numFmtId="0" fontId="7" fillId="12" borderId="46" xfId="0" applyFont="1" applyFill="1" applyBorder="1" applyAlignment="1">
      <alignment horizontal="center" vertical="center"/>
    </xf>
    <xf numFmtId="0" fontId="7" fillId="12" borderId="27" xfId="0" applyFont="1" applyFill="1" applyBorder="1" applyAlignment="1">
      <alignment horizontal="center" vertical="center"/>
    </xf>
    <xf numFmtId="0" fontId="7" fillId="12" borderId="48" xfId="0" applyFont="1" applyFill="1" applyBorder="1" applyAlignment="1">
      <alignment horizontal="center" vertical="center"/>
    </xf>
    <xf numFmtId="0" fontId="7" fillId="5" borderId="46"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48" xfId="0" applyFont="1" applyFill="1" applyBorder="1" applyAlignment="1">
      <alignment horizontal="center" vertical="center"/>
    </xf>
    <xf numFmtId="0" fontId="11" fillId="0" borderId="24" xfId="0" applyFont="1" applyBorder="1" applyAlignment="1">
      <alignment horizontal="right" vertical="center" wrapText="1"/>
    </xf>
    <xf numFmtId="0" fontId="29" fillId="0" borderId="91" xfId="0" applyFont="1" applyBorder="1" applyAlignment="1">
      <alignment horizontal="center" vertical="top" wrapText="1"/>
    </xf>
    <xf numFmtId="0" fontId="20" fillId="0" borderId="83" xfId="0" applyFont="1" applyBorder="1" applyAlignment="1">
      <alignment horizontal="center" vertical="top" wrapText="1"/>
    </xf>
    <xf numFmtId="0" fontId="12" fillId="0" borderId="30" xfId="0" applyFont="1" applyBorder="1" applyAlignment="1">
      <alignment horizontal="left" vertical="top" wrapText="1"/>
    </xf>
    <xf numFmtId="0" fontId="30" fillId="0" borderId="15" xfId="0" applyFont="1" applyBorder="1" applyAlignment="1">
      <alignment horizontal="left" vertical="top" wrapText="1"/>
    </xf>
    <xf numFmtId="0" fontId="30" fillId="0" borderId="74" xfId="0" applyFont="1" applyBorder="1" applyAlignment="1">
      <alignment horizontal="left" vertical="top" wrapText="1"/>
    </xf>
    <xf numFmtId="0" fontId="12" fillId="11" borderId="102" xfId="0" applyFont="1" applyFill="1" applyBorder="1" applyAlignment="1">
      <alignment horizontal="left" vertical="top" wrapText="1"/>
    </xf>
    <xf numFmtId="0" fontId="30" fillId="11" borderId="85" xfId="0" applyFont="1" applyFill="1" applyBorder="1" applyAlignment="1">
      <alignment horizontal="left" vertical="top"/>
    </xf>
    <xf numFmtId="0" fontId="30" fillId="11" borderId="74" xfId="0" applyFont="1" applyFill="1" applyBorder="1" applyAlignment="1">
      <alignment horizontal="left" vertical="top"/>
    </xf>
    <xf numFmtId="0" fontId="25" fillId="0" borderId="61" xfId="0" applyFont="1" applyBorder="1" applyAlignment="1">
      <alignment horizontal="center" vertical="top" wrapText="1"/>
    </xf>
    <xf numFmtId="49" fontId="11" fillId="0" borderId="84" xfId="0" applyNumberFormat="1" applyFont="1" applyBorder="1" applyAlignment="1">
      <alignment horizontal="left" vertical="top" wrapText="1"/>
    </xf>
    <xf numFmtId="49" fontId="22" fillId="0" borderId="85" xfId="0" applyNumberFormat="1" applyFont="1" applyBorder="1" applyAlignment="1">
      <alignment horizontal="left" vertical="top" wrapText="1"/>
    </xf>
    <xf numFmtId="49" fontId="22" fillId="0" borderId="85" xfId="0" applyNumberFormat="1" applyFont="1" applyBorder="1" applyAlignment="1">
      <alignment vertical="top" wrapText="1"/>
    </xf>
    <xf numFmtId="49" fontId="26" fillId="0" borderId="85" xfId="0" applyNumberFormat="1" applyFont="1" applyBorder="1" applyAlignment="1">
      <alignment vertical="top" wrapText="1"/>
    </xf>
    <xf numFmtId="49" fontId="26" fillId="0" borderId="16" xfId="0" applyNumberFormat="1" applyFont="1" applyBorder="1" applyAlignment="1">
      <alignment vertical="top" wrapText="1"/>
    </xf>
    <xf numFmtId="0" fontId="7" fillId="0" borderId="76"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7" fillId="0" borderId="71" xfId="0" applyFont="1" applyBorder="1" applyAlignment="1">
      <alignment vertical="top" wrapText="1"/>
    </xf>
    <xf numFmtId="0" fontId="22" fillId="0" borderId="85" xfId="0" applyFont="1" applyBorder="1" applyAlignment="1">
      <alignment horizontal="left" vertical="top" wrapText="1"/>
    </xf>
    <xf numFmtId="0" fontId="22" fillId="0" borderId="85" xfId="0" applyFont="1" applyBorder="1" applyAlignment="1">
      <alignment vertical="top" wrapText="1"/>
    </xf>
    <xf numFmtId="0" fontId="26" fillId="0" borderId="85" xfId="0" applyFont="1" applyBorder="1" applyAlignment="1">
      <alignment vertical="top" wrapText="1"/>
    </xf>
    <xf numFmtId="0" fontId="26" fillId="0" borderId="16" xfId="0" applyFont="1" applyBorder="1" applyAlignment="1">
      <alignment vertical="top" wrapText="1"/>
    </xf>
    <xf numFmtId="0" fontId="22" fillId="0" borderId="15" xfId="0" applyFont="1" applyBorder="1" applyAlignment="1">
      <alignment horizontal="left" vertical="top" wrapText="1"/>
    </xf>
    <xf numFmtId="0" fontId="22" fillId="0" borderId="15" xfId="0" applyFont="1" applyBorder="1" applyAlignment="1">
      <alignment vertical="top" wrapText="1"/>
    </xf>
    <xf numFmtId="0" fontId="26" fillId="0" borderId="15" xfId="0" applyFont="1" applyBorder="1" applyAlignment="1">
      <alignment vertical="top" wrapText="1"/>
    </xf>
    <xf numFmtId="0" fontId="26" fillId="0" borderId="74" xfId="0" applyFont="1" applyBorder="1" applyAlignment="1">
      <alignment vertical="top" wrapText="1"/>
    </xf>
    <xf numFmtId="0" fontId="10" fillId="0" borderId="65" xfId="0" applyFont="1" applyBorder="1" applyAlignment="1">
      <alignment horizontal="left" vertical="top" wrapText="1"/>
    </xf>
    <xf numFmtId="0" fontId="22" fillId="0" borderId="65" xfId="0" applyFont="1" applyBorder="1" applyAlignment="1">
      <alignment horizontal="left" vertical="top" wrapText="1"/>
    </xf>
    <xf numFmtId="0" fontId="22" fillId="0" borderId="65" xfId="0" applyFont="1" applyBorder="1" applyAlignment="1">
      <alignment vertical="top" wrapText="1"/>
    </xf>
    <xf numFmtId="0" fontId="26" fillId="0" borderId="65" xfId="0" applyFont="1" applyBorder="1" applyAlignment="1">
      <alignment vertical="top" wrapText="1"/>
    </xf>
    <xf numFmtId="0" fontId="26" fillId="0" borderId="224" xfId="0" applyFont="1" applyBorder="1" applyAlignment="1">
      <alignment vertical="top" wrapText="1"/>
    </xf>
    <xf numFmtId="0" fontId="7" fillId="0" borderId="37" xfId="0" applyFont="1" applyBorder="1" applyAlignment="1">
      <alignment horizontal="right" vertical="center" wrapText="1"/>
    </xf>
    <xf numFmtId="0" fontId="26" fillId="0" borderId="50" xfId="0" applyFont="1" applyBorder="1" applyAlignment="1">
      <alignment horizontal="right" vertical="center" wrapText="1"/>
    </xf>
    <xf numFmtId="0" fontId="11" fillId="0" borderId="84" xfId="0" applyFont="1" applyBorder="1" applyAlignment="1">
      <alignment horizontal="left" vertical="top" wrapText="1"/>
    </xf>
    <xf numFmtId="0" fontId="23" fillId="0" borderId="85" xfId="0" applyFont="1" applyBorder="1" applyAlignment="1">
      <alignment horizontal="left" vertical="top" wrapText="1"/>
    </xf>
    <xf numFmtId="0" fontId="23" fillId="0" borderId="85" xfId="0" applyFont="1" applyBorder="1" applyAlignment="1">
      <alignment vertical="top" wrapText="1"/>
    </xf>
    <xf numFmtId="0" fontId="7" fillId="0" borderId="43" xfId="0" applyFont="1" applyBorder="1" applyAlignment="1">
      <alignment horizontal="right" vertical="center" wrapText="1"/>
    </xf>
    <xf numFmtId="0" fontId="25" fillId="0" borderId="60" xfId="0" applyFont="1" applyBorder="1" applyAlignment="1">
      <alignment horizontal="center" vertical="top" wrapText="1"/>
    </xf>
    <xf numFmtId="0" fontId="22" fillId="14" borderId="19" xfId="0" applyFont="1" applyFill="1" applyBorder="1" applyAlignment="1">
      <alignment horizontal="center" vertical="center" wrapText="1"/>
    </xf>
    <xf numFmtId="0" fontId="24" fillId="0" borderId="21" xfId="0" applyFont="1" applyBorder="1" applyAlignment="1">
      <alignment horizontal="center" vertical="center"/>
    </xf>
    <xf numFmtId="0" fontId="12" fillId="0" borderId="79" xfId="0" applyFont="1" applyBorder="1" applyAlignment="1">
      <alignment horizontal="right" vertical="center" wrapText="1"/>
    </xf>
    <xf numFmtId="0" fontId="12" fillId="0" borderId="50" xfId="0" applyFont="1" applyBorder="1" applyAlignment="1">
      <alignment horizontal="right" vertical="center" wrapText="1"/>
    </xf>
    <xf numFmtId="0" fontId="7" fillId="21" borderId="46" xfId="0" applyFont="1" applyFill="1" applyBorder="1" applyAlignment="1">
      <alignment horizontal="center" vertical="center"/>
    </xf>
    <xf numFmtId="0" fontId="7" fillId="21" borderId="27" xfId="0" applyFont="1" applyFill="1" applyBorder="1" applyAlignment="1">
      <alignment horizontal="center" vertical="center"/>
    </xf>
    <xf numFmtId="0" fontId="7" fillId="21" borderId="48" xfId="0" applyFont="1" applyFill="1" applyBorder="1" applyAlignment="1">
      <alignment horizontal="center" vertical="center"/>
    </xf>
    <xf numFmtId="0" fontId="7" fillId="5" borderId="78" xfId="0" applyFont="1" applyFill="1" applyBorder="1" applyAlignment="1">
      <alignment horizontal="center" vertical="center"/>
    </xf>
    <xf numFmtId="0" fontId="7" fillId="5" borderId="50" xfId="0" applyFont="1" applyFill="1" applyBorder="1" applyAlignment="1">
      <alignment horizontal="center" vertical="center"/>
    </xf>
    <xf numFmtId="0" fontId="7" fillId="5" borderId="77" xfId="0" applyFont="1" applyFill="1" applyBorder="1" applyAlignment="1">
      <alignment horizontal="center" vertical="center"/>
    </xf>
    <xf numFmtId="0" fontId="23" fillId="9" borderId="15" xfId="0" applyFont="1" applyFill="1" applyBorder="1" applyAlignment="1">
      <alignment horizontal="center" vertical="center" wrapText="1"/>
    </xf>
    <xf numFmtId="0" fontId="23" fillId="9" borderId="74" xfId="0" applyFont="1" applyFill="1" applyBorder="1" applyAlignment="1">
      <alignment horizontal="center" vertical="center" wrapText="1"/>
    </xf>
    <xf numFmtId="0" fontId="23" fillId="9" borderId="50" xfId="0" applyFont="1" applyFill="1" applyBorder="1" applyAlignment="1">
      <alignment horizontal="center" vertical="center" wrapText="1"/>
    </xf>
    <xf numFmtId="0" fontId="23" fillId="9" borderId="77" xfId="0" applyFont="1" applyFill="1" applyBorder="1" applyAlignment="1">
      <alignment horizontal="center" vertical="center" wrapText="1"/>
    </xf>
    <xf numFmtId="0" fontId="22" fillId="0" borderId="258" xfId="0" applyFont="1" applyBorder="1" applyAlignment="1">
      <alignment horizontal="center" vertical="center" wrapText="1"/>
    </xf>
    <xf numFmtId="0" fontId="22" fillId="0" borderId="72" xfId="0" applyFont="1" applyBorder="1" applyAlignment="1">
      <alignment horizontal="center" vertical="center" wrapText="1"/>
    </xf>
    <xf numFmtId="0" fontId="25" fillId="0" borderId="53" xfId="0" applyFont="1" applyBorder="1" applyAlignment="1">
      <alignment horizontal="center" vertical="top" wrapText="1"/>
    </xf>
    <xf numFmtId="0" fontId="22" fillId="0" borderId="60" xfId="0" applyFont="1" applyBorder="1" applyAlignment="1">
      <alignment horizontal="center" vertical="top" wrapText="1"/>
    </xf>
    <xf numFmtId="0" fontId="22" fillId="0" borderId="61" xfId="0" applyFont="1" applyBorder="1" applyAlignment="1">
      <alignment horizontal="center" vertical="top" wrapText="1"/>
    </xf>
    <xf numFmtId="0" fontId="20" fillId="4" borderId="40" xfId="0" applyFont="1" applyFill="1" applyBorder="1" applyAlignment="1">
      <alignment horizontal="center" vertical="center" wrapText="1"/>
    </xf>
    <xf numFmtId="0" fontId="20" fillId="4" borderId="19" xfId="0"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88" xfId="0" applyNumberFormat="1" applyFont="1" applyFill="1" applyBorder="1" applyAlignment="1">
      <alignment horizontal="center" vertical="center"/>
    </xf>
    <xf numFmtId="0" fontId="35" fillId="0" borderId="44" xfId="0" applyFont="1" applyBorder="1" applyAlignment="1">
      <alignment horizontal="center" vertical="center" wrapText="1"/>
    </xf>
    <xf numFmtId="0" fontId="7" fillId="4" borderId="19" xfId="0" applyFont="1" applyFill="1" applyBorder="1" applyAlignment="1">
      <alignment horizontal="center" vertical="center" wrapText="1"/>
    </xf>
    <xf numFmtId="2" fontId="20" fillId="4" borderId="40" xfId="0" applyNumberFormat="1" applyFont="1" applyFill="1" applyBorder="1" applyAlignment="1">
      <alignment horizontal="center" vertical="center"/>
    </xf>
    <xf numFmtId="2" fontId="20" fillId="4" borderId="19" xfId="0" applyNumberFormat="1" applyFont="1" applyFill="1" applyBorder="1" applyAlignment="1">
      <alignment horizontal="center" vertical="center"/>
    </xf>
    <xf numFmtId="0" fontId="26" fillId="0" borderId="90" xfId="0" applyFont="1" applyBorder="1" applyAlignment="1">
      <alignment vertical="top" wrapText="1"/>
    </xf>
    <xf numFmtId="0" fontId="25" fillId="0" borderId="61" xfId="0" applyFont="1" applyBorder="1" applyAlignment="1">
      <alignment horizontal="center" vertical="top"/>
    </xf>
    <xf numFmtId="0" fontId="12" fillId="0" borderId="91" xfId="0" applyFont="1" applyBorder="1" applyAlignment="1">
      <alignment horizontal="center" vertical="top" wrapText="1"/>
    </xf>
    <xf numFmtId="0" fontId="25" fillId="0" borderId="83" xfId="0" applyFont="1" applyBorder="1" applyAlignment="1">
      <alignment horizontal="center" vertical="top" wrapText="1"/>
    </xf>
    <xf numFmtId="0" fontId="12" fillId="0" borderId="33" xfId="0" applyFont="1" applyBorder="1" applyAlignment="1">
      <alignment horizontal="left" vertical="top" wrapText="1"/>
    </xf>
    <xf numFmtId="0" fontId="12" fillId="0" borderId="21" xfId="0" applyFont="1" applyBorder="1" applyAlignment="1">
      <alignment horizontal="left" vertical="top"/>
    </xf>
    <xf numFmtId="0" fontId="12" fillId="0" borderId="71" xfId="0" applyFont="1" applyBorder="1" applyAlignment="1">
      <alignment horizontal="left" vertical="top"/>
    </xf>
    <xf numFmtId="0" fontId="7" fillId="0" borderId="45" xfId="0" applyFont="1" applyBorder="1" applyAlignment="1">
      <alignment horizontal="right" vertical="center" wrapText="1"/>
    </xf>
    <xf numFmtId="0" fontId="12" fillId="0" borderId="116" xfId="0" applyFont="1" applyBorder="1" applyAlignment="1">
      <alignment horizontal="center" vertical="top" wrapText="1"/>
    </xf>
    <xf numFmtId="0" fontId="25" fillId="0" borderId="119" xfId="0" applyFont="1" applyBorder="1" applyAlignment="1">
      <alignment horizontal="center" vertical="top" wrapText="1"/>
    </xf>
    <xf numFmtId="0" fontId="25" fillId="0" borderId="110" xfId="0" applyFont="1" applyBorder="1" applyAlignment="1">
      <alignment horizontal="center" vertical="top" wrapText="1"/>
    </xf>
    <xf numFmtId="0" fontId="10" fillId="0" borderId="73" xfId="0" applyFont="1" applyBorder="1" applyAlignment="1">
      <alignment horizontal="center" vertical="center"/>
    </xf>
    <xf numFmtId="0" fontId="10" fillId="0" borderId="72" xfId="0" applyFont="1" applyBorder="1" applyAlignment="1">
      <alignment horizontal="center" vertical="center"/>
    </xf>
    <xf numFmtId="0" fontId="7" fillId="22" borderId="73" xfId="0" applyFont="1" applyFill="1" applyBorder="1" applyAlignment="1">
      <alignment horizontal="center" vertical="center" wrapText="1"/>
    </xf>
    <xf numFmtId="0" fontId="7" fillId="22" borderId="72" xfId="0" applyFont="1" applyFill="1" applyBorder="1" applyAlignment="1">
      <alignment horizontal="center" vertical="center" wrapText="1"/>
    </xf>
    <xf numFmtId="0" fontId="33" fillId="0" borderId="0" xfId="0" applyFont="1" applyAlignment="1">
      <alignment horizontal="right" vertical="center" wrapText="1"/>
    </xf>
    <xf numFmtId="0" fontId="7" fillId="4" borderId="43"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7" fillId="4" borderId="37" xfId="0" applyFont="1" applyFill="1" applyBorder="1" applyAlignment="1">
      <alignment horizontal="center" vertical="center"/>
    </xf>
    <xf numFmtId="0" fontId="7" fillId="4" borderId="43" xfId="0" applyFont="1" applyFill="1" applyBorder="1" applyAlignment="1">
      <alignment horizontal="center" vertical="center"/>
    </xf>
    <xf numFmtId="2" fontId="20" fillId="4" borderId="37" xfId="0" applyNumberFormat="1" applyFont="1" applyFill="1" applyBorder="1" applyAlignment="1">
      <alignment horizontal="center" vertical="center"/>
    </xf>
    <xf numFmtId="2" fontId="20" fillId="4" borderId="43" xfId="0" applyNumberFormat="1" applyFont="1" applyFill="1" applyBorder="1" applyAlignment="1">
      <alignment horizontal="center" vertical="center"/>
    </xf>
    <xf numFmtId="2" fontId="46" fillId="5" borderId="54" xfId="0" applyNumberFormat="1" applyFont="1" applyFill="1" applyBorder="1" applyAlignment="1">
      <alignment horizontal="center" vertical="center" wrapText="1"/>
    </xf>
    <xf numFmtId="2" fontId="46" fillId="5" borderId="55" xfId="0" applyNumberFormat="1" applyFont="1" applyFill="1" applyBorder="1" applyAlignment="1">
      <alignment horizontal="center" vertical="center" wrapText="1"/>
    </xf>
    <xf numFmtId="2" fontId="46" fillId="5" borderId="56" xfId="0" applyNumberFormat="1" applyFont="1" applyFill="1" applyBorder="1" applyAlignment="1">
      <alignment horizontal="center" vertical="center" wrapText="1"/>
    </xf>
    <xf numFmtId="0" fontId="10" fillId="14" borderId="47" xfId="0" applyFont="1" applyFill="1" applyBorder="1" applyAlignment="1">
      <alignment horizontal="center" vertical="center" wrapText="1"/>
    </xf>
    <xf numFmtId="0" fontId="22" fillId="14" borderId="70" xfId="0" applyFont="1" applyFill="1" applyBorder="1" applyAlignment="1">
      <alignment horizontal="center" vertical="center" wrapText="1"/>
    </xf>
    <xf numFmtId="0" fontId="10" fillId="0" borderId="102" xfId="0" applyFont="1" applyBorder="1" applyAlignment="1">
      <alignment horizontal="left" vertical="top" wrapText="1"/>
    </xf>
    <xf numFmtId="0" fontId="12" fillId="11" borderId="33" xfId="0" applyFont="1" applyFill="1" applyBorder="1" applyAlignment="1">
      <alignment horizontal="left" vertical="top" wrapText="1"/>
    </xf>
    <xf numFmtId="0" fontId="30" fillId="11" borderId="21" xfId="0" applyFont="1" applyFill="1" applyBorder="1" applyAlignment="1">
      <alignment horizontal="left" vertical="top"/>
    </xf>
    <xf numFmtId="0" fontId="30" fillId="11" borderId="18" xfId="0" applyFont="1" applyFill="1" applyBorder="1" applyAlignment="1">
      <alignment horizontal="left" vertical="top"/>
    </xf>
    <xf numFmtId="0" fontId="12" fillId="0" borderId="17" xfId="0" applyFont="1" applyBorder="1" applyAlignment="1">
      <alignment horizontal="center" vertical="top" wrapText="1"/>
    </xf>
    <xf numFmtId="0" fontId="15" fillId="0" borderId="67" xfId="0" applyFont="1" applyBorder="1" applyAlignment="1">
      <alignment horizontal="center" vertical="top"/>
    </xf>
    <xf numFmtId="0" fontId="15" fillId="0" borderId="17" xfId="0" applyFont="1" applyBorder="1" applyAlignment="1">
      <alignment horizontal="center" vertical="top"/>
    </xf>
    <xf numFmtId="0" fontId="15" fillId="0" borderId="4" xfId="0" applyFont="1" applyBorder="1" applyAlignment="1">
      <alignment horizontal="center" vertical="top"/>
    </xf>
    <xf numFmtId="2" fontId="12" fillId="0" borderId="237" xfId="0" applyNumberFormat="1" applyFont="1" applyBorder="1" applyAlignment="1">
      <alignment horizontal="center" vertical="center"/>
    </xf>
    <xf numFmtId="2" fontId="12" fillId="0" borderId="18" xfId="0" applyNumberFormat="1" applyFont="1" applyBorder="1" applyAlignment="1">
      <alignment horizontal="center" vertical="center"/>
    </xf>
    <xf numFmtId="2" fontId="12" fillId="0" borderId="6" xfId="0" applyNumberFormat="1" applyFont="1" applyBorder="1" applyAlignment="1">
      <alignment horizontal="center" vertical="center"/>
    </xf>
    <xf numFmtId="0" fontId="15" fillId="0" borderId="66" xfId="0" applyFont="1" applyBorder="1" applyAlignment="1">
      <alignment horizontal="center" vertical="top"/>
    </xf>
    <xf numFmtId="2" fontId="12" fillId="0" borderId="51" xfId="0" applyNumberFormat="1" applyFont="1" applyBorder="1" applyAlignment="1">
      <alignment horizontal="center" vertical="center"/>
    </xf>
    <xf numFmtId="2" fontId="12" fillId="0" borderId="0" xfId="0" applyNumberFormat="1" applyFont="1" applyAlignment="1">
      <alignment horizontal="center" vertical="center"/>
    </xf>
    <xf numFmtId="2" fontId="12" fillId="0" borderId="21" xfId="0" applyNumberFormat="1" applyFont="1" applyBorder="1" applyAlignment="1">
      <alignment horizontal="center" vertical="center"/>
    </xf>
    <xf numFmtId="0" fontId="16" fillId="7" borderId="11" xfId="0" applyFont="1" applyFill="1" applyBorder="1" applyAlignment="1">
      <alignment horizontal="center"/>
    </xf>
    <xf numFmtId="0" fontId="16" fillId="7" borderId="12" xfId="0" applyFont="1" applyFill="1" applyBorder="1" applyAlignment="1">
      <alignment horizontal="center"/>
    </xf>
    <xf numFmtId="0" fontId="16" fillId="8" borderId="11" xfId="0" applyFont="1" applyFill="1" applyBorder="1" applyAlignment="1">
      <alignment horizontal="center"/>
    </xf>
    <xf numFmtId="0" fontId="16" fillId="8" borderId="12" xfId="0" applyFont="1" applyFill="1" applyBorder="1" applyAlignment="1">
      <alignment horizontal="center"/>
    </xf>
    <xf numFmtId="0" fontId="15" fillId="0" borderId="14" xfId="0" applyFont="1" applyBorder="1" applyAlignment="1">
      <alignment horizontal="center" vertical="top"/>
    </xf>
    <xf numFmtId="2" fontId="7" fillId="0" borderId="15" xfId="0" applyNumberFormat="1" applyFont="1" applyBorder="1" applyAlignment="1">
      <alignment horizontal="center" vertical="center"/>
    </xf>
    <xf numFmtId="2" fontId="7" fillId="0" borderId="0" xfId="0" applyNumberFormat="1" applyFont="1" applyAlignment="1">
      <alignment horizontal="center" vertical="center"/>
    </xf>
    <xf numFmtId="2" fontId="7" fillId="0" borderId="21" xfId="0" applyNumberFormat="1" applyFont="1" applyBorder="1" applyAlignment="1">
      <alignment horizontal="center" vertical="center"/>
    </xf>
    <xf numFmtId="2" fontId="12" fillId="0" borderId="15" xfId="0" applyNumberFormat="1" applyFont="1" applyBorder="1" applyAlignment="1">
      <alignment horizontal="center" vertical="center"/>
    </xf>
    <xf numFmtId="2" fontId="7" fillId="0" borderId="51" xfId="0" applyNumberFormat="1" applyFont="1" applyBorder="1" applyAlignment="1">
      <alignment horizontal="center" vertical="center"/>
    </xf>
    <xf numFmtId="2" fontId="7" fillId="0" borderId="5" xfId="0" applyNumberFormat="1" applyFont="1" applyBorder="1" applyAlignment="1">
      <alignment horizontal="center" vertical="center"/>
    </xf>
    <xf numFmtId="2" fontId="12" fillId="0" borderId="5" xfId="0" applyNumberFormat="1" applyFont="1" applyBorder="1" applyAlignment="1">
      <alignment horizontal="center" vertical="center"/>
    </xf>
    <xf numFmtId="0" fontId="49" fillId="9" borderId="75" xfId="0" applyFont="1" applyFill="1" applyBorder="1" applyAlignment="1">
      <alignment horizontal="left" vertical="top" wrapText="1"/>
    </xf>
    <xf numFmtId="0" fontId="49" fillId="9" borderId="51" xfId="0" applyFont="1" applyFill="1" applyBorder="1" applyAlignment="1">
      <alignment horizontal="left" vertical="top" wrapText="1"/>
    </xf>
    <xf numFmtId="0" fontId="49" fillId="9" borderId="68" xfId="0" applyFont="1" applyFill="1" applyBorder="1" applyAlignment="1">
      <alignment horizontal="left" vertical="top" wrapText="1"/>
    </xf>
    <xf numFmtId="0" fontId="49" fillId="9" borderId="33" xfId="0" applyFont="1" applyFill="1" applyBorder="1" applyAlignment="1">
      <alignment horizontal="left" vertical="top" wrapText="1"/>
    </xf>
    <xf numFmtId="0" fontId="49" fillId="9" borderId="21" xfId="0" applyFont="1" applyFill="1" applyBorder="1" applyAlignment="1">
      <alignment horizontal="left" vertical="top" wrapText="1"/>
    </xf>
    <xf numFmtId="0" fontId="49" fillId="9" borderId="22" xfId="0" applyFont="1" applyFill="1" applyBorder="1" applyAlignment="1">
      <alignment horizontal="left" vertical="top" wrapText="1"/>
    </xf>
    <xf numFmtId="0" fontId="6" fillId="0" borderId="41" xfId="0" applyFont="1" applyBorder="1" applyAlignment="1">
      <alignment horizontal="left" vertical="top" wrapText="1"/>
    </xf>
    <xf numFmtId="0" fontId="0" fillId="0" borderId="44" xfId="0" applyBorder="1" applyAlignment="1">
      <alignment vertical="top"/>
    </xf>
    <xf numFmtId="2" fontId="6" fillId="0" borderId="33" xfId="0" applyNumberFormat="1" applyFont="1" applyBorder="1" applyAlignment="1">
      <alignment horizontal="left" vertical="top" wrapText="1"/>
    </xf>
    <xf numFmtId="2" fontId="6" fillId="0" borderId="21" xfId="0" applyNumberFormat="1" applyFont="1" applyBorder="1" applyAlignment="1">
      <alignment horizontal="left" vertical="top" wrapText="1"/>
    </xf>
    <xf numFmtId="2" fontId="6" fillId="0" borderId="120" xfId="0" applyNumberFormat="1" applyFont="1" applyBorder="1" applyAlignment="1">
      <alignment horizontal="left" vertical="top" wrapText="1"/>
    </xf>
    <xf numFmtId="2" fontId="6" fillId="0" borderId="36" xfId="0" applyNumberFormat="1" applyFont="1" applyBorder="1" applyAlignment="1">
      <alignment horizontal="left" vertical="top" wrapText="1"/>
    </xf>
    <xf numFmtId="2" fontId="6" fillId="0" borderId="24" xfId="0" applyNumberFormat="1" applyFont="1" applyBorder="1" applyAlignment="1">
      <alignment horizontal="left" vertical="top" wrapText="1"/>
    </xf>
    <xf numFmtId="2" fontId="6" fillId="0" borderId="121" xfId="0" applyNumberFormat="1" applyFont="1" applyBorder="1" applyAlignment="1">
      <alignment horizontal="left" vertical="top" wrapText="1"/>
    </xf>
    <xf numFmtId="14" fontId="6" fillId="0" borderId="36" xfId="0" applyNumberFormat="1" applyFont="1" applyBorder="1" applyAlignment="1">
      <alignment horizontal="left" vertical="top" wrapText="1"/>
    </xf>
    <xf numFmtId="14" fontId="6" fillId="0" borderId="24" xfId="0" applyNumberFormat="1" applyFont="1" applyBorder="1" applyAlignment="1">
      <alignment horizontal="left" vertical="top" wrapText="1"/>
    </xf>
    <xf numFmtId="14" fontId="6" fillId="0" borderId="121" xfId="0" applyNumberFormat="1" applyFont="1" applyBorder="1" applyAlignment="1">
      <alignment horizontal="left" vertical="top" wrapText="1"/>
    </xf>
    <xf numFmtId="2" fontId="9" fillId="0" borderId="46" xfId="0" applyNumberFormat="1" applyFont="1" applyBorder="1" applyAlignment="1">
      <alignment horizontal="center" vertical="center" wrapText="1"/>
    </xf>
    <xf numFmtId="2" fontId="9" fillId="0" borderId="70" xfId="0" applyNumberFormat="1" applyFont="1" applyBorder="1" applyAlignment="1">
      <alignment horizontal="center" vertical="center" wrapText="1"/>
    </xf>
    <xf numFmtId="2" fontId="49" fillId="0" borderId="85" xfId="0" applyNumberFormat="1" applyFont="1" applyBorder="1" applyAlignment="1">
      <alignment horizontal="center" vertical="center"/>
    </xf>
    <xf numFmtId="2" fontId="49" fillId="0" borderId="236" xfId="0" applyNumberFormat="1" applyFont="1" applyBorder="1" applyAlignment="1">
      <alignment horizontal="center" vertical="center"/>
    </xf>
    <xf numFmtId="2" fontId="49" fillId="0" borderId="24" xfId="0" applyNumberFormat="1" applyFont="1" applyBorder="1" applyAlignment="1">
      <alignment horizontal="center" vertical="center"/>
    </xf>
    <xf numFmtId="2" fontId="49" fillId="0" borderId="25" xfId="0" applyNumberFormat="1" applyFont="1" applyBorder="1" applyAlignment="1">
      <alignment horizontal="center" vertical="center"/>
    </xf>
    <xf numFmtId="2" fontId="49" fillId="0" borderId="44" xfId="0" applyNumberFormat="1" applyFont="1" applyBorder="1" applyAlignment="1">
      <alignment horizontal="center" vertical="center"/>
    </xf>
    <xf numFmtId="2" fontId="49" fillId="0" borderId="42" xfId="0" applyNumberFormat="1" applyFont="1" applyBorder="1" applyAlignment="1">
      <alignment horizontal="center" vertical="center"/>
    </xf>
    <xf numFmtId="0" fontId="49" fillId="0" borderId="0" xfId="2" applyFont="1" applyAlignment="1">
      <alignment horizontal="center"/>
    </xf>
    <xf numFmtId="0" fontId="49" fillId="0" borderId="36" xfId="2" applyFont="1" applyBorder="1" applyAlignment="1" applyProtection="1">
      <alignment horizontal="center"/>
      <protection locked="0"/>
    </xf>
    <xf numFmtId="0" fontId="49" fillId="0" borderId="25" xfId="2" applyFont="1" applyBorder="1" applyAlignment="1" applyProtection="1">
      <alignment horizontal="center"/>
      <protection locked="0"/>
    </xf>
    <xf numFmtId="0" fontId="55" fillId="0" borderId="75" xfId="2" applyFont="1" applyBorder="1" applyAlignment="1">
      <alignment horizontal="center" vertical="center"/>
    </xf>
    <xf numFmtId="0" fontId="55" fillId="0" borderId="51" xfId="2" applyFont="1" applyBorder="1" applyAlignment="1">
      <alignment horizontal="center" vertical="center"/>
    </xf>
    <xf numFmtId="0" fontId="55" fillId="0" borderId="68" xfId="2" applyFont="1" applyBorder="1" applyAlignment="1">
      <alignment horizontal="center" vertical="center"/>
    </xf>
    <xf numFmtId="0" fontId="55" fillId="0" borderId="76" xfId="2" applyFont="1" applyBorder="1" applyAlignment="1">
      <alignment horizontal="center" vertical="center"/>
    </xf>
    <xf numFmtId="0" fontId="55" fillId="0" borderId="0" xfId="2" applyFont="1" applyAlignment="1">
      <alignment horizontal="center" vertical="center"/>
    </xf>
    <xf numFmtId="0" fontId="55" fillId="0" borderId="69" xfId="2" applyFont="1" applyBorder="1" applyAlignment="1">
      <alignment horizontal="center" vertical="center"/>
    </xf>
    <xf numFmtId="0" fontId="55" fillId="0" borderId="33" xfId="2" applyFont="1" applyBorder="1" applyAlignment="1">
      <alignment horizontal="center" vertical="center"/>
    </xf>
    <xf numFmtId="0" fontId="55" fillId="0" borderId="21" xfId="2" applyFont="1" applyBorder="1" applyAlignment="1">
      <alignment horizontal="center" vertical="center"/>
    </xf>
    <xf numFmtId="0" fontId="55" fillId="0" borderId="22" xfId="2" applyFont="1" applyBorder="1" applyAlignment="1">
      <alignment horizontal="center" vertical="center"/>
    </xf>
    <xf numFmtId="0" fontId="52" fillId="0" borderId="38" xfId="2" applyFont="1" applyBorder="1" applyAlignment="1">
      <alignment horizontal="center"/>
    </xf>
    <xf numFmtId="0" fontId="52" fillId="0" borderId="37" xfId="2" applyFont="1" applyBorder="1" applyAlignment="1">
      <alignment horizontal="center"/>
    </xf>
    <xf numFmtId="0" fontId="6" fillId="0" borderId="36" xfId="2" applyFont="1" applyBorder="1" applyAlignment="1">
      <alignment horizontal="left"/>
    </xf>
    <xf numFmtId="0" fontId="6" fillId="0" borderId="24" xfId="2" applyFont="1" applyBorder="1" applyAlignment="1">
      <alignment horizontal="left"/>
    </xf>
    <xf numFmtId="0" fontId="6" fillId="0" borderId="25" xfId="2" applyFont="1" applyBorder="1" applyAlignment="1">
      <alignment horizontal="left"/>
    </xf>
    <xf numFmtId="1" fontId="49" fillId="0" borderId="37" xfId="2" applyNumberFormat="1" applyFont="1" applyBorder="1" applyAlignment="1" applyProtection="1">
      <alignment horizontal="center"/>
      <protection locked="0"/>
    </xf>
    <xf numFmtId="0" fontId="6" fillId="0" borderId="0" xfId="2" applyFont="1" applyAlignment="1">
      <alignment horizontal="left"/>
    </xf>
    <xf numFmtId="0" fontId="6" fillId="0" borderId="0" xfId="2" applyFont="1" applyAlignment="1">
      <alignment horizontal="center"/>
    </xf>
    <xf numFmtId="0" fontId="53" fillId="0" borderId="21" xfId="2" applyFont="1" applyBorder="1" applyAlignment="1">
      <alignment horizontal="center"/>
    </xf>
    <xf numFmtId="0" fontId="53" fillId="0" borderId="177" xfId="2" applyFont="1" applyBorder="1" applyAlignment="1">
      <alignment horizontal="center"/>
    </xf>
    <xf numFmtId="0" fontId="6" fillId="0" borderId="37" xfId="2" applyFont="1" applyBorder="1" applyAlignment="1">
      <alignment horizontal="left"/>
    </xf>
    <xf numFmtId="0" fontId="49" fillId="19" borderId="102" xfId="2" applyFont="1" applyFill="1" applyBorder="1" applyAlignment="1">
      <alignment horizontal="left" vertical="center" wrapText="1"/>
    </xf>
    <xf numFmtId="0" fontId="49" fillId="19" borderId="85" xfId="2" applyFont="1" applyFill="1" applyBorder="1" applyAlignment="1">
      <alignment horizontal="left" vertical="center" wrapText="1"/>
    </xf>
    <xf numFmtId="0" fontId="49" fillId="19" borderId="92" xfId="2" applyFont="1" applyFill="1" applyBorder="1" applyAlignment="1">
      <alignment horizontal="left" vertical="center" wrapText="1"/>
    </xf>
    <xf numFmtId="1" fontId="49" fillId="0" borderId="37" xfId="2" quotePrefix="1" applyNumberFormat="1" applyFont="1" applyBorder="1" applyAlignment="1" applyProtection="1">
      <alignment horizontal="center" vertical="center" wrapText="1"/>
      <protection locked="0"/>
    </xf>
    <xf numFmtId="1" fontId="6" fillId="0" borderId="37" xfId="2" applyNumberFormat="1" applyFont="1" applyBorder="1" applyAlignment="1" applyProtection="1">
      <alignment horizontal="center"/>
      <protection locked="0"/>
    </xf>
    <xf numFmtId="0" fontId="6" fillId="0" borderId="78" xfId="2" applyFont="1" applyBorder="1" applyAlignment="1" applyProtection="1">
      <alignment horizontal="left" vertical="top" wrapText="1"/>
      <protection locked="0"/>
    </xf>
    <xf numFmtId="0" fontId="6" fillId="0" borderId="50" xfId="2" applyFont="1" applyBorder="1" applyAlignment="1" applyProtection="1">
      <alignment horizontal="left" vertical="top" wrapText="1"/>
      <protection locked="0"/>
    </xf>
    <xf numFmtId="0" fontId="6" fillId="0" borderId="77" xfId="2" applyFont="1" applyBorder="1" applyAlignment="1" applyProtection="1">
      <alignment horizontal="left" vertical="top" wrapText="1"/>
      <protection locked="0"/>
    </xf>
    <xf numFmtId="1" fontId="6" fillId="0" borderId="37" xfId="2" applyNumberFormat="1" applyFont="1" applyBorder="1" applyAlignment="1" applyProtection="1">
      <alignment horizontal="center" vertical="top"/>
      <protection locked="0"/>
    </xf>
    <xf numFmtId="0" fontId="6" fillId="0" borderId="103" xfId="2" applyFont="1" applyBorder="1" applyAlignment="1" applyProtection="1">
      <alignment horizontal="left" vertical="top" wrapText="1"/>
      <protection locked="0"/>
    </xf>
    <xf numFmtId="0" fontId="6" fillId="0" borderId="51" xfId="2" applyFont="1" applyBorder="1" applyAlignment="1" applyProtection="1">
      <alignment horizontal="left" vertical="top" wrapText="1"/>
      <protection locked="0"/>
    </xf>
    <xf numFmtId="0" fontId="6" fillId="0" borderId="128" xfId="2" applyFont="1" applyBorder="1" applyAlignment="1" applyProtection="1">
      <alignment horizontal="left" vertical="top" wrapText="1"/>
      <protection locked="0"/>
    </xf>
    <xf numFmtId="0" fontId="6" fillId="0" borderId="32"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71" xfId="2" applyFont="1" applyBorder="1" applyAlignment="1" applyProtection="1">
      <alignment horizontal="left" vertical="top" wrapText="1"/>
      <protection locked="0"/>
    </xf>
    <xf numFmtId="0" fontId="6" fillId="0" borderId="129" xfId="2" applyFont="1" applyBorder="1" applyAlignment="1" applyProtection="1">
      <alignment horizontal="left" vertical="top" wrapText="1"/>
      <protection locked="0"/>
    </xf>
    <xf numFmtId="0" fontId="6" fillId="0" borderId="21" xfId="2" applyFont="1" applyBorder="1" applyAlignment="1" applyProtection="1">
      <alignment horizontal="left" vertical="top" wrapText="1"/>
      <protection locked="0"/>
    </xf>
    <xf numFmtId="0" fontId="6" fillId="0" borderId="120" xfId="2" applyFont="1" applyBorder="1" applyAlignment="1" applyProtection="1">
      <alignment horizontal="left" vertical="top" wrapText="1"/>
      <protection locked="0"/>
    </xf>
    <xf numFmtId="0" fontId="6" fillId="0" borderId="123" xfId="2" applyFont="1" applyBorder="1" applyAlignment="1">
      <alignment horizontal="center" vertical="center"/>
    </xf>
    <xf numFmtId="0" fontId="49" fillId="0" borderId="198" xfId="2" applyFont="1" applyBorder="1" applyAlignment="1">
      <alignment horizontal="center" vertical="center"/>
    </xf>
    <xf numFmtId="0" fontId="49" fillId="0" borderId="179" xfId="2" applyFont="1" applyBorder="1" applyAlignment="1">
      <alignment horizontal="center" vertical="center"/>
    </xf>
    <xf numFmtId="0" fontId="49" fillId="0" borderId="178" xfId="2" applyFont="1" applyBorder="1" applyAlignment="1">
      <alignment horizontal="center" vertical="center"/>
    </xf>
    <xf numFmtId="0" fontId="49" fillId="0" borderId="179" xfId="2" applyFont="1" applyBorder="1" applyAlignment="1">
      <alignment horizontal="left" vertical="center"/>
    </xf>
    <xf numFmtId="0" fontId="9" fillId="0" borderId="130" xfId="2" applyFont="1" applyBorder="1" applyAlignment="1">
      <alignment horizontal="left"/>
    </xf>
    <xf numFmtId="0" fontId="9" fillId="0" borderId="24" xfId="2" applyFont="1" applyBorder="1" applyAlignment="1">
      <alignment horizontal="left"/>
    </xf>
    <xf numFmtId="0" fontId="9" fillId="0" borderId="121" xfId="2" applyFont="1" applyBorder="1" applyAlignment="1">
      <alignment horizontal="left"/>
    </xf>
    <xf numFmtId="0" fontId="29" fillId="0" borderId="0" xfId="2" applyFont="1" applyAlignment="1">
      <alignment vertical="center"/>
    </xf>
    <xf numFmtId="0" fontId="0" fillId="0" borderId="0" xfId="0" applyAlignment="1">
      <alignment vertical="center"/>
    </xf>
    <xf numFmtId="0" fontId="29" fillId="0" borderId="0" xfId="2" applyFont="1" applyAlignment="1">
      <alignment horizontal="right" vertical="center"/>
    </xf>
    <xf numFmtId="0" fontId="0" fillId="0" borderId="0" xfId="0" applyAlignment="1">
      <alignment horizontal="right" vertical="center"/>
    </xf>
    <xf numFmtId="0" fontId="6" fillId="9" borderId="0" xfId="2" applyFont="1" applyFill="1" applyAlignment="1">
      <alignment horizontal="left" vertical="center" wrapText="1"/>
    </xf>
    <xf numFmtId="0" fontId="9" fillId="0" borderId="102" xfId="2" applyFont="1" applyBorder="1" applyAlignment="1">
      <alignment horizontal="left"/>
    </xf>
    <xf numFmtId="0" fontId="9" fillId="0" borderId="85" xfId="2" applyFont="1" applyBorder="1" applyAlignment="1">
      <alignment horizontal="left"/>
    </xf>
    <xf numFmtId="0" fontId="9" fillId="0" borderId="92" xfId="2" applyFont="1" applyBorder="1" applyAlignment="1">
      <alignment horizontal="left"/>
    </xf>
    <xf numFmtId="0" fontId="52" fillId="9" borderId="0" xfId="2" applyFont="1" applyFill="1" applyAlignment="1">
      <alignment horizontal="center" vertical="center" wrapText="1"/>
    </xf>
    <xf numFmtId="0" fontId="52" fillId="9" borderId="71" xfId="2" applyFont="1" applyFill="1" applyBorder="1" applyAlignment="1">
      <alignment horizontal="center" vertical="center" wrapText="1"/>
    </xf>
    <xf numFmtId="2" fontId="6" fillId="20" borderId="103" xfId="2" applyNumberFormat="1" applyFont="1" applyFill="1" applyBorder="1" applyAlignment="1">
      <alignment horizontal="center" vertical="center"/>
    </xf>
    <xf numFmtId="0" fontId="6" fillId="20" borderId="128" xfId="2" applyFont="1" applyFill="1" applyBorder="1" applyAlignment="1">
      <alignment horizontal="center" vertical="center"/>
    </xf>
    <xf numFmtId="0" fontId="6" fillId="20" borderId="78" xfId="2" applyFont="1" applyFill="1" applyBorder="1" applyAlignment="1">
      <alignment horizontal="center" vertical="center"/>
    </xf>
    <xf numFmtId="0" fontId="6" fillId="20" borderId="77" xfId="2" applyFont="1" applyFill="1" applyBorder="1" applyAlignment="1">
      <alignment horizontal="center" vertical="center"/>
    </xf>
    <xf numFmtId="0" fontId="52" fillId="9" borderId="32" xfId="2" applyFont="1" applyFill="1" applyBorder="1" applyAlignment="1">
      <alignment horizontal="center"/>
    </xf>
    <xf numFmtId="0" fontId="52" fillId="9" borderId="71" xfId="2" applyFont="1" applyFill="1" applyBorder="1" applyAlignment="1">
      <alignment horizontal="center"/>
    </xf>
    <xf numFmtId="0" fontId="72" fillId="19" borderId="238" xfId="0" applyFont="1" applyFill="1" applyBorder="1" applyAlignment="1">
      <alignment horizontal="center" wrapText="1"/>
    </xf>
    <xf numFmtId="0" fontId="72" fillId="19" borderId="15" xfId="0" applyFont="1" applyFill="1" applyBorder="1" applyAlignment="1">
      <alignment horizontal="center" wrapText="1"/>
    </xf>
    <xf numFmtId="0" fontId="72" fillId="19" borderId="239" xfId="0" applyFont="1" applyFill="1" applyBorder="1" applyAlignment="1">
      <alignment horizontal="center" wrapText="1"/>
    </xf>
    <xf numFmtId="0" fontId="72" fillId="19" borderId="240" xfId="0" applyFont="1" applyFill="1" applyBorder="1" applyAlignment="1">
      <alignment horizontal="center" wrapText="1"/>
    </xf>
    <xf numFmtId="0" fontId="72" fillId="19" borderId="0" xfId="0" applyFont="1" applyFill="1" applyAlignment="1">
      <alignment horizontal="center" wrapText="1"/>
    </xf>
    <xf numFmtId="0" fontId="72" fillId="19" borderId="241" xfId="0" applyFont="1" applyFill="1" applyBorder="1" applyAlignment="1">
      <alignment horizontal="center" wrapText="1"/>
    </xf>
    <xf numFmtId="0" fontId="72" fillId="19" borderId="244" xfId="0" applyFont="1" applyFill="1" applyBorder="1" applyAlignment="1">
      <alignment horizontal="center" wrapText="1"/>
    </xf>
    <xf numFmtId="0" fontId="72" fillId="19" borderId="50" xfId="0" applyFont="1" applyFill="1" applyBorder="1" applyAlignment="1">
      <alignment horizontal="center" wrapText="1"/>
    </xf>
    <xf numFmtId="0" fontId="72" fillId="19" borderId="245" xfId="0" applyFont="1" applyFill="1" applyBorder="1" applyAlignment="1">
      <alignment horizontal="center" wrapText="1"/>
    </xf>
    <xf numFmtId="0" fontId="0" fillId="0" borderId="238"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39" xfId="0" applyBorder="1" applyAlignment="1" applyProtection="1">
      <alignment horizontal="center" vertical="center" wrapText="1"/>
      <protection locked="0"/>
    </xf>
    <xf numFmtId="0" fontId="0" fillId="0" borderId="240"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41" xfId="0" applyBorder="1" applyAlignment="1" applyProtection="1">
      <alignment horizontal="center" vertical="center" wrapText="1"/>
      <protection locked="0"/>
    </xf>
    <xf numFmtId="0" fontId="0" fillId="0" borderId="244"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245" xfId="0" applyBorder="1" applyAlignment="1" applyProtection="1">
      <alignment horizontal="center" vertical="center" wrapText="1"/>
      <protection locked="0"/>
    </xf>
    <xf numFmtId="0" fontId="49" fillId="6" borderId="0" xfId="2" applyFont="1" applyFill="1" applyAlignment="1">
      <alignment horizontal="left" wrapText="1"/>
    </xf>
    <xf numFmtId="0" fontId="52" fillId="0" borderId="131" xfId="2" applyFont="1" applyBorder="1" applyAlignment="1">
      <alignment horizontal="center"/>
    </xf>
    <xf numFmtId="0" fontId="52" fillId="0" borderId="132" xfId="2" applyFont="1" applyBorder="1" applyAlignment="1">
      <alignment horizontal="center"/>
    </xf>
    <xf numFmtId="166" fontId="9" fillId="0" borderId="78" xfId="2" applyNumberFormat="1" applyFont="1" applyBorder="1" applyAlignment="1">
      <alignment horizontal="center" vertical="center"/>
    </xf>
    <xf numFmtId="166" fontId="9" fillId="0" borderId="77" xfId="2" applyNumberFormat="1" applyFont="1" applyBorder="1" applyAlignment="1">
      <alignment horizontal="center" vertical="center"/>
    </xf>
    <xf numFmtId="2" fontId="6" fillId="20" borderId="15" xfId="2" applyNumberFormat="1" applyFont="1" applyFill="1" applyBorder="1" applyAlignment="1">
      <alignment horizontal="center" vertical="center"/>
    </xf>
    <xf numFmtId="2" fontId="6" fillId="20" borderId="74" xfId="2" applyNumberFormat="1" applyFont="1" applyFill="1" applyBorder="1" applyAlignment="1">
      <alignment horizontal="center" vertical="center"/>
    </xf>
    <xf numFmtId="2" fontId="6" fillId="20" borderId="50" xfId="2" applyNumberFormat="1" applyFont="1" applyFill="1" applyBorder="1" applyAlignment="1">
      <alignment horizontal="center" vertical="center"/>
    </xf>
    <xf numFmtId="2" fontId="6" fillId="20" borderId="77" xfId="2" applyNumberFormat="1" applyFont="1" applyFill="1" applyBorder="1" applyAlignment="1">
      <alignment horizontal="center" vertical="center"/>
    </xf>
    <xf numFmtId="0" fontId="68" fillId="19" borderId="250" xfId="2" applyFont="1" applyFill="1" applyBorder="1" applyAlignment="1">
      <alignment horizontal="center" vertical="center" wrapText="1"/>
    </xf>
    <xf numFmtId="0" fontId="29" fillId="0" borderId="122" xfId="2" applyFont="1" applyBorder="1" applyAlignment="1">
      <alignment horizontal="center"/>
    </xf>
    <xf numFmtId="0" fontId="29" fillId="0" borderId="122" xfId="2" applyFont="1" applyBorder="1" applyAlignment="1">
      <alignment horizontal="right"/>
    </xf>
    <xf numFmtId="0" fontId="51" fillId="0" borderId="122" xfId="2" applyFont="1" applyBorder="1" applyAlignment="1">
      <alignment horizontal="center"/>
    </xf>
    <xf numFmtId="0" fontId="49" fillId="19" borderId="129" xfId="2" applyFont="1" applyFill="1" applyBorder="1" applyAlignment="1">
      <alignment horizontal="left" wrapText="1"/>
    </xf>
    <xf numFmtId="0" fontId="49" fillId="19" borderId="21" xfId="2" applyFont="1" applyFill="1" applyBorder="1" applyAlignment="1">
      <alignment horizontal="left" wrapText="1"/>
    </xf>
    <xf numFmtId="0" fontId="49" fillId="0" borderId="123" xfId="2" applyFont="1" applyBorder="1" applyAlignment="1">
      <alignment horizontal="left"/>
    </xf>
    <xf numFmtId="0" fontId="49" fillId="0" borderId="198" xfId="2" applyFont="1" applyBorder="1" applyAlignment="1">
      <alignment horizontal="left"/>
    </xf>
    <xf numFmtId="0" fontId="49" fillId="0" borderId="179" xfId="2" applyFont="1" applyBorder="1" applyAlignment="1">
      <alignment horizontal="left"/>
    </xf>
    <xf numFmtId="0" fontId="49" fillId="0" borderId="178" xfId="2" applyFont="1" applyBorder="1" applyAlignment="1">
      <alignment horizontal="left"/>
    </xf>
    <xf numFmtId="14" fontId="49" fillId="0" borderId="179" xfId="2" applyNumberFormat="1" applyFont="1" applyBorder="1" applyAlignment="1">
      <alignment horizontal="left"/>
    </xf>
    <xf numFmtId="14" fontId="49" fillId="0" borderId="178" xfId="2" applyNumberFormat="1" applyFont="1" applyBorder="1" applyAlignment="1">
      <alignment horizontal="left"/>
    </xf>
    <xf numFmtId="0" fontId="49" fillId="0" borderId="91" xfId="2" applyFont="1" applyBorder="1" applyAlignment="1">
      <alignment horizontal="center" vertical="center"/>
    </xf>
    <xf numFmtId="0" fontId="49" fillId="0" borderId="118" xfId="2" applyFont="1" applyBorder="1" applyAlignment="1">
      <alignment horizontal="center" vertical="center"/>
    </xf>
    <xf numFmtId="0" fontId="49" fillId="0" borderId="83" xfId="2" applyFont="1" applyBorder="1" applyAlignment="1">
      <alignment horizontal="center" vertical="center"/>
    </xf>
    <xf numFmtId="0" fontId="49" fillId="0" borderId="33" xfId="2" applyFont="1" applyBorder="1" applyAlignment="1">
      <alignment horizontal="center"/>
    </xf>
    <xf numFmtId="0" fontId="49" fillId="0" borderId="22" xfId="2" applyFont="1" applyBorder="1" applyAlignment="1">
      <alignment horizontal="center"/>
    </xf>
    <xf numFmtId="0" fontId="49" fillId="0" borderId="36" xfId="2" applyFont="1" applyBorder="1" applyAlignment="1">
      <alignment horizontal="center"/>
    </xf>
    <xf numFmtId="0" fontId="49" fillId="0" borderId="25" xfId="2" applyFont="1" applyBorder="1" applyAlignment="1">
      <alignment horizontal="center"/>
    </xf>
    <xf numFmtId="0" fontId="49" fillId="0" borderId="41" xfId="2" applyFont="1" applyBorder="1" applyAlignment="1">
      <alignment horizontal="center"/>
    </xf>
    <xf numFmtId="0" fontId="49" fillId="0" borderId="42" xfId="2" applyFont="1" applyBorder="1" applyAlignment="1">
      <alignment horizontal="center"/>
    </xf>
    <xf numFmtId="0" fontId="52" fillId="19" borderId="31" xfId="2" applyFont="1" applyFill="1" applyBorder="1" applyAlignment="1">
      <alignment horizontal="left" vertical="top" wrapText="1"/>
    </xf>
    <xf numFmtId="0" fontId="52" fillId="19" borderId="15" xfId="2" applyFont="1" applyFill="1" applyBorder="1" applyAlignment="1">
      <alignment horizontal="left" vertical="top" wrapText="1"/>
    </xf>
    <xf numFmtId="0" fontId="52" fillId="19" borderId="74" xfId="2" applyFont="1" applyFill="1" applyBorder="1" applyAlignment="1">
      <alignment horizontal="left" vertical="top" wrapText="1"/>
    </xf>
    <xf numFmtId="0" fontId="49" fillId="0" borderId="130" xfId="2" applyFont="1" applyBorder="1" applyAlignment="1">
      <alignment horizontal="left" vertical="center"/>
    </xf>
    <xf numFmtId="0" fontId="49" fillId="0" borderId="24" xfId="2" applyFont="1" applyBorder="1" applyAlignment="1">
      <alignment horizontal="left" vertical="center"/>
    </xf>
    <xf numFmtId="0" fontId="49" fillId="20" borderId="146" xfId="2" applyFont="1" applyFill="1" applyBorder="1" applyAlignment="1">
      <alignment horizontal="center" vertical="center"/>
    </xf>
    <xf numFmtId="0" fontId="49" fillId="20" borderId="135" xfId="2" applyFont="1" applyFill="1" applyBorder="1" applyAlignment="1">
      <alignment horizontal="center" vertical="center"/>
    </xf>
    <xf numFmtId="0" fontId="53" fillId="20" borderId="103" xfId="2" applyFont="1" applyFill="1" applyBorder="1" applyAlignment="1">
      <alignment horizontal="center" vertical="center"/>
    </xf>
    <xf numFmtId="0" fontId="53" fillId="20" borderId="128" xfId="2" applyFont="1" applyFill="1" applyBorder="1" applyAlignment="1">
      <alignment horizontal="center" vertical="center"/>
    </xf>
    <xf numFmtId="0" fontId="53" fillId="20" borderId="78" xfId="2" applyFont="1" applyFill="1" applyBorder="1" applyAlignment="1">
      <alignment horizontal="center" vertical="center"/>
    </xf>
    <xf numFmtId="0" fontId="53" fillId="20" borderId="77" xfId="2" applyFont="1" applyFill="1" applyBorder="1" applyAlignment="1">
      <alignment horizontal="center" vertical="center"/>
    </xf>
    <xf numFmtId="0" fontId="49" fillId="0" borderId="44" xfId="2" applyFont="1" applyBorder="1" applyAlignment="1">
      <alignment horizontal="left" vertical="center"/>
    </xf>
    <xf numFmtId="0" fontId="49" fillId="19" borderId="130" xfId="2" applyFont="1" applyFill="1" applyBorder="1" applyAlignment="1">
      <alignment horizontal="left"/>
    </xf>
    <xf numFmtId="0" fontId="49" fillId="19" borderId="24" xfId="2" applyFont="1" applyFill="1" applyBorder="1" applyAlignment="1">
      <alignment horizontal="left"/>
    </xf>
    <xf numFmtId="0" fontId="49" fillId="19" borderId="51" xfId="2" applyFont="1" applyFill="1" applyBorder="1" applyAlignment="1">
      <alignment horizontal="left"/>
    </xf>
    <xf numFmtId="0" fontId="49" fillId="19" borderId="128" xfId="2" applyFont="1" applyFill="1" applyBorder="1" applyAlignment="1">
      <alignment horizontal="left"/>
    </xf>
    <xf numFmtId="0" fontId="52" fillId="0" borderId="144" xfId="2" applyFont="1" applyBorder="1" applyAlignment="1">
      <alignment horizontal="center"/>
    </xf>
    <xf numFmtId="0" fontId="52" fillId="0" borderId="145" xfId="2" applyFont="1" applyBorder="1" applyAlignment="1">
      <alignment horizontal="center"/>
    </xf>
    <xf numFmtId="0" fontId="52" fillId="0" borderId="116" xfId="2" applyFont="1" applyBorder="1" applyAlignment="1">
      <alignment horizontal="center"/>
    </xf>
    <xf numFmtId="0" fontId="52" fillId="0" borderId="115" xfId="2" applyFont="1" applyBorder="1" applyAlignment="1">
      <alignment horizontal="center"/>
    </xf>
    <xf numFmtId="0" fontId="52" fillId="0" borderId="144" xfId="2" applyFont="1" applyBorder="1" applyAlignment="1">
      <alignment horizontal="center" vertical="center"/>
    </xf>
    <xf numFmtId="0" fontId="52" fillId="0" borderId="145" xfId="2" applyFont="1" applyBorder="1" applyAlignment="1">
      <alignment horizontal="center" vertical="center"/>
    </xf>
    <xf numFmtId="0" fontId="49" fillId="19" borderId="78" xfId="2" applyFont="1" applyFill="1" applyBorder="1" applyAlignment="1">
      <alignment horizontal="left" vertical="top" wrapText="1"/>
    </xf>
    <xf numFmtId="0" fontId="49" fillId="19" borderId="50" xfId="2" applyFont="1" applyFill="1" applyBorder="1" applyAlignment="1">
      <alignment horizontal="left" vertical="top" wrapText="1"/>
    </xf>
    <xf numFmtId="0" fontId="49" fillId="19" borderId="45" xfId="2" applyFont="1" applyFill="1" applyBorder="1" applyAlignment="1">
      <alignment horizontal="left" vertical="top" wrapText="1"/>
    </xf>
    <xf numFmtId="0" fontId="49" fillId="19" borderId="31" xfId="2" applyFont="1" applyFill="1" applyBorder="1" applyAlignment="1">
      <alignment horizontal="left" wrapText="1"/>
    </xf>
    <xf numFmtId="0" fontId="49" fillId="19" borderId="15" xfId="2" applyFont="1" applyFill="1" applyBorder="1" applyAlignment="1">
      <alignment horizontal="left" wrapText="1"/>
    </xf>
    <xf numFmtId="0" fontId="49" fillId="19" borderId="74" xfId="2" applyFont="1" applyFill="1" applyBorder="1" applyAlignment="1">
      <alignment horizontal="left" wrapText="1"/>
    </xf>
    <xf numFmtId="0" fontId="49" fillId="19" borderId="31" xfId="2" applyFont="1" applyFill="1" applyBorder="1" applyAlignment="1">
      <alignment horizontal="center" vertical="top" wrapText="1"/>
    </xf>
    <xf numFmtId="0" fontId="49" fillId="19" borderId="15" xfId="2" applyFont="1" applyFill="1" applyBorder="1" applyAlignment="1">
      <alignment horizontal="center" vertical="top" wrapText="1"/>
    </xf>
    <xf numFmtId="0" fontId="49" fillId="19" borderId="74" xfId="2" applyFont="1" applyFill="1" applyBorder="1" applyAlignment="1">
      <alignment horizontal="center" vertical="top" wrapText="1"/>
    </xf>
    <xf numFmtId="0" fontId="49" fillId="19" borderId="32" xfId="2" applyFont="1" applyFill="1" applyBorder="1" applyAlignment="1">
      <alignment horizontal="center" vertical="top" wrapText="1"/>
    </xf>
    <xf numFmtId="0" fontId="49" fillId="19" borderId="0" xfId="2" applyFont="1" applyFill="1" applyAlignment="1">
      <alignment horizontal="center" vertical="top" wrapText="1"/>
    </xf>
    <xf numFmtId="0" fontId="49" fillId="19" borderId="71" xfId="2" applyFont="1" applyFill="1" applyBorder="1" applyAlignment="1">
      <alignment horizontal="center" vertical="top" wrapText="1"/>
    </xf>
    <xf numFmtId="0" fontId="49" fillId="19" borderId="129" xfId="2" applyFont="1" applyFill="1" applyBorder="1" applyAlignment="1">
      <alignment horizontal="center" vertical="top" wrapText="1"/>
    </xf>
    <xf numFmtId="0" fontId="49" fillId="19" borderId="21" xfId="2" applyFont="1" applyFill="1" applyBorder="1" applyAlignment="1">
      <alignment horizontal="center" vertical="top" wrapText="1"/>
    </xf>
    <xf numFmtId="0" fontId="49" fillId="19" borderId="120" xfId="2" applyFont="1" applyFill="1" applyBorder="1" applyAlignment="1">
      <alignment horizontal="center" vertical="top" wrapText="1"/>
    </xf>
    <xf numFmtId="0" fontId="49" fillId="0" borderId="119" xfId="2" applyFont="1" applyBorder="1" applyAlignment="1">
      <alignment horizontal="left" vertical="center" wrapText="1"/>
    </xf>
    <xf numFmtId="0" fontId="49" fillId="0" borderId="37" xfId="2" applyFont="1" applyBorder="1" applyAlignment="1">
      <alignment horizontal="left" vertical="center" wrapText="1"/>
    </xf>
    <xf numFmtId="0" fontId="49" fillId="0" borderId="37" xfId="2" applyFont="1" applyBorder="1" applyAlignment="1" applyProtection="1">
      <alignment horizontal="center" vertical="center" wrapText="1"/>
      <protection locked="0"/>
    </xf>
    <xf numFmtId="0" fontId="49" fillId="20" borderId="32" xfId="2" applyFont="1" applyFill="1" applyBorder="1" applyAlignment="1">
      <alignment horizontal="center" vertical="center" wrapText="1"/>
    </xf>
    <xf numFmtId="0" fontId="49" fillId="20" borderId="71" xfId="2" applyFont="1" applyFill="1" applyBorder="1" applyAlignment="1">
      <alignment horizontal="center" vertical="center" wrapText="1"/>
    </xf>
    <xf numFmtId="0" fontId="49" fillId="20" borderId="78" xfId="2" applyFont="1" applyFill="1" applyBorder="1" applyAlignment="1">
      <alignment horizontal="center" vertical="center" wrapText="1"/>
    </xf>
    <xf numFmtId="0" fontId="49" fillId="20" borderId="77" xfId="2" applyFont="1" applyFill="1" applyBorder="1" applyAlignment="1">
      <alignment horizontal="center" vertical="center" wrapText="1"/>
    </xf>
    <xf numFmtId="0" fontId="52" fillId="0" borderId="102" xfId="2" applyFont="1" applyBorder="1" applyAlignment="1">
      <alignment horizontal="center"/>
    </xf>
    <xf numFmtId="0" fontId="52" fillId="0" borderId="92" xfId="2" applyFont="1" applyBorder="1" applyAlignment="1">
      <alignment horizontal="center"/>
    </xf>
    <xf numFmtId="0" fontId="49" fillId="0" borderId="137" xfId="2" applyFont="1" applyBorder="1" applyAlignment="1">
      <alignment horizontal="center"/>
    </xf>
    <xf numFmtId="0" fontId="75" fillId="0" borderId="31" xfId="2" applyFont="1" applyBorder="1" applyAlignment="1">
      <alignment horizontal="center" vertical="center" wrapText="1"/>
    </xf>
    <xf numFmtId="0" fontId="75" fillId="0" borderId="74" xfId="2" applyFont="1" applyBorder="1" applyAlignment="1">
      <alignment horizontal="center" vertical="center" wrapText="1"/>
    </xf>
    <xf numFmtId="0" fontId="75" fillId="0" borderId="32" xfId="2" applyFont="1" applyBorder="1" applyAlignment="1">
      <alignment horizontal="center" vertical="center" wrapText="1"/>
    </xf>
    <xf numFmtId="0" fontId="75" fillId="0" borderId="71" xfId="2" applyFont="1" applyBorder="1" applyAlignment="1">
      <alignment horizontal="center" vertical="center" wrapText="1"/>
    </xf>
    <xf numFmtId="0" fontId="75" fillId="0" borderId="139" xfId="2" applyFont="1" applyBorder="1" applyAlignment="1">
      <alignment horizontal="center" vertical="center" wrapText="1"/>
    </xf>
    <xf numFmtId="0" fontId="75" fillId="0" borderId="140" xfId="2" applyFont="1" applyBorder="1" applyAlignment="1">
      <alignment horizontal="center" vertical="center" wrapText="1"/>
    </xf>
    <xf numFmtId="0" fontId="49" fillId="0" borderId="37" xfId="2" applyFont="1" applyBorder="1" applyAlignment="1" applyProtection="1">
      <alignment horizontal="center" vertical="center"/>
      <protection locked="0"/>
    </xf>
    <xf numFmtId="0" fontId="49" fillId="0" borderId="113" xfId="2" applyFont="1" applyBorder="1" applyAlignment="1" applyProtection="1">
      <alignment horizontal="center" vertical="center"/>
      <protection locked="0"/>
    </xf>
    <xf numFmtId="0" fontId="49" fillId="19" borderId="102" xfId="2" applyFont="1" applyFill="1" applyBorder="1" applyAlignment="1">
      <alignment horizontal="left" vertical="top" wrapText="1"/>
    </xf>
    <xf numFmtId="0" fontId="49" fillId="19" borderId="85" xfId="2" applyFont="1" applyFill="1" applyBorder="1" applyAlignment="1">
      <alignment horizontal="left" vertical="top" wrapText="1"/>
    </xf>
    <xf numFmtId="0" fontId="49" fillId="19" borderId="92" xfId="2" applyFont="1" applyFill="1" applyBorder="1" applyAlignment="1">
      <alignment horizontal="left" vertical="top" wrapText="1"/>
    </xf>
    <xf numFmtId="0" fontId="49" fillId="0" borderId="32" xfId="2" applyFont="1" applyBorder="1" applyAlignment="1" applyProtection="1">
      <alignment horizontal="center"/>
      <protection locked="0"/>
    </xf>
    <xf numFmtId="0" fontId="49" fillId="0" borderId="71" xfId="2" applyFont="1" applyBorder="1" applyAlignment="1" applyProtection="1">
      <alignment horizontal="center"/>
      <protection locked="0"/>
    </xf>
    <xf numFmtId="0" fontId="49" fillId="0" borderId="78" xfId="2" applyFont="1" applyBorder="1" applyAlignment="1" applyProtection="1">
      <alignment horizontal="center"/>
      <protection locked="0"/>
    </xf>
    <xf numFmtId="0" fontId="49" fillId="0" borderId="77" xfId="2" applyFont="1" applyBorder="1" applyAlignment="1" applyProtection="1">
      <alignment horizontal="center"/>
      <protection locked="0"/>
    </xf>
    <xf numFmtId="0" fontId="59" fillId="19" borderId="238" xfId="2" applyFont="1" applyFill="1" applyBorder="1" applyAlignment="1">
      <alignment horizontal="center" wrapText="1"/>
    </xf>
    <xf numFmtId="0" fontId="59" fillId="19" borderId="239" xfId="2" applyFont="1" applyFill="1" applyBorder="1" applyAlignment="1">
      <alignment horizontal="center" wrapText="1"/>
    </xf>
    <xf numFmtId="0" fontId="59" fillId="19" borderId="240" xfId="2" applyFont="1" applyFill="1" applyBorder="1" applyAlignment="1">
      <alignment horizontal="center" wrapText="1"/>
    </xf>
    <xf numFmtId="0" fontId="59" fillId="19" borderId="241" xfId="2" applyFont="1" applyFill="1" applyBorder="1" applyAlignment="1">
      <alignment horizontal="center" wrapText="1"/>
    </xf>
    <xf numFmtId="0" fontId="59" fillId="19" borderId="244" xfId="2" applyFont="1" applyFill="1" applyBorder="1" applyAlignment="1">
      <alignment horizontal="center" wrapText="1"/>
    </xf>
    <xf numFmtId="0" fontId="59" fillId="19" borderId="245" xfId="2" applyFont="1" applyFill="1" applyBorder="1" applyAlignment="1">
      <alignment horizontal="center" wrapText="1"/>
    </xf>
    <xf numFmtId="0" fontId="49" fillId="19" borderId="238" xfId="2" applyFont="1" applyFill="1" applyBorder="1" applyAlignment="1">
      <alignment horizontal="center" vertical="top" wrapText="1"/>
    </xf>
    <xf numFmtId="0" fontId="49" fillId="19" borderId="240" xfId="2" applyFont="1" applyFill="1" applyBorder="1" applyAlignment="1">
      <alignment horizontal="center" vertical="top" wrapText="1"/>
    </xf>
    <xf numFmtId="0" fontId="49" fillId="19" borderId="244" xfId="2" applyFont="1" applyFill="1" applyBorder="1" applyAlignment="1">
      <alignment horizontal="center" vertical="top" wrapText="1"/>
    </xf>
    <xf numFmtId="0" fontId="49" fillId="19" borderId="50" xfId="2" applyFont="1" applyFill="1" applyBorder="1" applyAlignment="1">
      <alignment horizontal="center" vertical="top" wrapText="1"/>
    </xf>
    <xf numFmtId="0" fontId="68" fillId="19" borderId="15" xfId="2" applyFont="1" applyFill="1" applyBorder="1" applyAlignment="1">
      <alignment horizontal="center" vertical="top" wrapText="1"/>
    </xf>
    <xf numFmtId="0" fontId="68" fillId="19" borderId="239" xfId="2" applyFont="1" applyFill="1" applyBorder="1" applyAlignment="1">
      <alignment horizontal="center" vertical="top" wrapText="1"/>
    </xf>
    <xf numFmtId="0" fontId="68" fillId="19" borderId="0" xfId="2" applyFont="1" applyFill="1" applyAlignment="1">
      <alignment horizontal="center" vertical="top" wrapText="1"/>
    </xf>
    <xf numFmtId="0" fontId="68" fillId="19" borderId="241" xfId="2" applyFont="1" applyFill="1" applyBorder="1" applyAlignment="1">
      <alignment horizontal="center" vertical="top" wrapText="1"/>
    </xf>
    <xf numFmtId="0" fontId="68" fillId="19" borderId="50" xfId="2" applyFont="1" applyFill="1" applyBorder="1" applyAlignment="1">
      <alignment horizontal="center" vertical="top" wrapText="1"/>
    </xf>
    <xf numFmtId="0" fontId="68" fillId="19" borderId="245" xfId="2" applyFont="1" applyFill="1" applyBorder="1" applyAlignment="1">
      <alignment horizontal="center" vertical="top" wrapText="1"/>
    </xf>
    <xf numFmtId="0" fontId="68" fillId="19" borderId="238" xfId="2" applyFont="1" applyFill="1" applyBorder="1" applyAlignment="1">
      <alignment horizontal="center" vertical="top" wrapText="1"/>
    </xf>
    <xf numFmtId="0" fontId="68" fillId="19" borderId="81" xfId="2" applyFont="1" applyFill="1" applyBorder="1" applyAlignment="1">
      <alignment horizontal="center" vertical="top" wrapText="1"/>
    </xf>
    <xf numFmtId="0" fontId="68" fillId="19" borderId="240" xfId="2" applyFont="1" applyFill="1" applyBorder="1" applyAlignment="1">
      <alignment horizontal="center" vertical="top" wrapText="1"/>
    </xf>
    <xf numFmtId="0" fontId="68" fillId="19" borderId="69" xfId="2" applyFont="1" applyFill="1" applyBorder="1" applyAlignment="1">
      <alignment horizontal="center" vertical="top" wrapText="1"/>
    </xf>
    <xf numFmtId="0" fontId="68" fillId="19" borderId="244" xfId="2" applyFont="1" applyFill="1" applyBorder="1" applyAlignment="1">
      <alignment horizontal="center" vertical="top" wrapText="1"/>
    </xf>
    <xf numFmtId="0" fontId="68" fillId="19" borderId="45" xfId="2" applyFont="1" applyFill="1" applyBorder="1" applyAlignment="1">
      <alignment horizontal="center" vertical="top" wrapText="1"/>
    </xf>
    <xf numFmtId="0" fontId="6" fillId="0" borderId="238"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239" xfId="2" applyFont="1" applyBorder="1" applyAlignment="1" applyProtection="1">
      <alignment horizontal="center" vertical="center" wrapText="1"/>
      <protection locked="0"/>
    </xf>
    <xf numFmtId="0" fontId="6" fillId="0" borderId="240"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241" xfId="2" applyFont="1" applyBorder="1" applyAlignment="1" applyProtection="1">
      <alignment horizontal="center" vertical="center" wrapText="1"/>
      <protection locked="0"/>
    </xf>
    <xf numFmtId="0" fontId="6" fillId="0" borderId="244" xfId="2" applyFont="1" applyBorder="1" applyAlignment="1" applyProtection="1">
      <alignment horizontal="center" vertical="center" wrapText="1"/>
      <protection locked="0"/>
    </xf>
    <xf numFmtId="0" fontId="6" fillId="0" borderId="50" xfId="2" applyFont="1" applyBorder="1" applyAlignment="1" applyProtection="1">
      <alignment horizontal="center" vertical="center" wrapText="1"/>
      <protection locked="0"/>
    </xf>
    <xf numFmtId="0" fontId="6" fillId="0" borderId="245" xfId="2" applyFont="1" applyBorder="1" applyAlignment="1" applyProtection="1">
      <alignment horizontal="center" vertical="center" wrapText="1"/>
      <protection locked="0"/>
    </xf>
    <xf numFmtId="0" fontId="49" fillId="20" borderId="46" xfId="2" applyFont="1" applyFill="1" applyBorder="1" applyAlignment="1">
      <alignment horizontal="center" vertical="center" wrapText="1"/>
    </xf>
    <xf numFmtId="0" fontId="49" fillId="20" borderId="48" xfId="2" applyFont="1" applyFill="1" applyBorder="1" applyAlignment="1">
      <alignment horizontal="center" vertical="center" wrapText="1"/>
    </xf>
    <xf numFmtId="0" fontId="52" fillId="2" borderId="0" xfId="2" applyFont="1" applyFill="1"/>
    <xf numFmtId="0" fontId="5" fillId="2" borderId="0" xfId="0" applyFont="1" applyFill="1"/>
    <xf numFmtId="0" fontId="5" fillId="0" borderId="0" xfId="0" applyFont="1"/>
    <xf numFmtId="0" fontId="49" fillId="0" borderId="228" xfId="2" applyFont="1" applyBorder="1" applyAlignment="1" applyProtection="1">
      <alignment horizontal="center" vertical="top"/>
      <protection locked="0"/>
    </xf>
    <xf numFmtId="0" fontId="49" fillId="0" borderId="212" xfId="2" applyFont="1" applyBorder="1" applyAlignment="1" applyProtection="1">
      <alignment horizontal="center" vertical="top"/>
      <protection locked="0"/>
    </xf>
    <xf numFmtId="0" fontId="49" fillId="0" borderId="206" xfId="2" applyFont="1" applyBorder="1" applyAlignment="1" applyProtection="1">
      <alignment horizontal="center" vertical="top"/>
      <protection locked="0"/>
    </xf>
    <xf numFmtId="0" fontId="49" fillId="0" borderId="78" xfId="2" applyFont="1" applyBorder="1" applyAlignment="1" applyProtection="1">
      <alignment horizontal="center" vertical="top"/>
      <protection locked="0"/>
    </xf>
    <xf numFmtId="0" fontId="49" fillId="0" borderId="50" xfId="2" applyFont="1" applyBorder="1" applyAlignment="1" applyProtection="1">
      <alignment horizontal="center" vertical="top"/>
      <protection locked="0"/>
    </xf>
    <xf numFmtId="0" fontId="49" fillId="0" borderId="229" xfId="2" applyFont="1" applyBorder="1" applyAlignment="1" applyProtection="1">
      <alignment horizontal="center" vertical="top"/>
      <protection locked="0"/>
    </xf>
    <xf numFmtId="0" fontId="49" fillId="6" borderId="0" xfId="2" applyFont="1" applyFill="1" applyAlignment="1">
      <alignment horizontal="left" vertical="top" wrapText="1"/>
    </xf>
    <xf numFmtId="0" fontId="6" fillId="0" borderId="220" xfId="2" applyFont="1" applyBorder="1" applyAlignment="1">
      <alignment horizontal="left"/>
    </xf>
    <xf numFmtId="0" fontId="6" fillId="0" borderId="21" xfId="2" applyFont="1" applyBorder="1" applyAlignment="1">
      <alignment horizontal="left"/>
    </xf>
    <xf numFmtId="0" fontId="6" fillId="0" borderId="177" xfId="2" applyFont="1" applyBorder="1" applyAlignment="1">
      <alignment horizontal="left"/>
    </xf>
    <xf numFmtId="14" fontId="6" fillId="0" borderId="21" xfId="2" applyNumberFormat="1" applyFont="1" applyBorder="1" applyAlignment="1">
      <alignment horizontal="left"/>
    </xf>
    <xf numFmtId="0" fontId="6" fillId="0" borderId="198" xfId="2" applyFont="1" applyBorder="1" applyAlignment="1">
      <alignment horizontal="left"/>
    </xf>
    <xf numFmtId="0" fontId="6" fillId="0" borderId="179" xfId="2" applyFont="1" applyBorder="1" applyAlignment="1">
      <alignment horizontal="left"/>
    </xf>
    <xf numFmtId="0" fontId="52" fillId="19" borderId="46" xfId="2" applyFont="1" applyFill="1" applyBorder="1" applyAlignment="1">
      <alignment horizontal="center" vertical="center"/>
    </xf>
    <xf numFmtId="0" fontId="52" fillId="19" borderId="48" xfId="2" applyFont="1" applyFill="1" applyBorder="1" applyAlignment="1">
      <alignment horizontal="center" vertical="center"/>
    </xf>
    <xf numFmtId="0" fontId="52" fillId="19" borderId="46" xfId="2" applyFont="1" applyFill="1" applyBorder="1" applyAlignment="1">
      <alignment horizontal="center" vertical="center" wrapText="1"/>
    </xf>
    <xf numFmtId="0" fontId="52" fillId="19" borderId="27" xfId="2" applyFont="1" applyFill="1" applyBorder="1" applyAlignment="1">
      <alignment horizontal="center" vertical="center" wrapText="1"/>
    </xf>
    <xf numFmtId="0" fontId="52" fillId="19" borderId="48" xfId="2" applyFont="1" applyFill="1" applyBorder="1" applyAlignment="1">
      <alignment horizontal="center" vertical="center" wrapText="1"/>
    </xf>
    <xf numFmtId="0" fontId="57" fillId="19" borderId="27" xfId="2" applyFont="1" applyFill="1" applyBorder="1" applyAlignment="1">
      <alignment horizontal="center" vertical="center" wrapText="1"/>
    </xf>
    <xf numFmtId="0" fontId="57" fillId="19" borderId="48" xfId="2" applyFont="1" applyFill="1" applyBorder="1" applyAlignment="1">
      <alignment horizontal="center" vertical="center" wrapText="1"/>
    </xf>
    <xf numFmtId="0" fontId="52" fillId="9" borderId="46" xfId="2" applyFont="1" applyFill="1" applyBorder="1" applyAlignment="1">
      <alignment horizontal="center" vertical="center" wrapText="1"/>
    </xf>
    <xf numFmtId="0" fontId="52" fillId="9" borderId="48" xfId="2" applyFont="1" applyFill="1" applyBorder="1" applyAlignment="1">
      <alignment horizontal="center" vertical="center" wrapText="1"/>
    </xf>
    <xf numFmtId="0" fontId="49" fillId="0" borderId="216" xfId="2" applyFont="1" applyBorder="1" applyAlignment="1">
      <alignment horizontal="center" vertical="center"/>
    </xf>
    <xf numFmtId="0" fontId="49" fillId="0" borderId="230" xfId="2" applyFont="1" applyBorder="1" applyAlignment="1">
      <alignment horizontal="center" vertical="center"/>
    </xf>
    <xf numFmtId="0" fontId="49" fillId="0" borderId="31" xfId="2" applyFont="1" applyBorder="1" applyAlignment="1" applyProtection="1">
      <alignment horizontal="center" vertical="center"/>
      <protection locked="0"/>
    </xf>
    <xf numFmtId="0" fontId="49" fillId="0" borderId="74" xfId="2" applyFont="1" applyBorder="1" applyAlignment="1" applyProtection="1">
      <alignment horizontal="center" vertical="center"/>
      <protection locked="0"/>
    </xf>
    <xf numFmtId="0" fontId="49" fillId="0" borderId="78" xfId="2" applyFont="1" applyBorder="1" applyAlignment="1" applyProtection="1">
      <alignment horizontal="center" vertical="center"/>
      <protection locked="0"/>
    </xf>
    <xf numFmtId="0" fontId="49" fillId="0" borderId="77" xfId="2" applyFont="1" applyBorder="1" applyAlignment="1" applyProtection="1">
      <alignment horizontal="center" vertical="center"/>
      <protection locked="0"/>
    </xf>
    <xf numFmtId="0" fontId="49" fillId="0" borderId="32" xfId="2" applyFont="1" applyBorder="1" applyAlignment="1" applyProtection="1">
      <alignment horizontal="left"/>
      <protection locked="0"/>
    </xf>
    <xf numFmtId="0" fontId="49" fillId="0" borderId="0" xfId="2" applyFont="1" applyAlignment="1" applyProtection="1">
      <alignment horizontal="left"/>
      <protection locked="0"/>
    </xf>
    <xf numFmtId="0" fontId="49" fillId="0" borderId="71" xfId="2" applyFont="1" applyBorder="1" applyAlignment="1" applyProtection="1">
      <alignment horizontal="left"/>
      <protection locked="0"/>
    </xf>
    <xf numFmtId="0" fontId="49" fillId="0" borderId="78" xfId="2" applyFont="1" applyBorder="1" applyAlignment="1" applyProtection="1">
      <alignment horizontal="left"/>
      <protection locked="0"/>
    </xf>
    <xf numFmtId="0" fontId="49" fillId="0" borderId="50" xfId="2" applyFont="1" applyBorder="1" applyAlignment="1" applyProtection="1">
      <alignment horizontal="left"/>
      <protection locked="0"/>
    </xf>
    <xf numFmtId="0" fontId="49" fillId="0" borderId="77" xfId="2" applyFont="1" applyBorder="1" applyAlignment="1" applyProtection="1">
      <alignment horizontal="left"/>
      <protection locked="0"/>
    </xf>
    <xf numFmtId="0" fontId="52" fillId="0" borderId="32" xfId="2" applyFont="1" applyBorder="1" applyAlignment="1" applyProtection="1">
      <alignment horizontal="center" vertical="top" wrapText="1"/>
      <protection locked="0"/>
    </xf>
    <xf numFmtId="0" fontId="52" fillId="0" borderId="0" xfId="2" applyFont="1" applyAlignment="1" applyProtection="1">
      <alignment horizontal="center" vertical="top" wrapText="1"/>
      <protection locked="0"/>
    </xf>
    <xf numFmtId="0" fontId="52" fillId="0" borderId="71" xfId="2" applyFont="1" applyBorder="1" applyAlignment="1" applyProtection="1">
      <alignment horizontal="center" vertical="top" wrapText="1"/>
      <protection locked="0"/>
    </xf>
    <xf numFmtId="0" fontId="49" fillId="0" borderId="104" xfId="2" applyFont="1" applyBorder="1" applyAlignment="1">
      <alignment horizontal="left" vertical="center" wrapText="1"/>
    </xf>
    <xf numFmtId="0" fontId="49" fillId="0" borderId="44" xfId="2" applyFont="1" applyBorder="1" applyAlignment="1">
      <alignment horizontal="left" vertical="center" wrapText="1"/>
    </xf>
    <xf numFmtId="0" fontId="52" fillId="9" borderId="31" xfId="2" applyFont="1" applyFill="1" applyBorder="1" applyAlignment="1">
      <alignment horizontal="center" vertical="center"/>
    </xf>
    <xf numFmtId="0" fontId="52" fillId="9" borderId="74" xfId="2" applyFont="1" applyFill="1" applyBorder="1" applyAlignment="1">
      <alignment horizontal="center" vertical="center"/>
    </xf>
    <xf numFmtId="0" fontId="49" fillId="0" borderId="31" xfId="2" applyFont="1" applyBorder="1" applyAlignment="1">
      <alignment horizontal="center" textRotation="90" wrapText="1"/>
    </xf>
    <xf numFmtId="0" fontId="49" fillId="0" borderId="78" xfId="2" applyFont="1" applyBorder="1" applyAlignment="1">
      <alignment horizontal="center" textRotation="90" wrapText="1"/>
    </xf>
    <xf numFmtId="0" fontId="49" fillId="0" borderId="30" xfId="2" applyFont="1" applyBorder="1" applyAlignment="1">
      <alignment horizontal="center" textRotation="90" wrapText="1"/>
    </xf>
    <xf numFmtId="0" fontId="49" fillId="0" borderId="79" xfId="2" applyFont="1" applyBorder="1" applyAlignment="1">
      <alignment horizontal="center" textRotation="90" wrapText="1"/>
    </xf>
    <xf numFmtId="0" fontId="49" fillId="0" borderId="224" xfId="2" applyFont="1" applyBorder="1" applyAlignment="1">
      <alignment horizontal="center" textRotation="90" wrapText="1"/>
    </xf>
    <xf numFmtId="0" fontId="49" fillId="0" borderId="135" xfId="2" applyFont="1" applyBorder="1" applyAlignment="1">
      <alignment horizontal="center" textRotation="90" wrapText="1"/>
    </xf>
    <xf numFmtId="0" fontId="49" fillId="0" borderId="143" xfId="2" applyFont="1" applyBorder="1" applyAlignment="1">
      <alignment horizontal="center" textRotation="90" wrapText="1"/>
    </xf>
    <xf numFmtId="0" fontId="49" fillId="0" borderId="19" xfId="2" applyFont="1" applyBorder="1" applyAlignment="1">
      <alignment horizontal="center" textRotation="90" wrapText="1"/>
    </xf>
    <xf numFmtId="0" fontId="49" fillId="19" borderId="31" xfId="2" applyFont="1" applyFill="1" applyBorder="1" applyAlignment="1">
      <alignment horizontal="left" vertical="center" wrapText="1"/>
    </xf>
    <xf numFmtId="0" fontId="49" fillId="19" borderId="15" xfId="2" applyFont="1" applyFill="1" applyBorder="1" applyAlignment="1">
      <alignment horizontal="left" vertical="center" wrapText="1"/>
    </xf>
    <xf numFmtId="0" fontId="49" fillId="19" borderId="74" xfId="2" applyFont="1" applyFill="1" applyBorder="1" applyAlignment="1">
      <alignment horizontal="left" vertical="center" wrapText="1"/>
    </xf>
    <xf numFmtId="0" fontId="49" fillId="19" borderId="129" xfId="2" applyFont="1" applyFill="1" applyBorder="1" applyAlignment="1">
      <alignment horizontal="left" vertical="center" wrapText="1"/>
    </xf>
    <xf numFmtId="0" fontId="49" fillId="19" borderId="21" xfId="2" applyFont="1" applyFill="1" applyBorder="1" applyAlignment="1">
      <alignment horizontal="left" vertical="center" wrapText="1"/>
    </xf>
    <xf numFmtId="0" fontId="49" fillId="19" borderId="120" xfId="2" applyFont="1" applyFill="1" applyBorder="1" applyAlignment="1">
      <alignment horizontal="left" vertical="center" wrapText="1"/>
    </xf>
    <xf numFmtId="0" fontId="49" fillId="0" borderId="147" xfId="2" applyFont="1" applyBorder="1" applyAlignment="1">
      <alignment horizontal="left"/>
    </xf>
    <xf numFmtId="0" fontId="49" fillId="0" borderId="226" xfId="2" applyFont="1" applyBorder="1" applyAlignment="1">
      <alignment horizontal="left"/>
    </xf>
    <xf numFmtId="0" fontId="49" fillId="0" borderId="129" xfId="2" applyFont="1" applyBorder="1" applyAlignment="1">
      <alignment horizontal="left" vertical="center"/>
    </xf>
    <xf numFmtId="0" fontId="49" fillId="0" borderId="21" xfId="2" applyFont="1" applyBorder="1" applyAlignment="1">
      <alignment horizontal="left" vertical="center"/>
    </xf>
    <xf numFmtId="0" fontId="49" fillId="0" borderId="130" xfId="2" applyFont="1" applyBorder="1" applyAlignment="1">
      <alignment horizontal="left" vertical="center" wrapText="1"/>
    </xf>
    <xf numFmtId="0" fontId="49" fillId="0" borderId="24" xfId="2" applyFont="1" applyBorder="1" applyAlignment="1">
      <alignment horizontal="left" vertical="center" wrapText="1"/>
    </xf>
    <xf numFmtId="0" fontId="52" fillId="0" borderId="131" xfId="2" applyFont="1" applyBorder="1" applyAlignment="1">
      <alignment horizontal="center" vertical="center"/>
    </xf>
    <xf numFmtId="0" fontId="52" fillId="0" borderId="132" xfId="2" applyFont="1" applyBorder="1" applyAlignment="1">
      <alignment horizontal="center" vertical="center"/>
    </xf>
    <xf numFmtId="0" fontId="49" fillId="20" borderId="227" xfId="2" applyFont="1" applyFill="1" applyBorder="1" applyAlignment="1">
      <alignment horizontal="center" vertical="center"/>
    </xf>
    <xf numFmtId="0" fontId="49" fillId="20" borderId="87" xfId="2" applyFont="1" applyFill="1" applyBorder="1" applyAlignment="1">
      <alignment horizontal="center" vertical="center"/>
    </xf>
    <xf numFmtId="0" fontId="49" fillId="19" borderId="31" xfId="2" applyFont="1" applyFill="1" applyBorder="1" applyAlignment="1">
      <alignment horizontal="left" vertical="top" wrapText="1"/>
    </xf>
    <xf numFmtId="0" fontId="49" fillId="19" borderId="15" xfId="2" applyFont="1" applyFill="1" applyBorder="1" applyAlignment="1">
      <alignment horizontal="left" vertical="top" wrapText="1"/>
    </xf>
    <xf numFmtId="0" fontId="49" fillId="19" borderId="74" xfId="2" applyFont="1" applyFill="1" applyBorder="1" applyAlignment="1">
      <alignment horizontal="left" vertical="top" wrapText="1"/>
    </xf>
    <xf numFmtId="0" fontId="49" fillId="19" borderId="46" xfId="2" applyFont="1" applyFill="1" applyBorder="1" applyAlignment="1">
      <alignment horizontal="left" vertical="top" wrapText="1"/>
    </xf>
    <xf numFmtId="0" fontId="49" fillId="19" borderId="27" xfId="2" applyFont="1" applyFill="1" applyBorder="1" applyAlignment="1">
      <alignment horizontal="left" vertical="top" wrapText="1"/>
    </xf>
    <xf numFmtId="0" fontId="49" fillId="19" borderId="48" xfId="2" applyFont="1" applyFill="1" applyBorder="1" applyAlignment="1">
      <alignment horizontal="left" vertical="top" wrapText="1"/>
    </xf>
    <xf numFmtId="0" fontId="49" fillId="0" borderId="15" xfId="2" applyFont="1" applyBorder="1" applyAlignment="1">
      <alignment horizontal="center" textRotation="90" wrapText="1"/>
    </xf>
    <xf numFmtId="0" fontId="49" fillId="0" borderId="50" xfId="2" applyFont="1" applyBorder="1" applyAlignment="1">
      <alignment horizontal="center" textRotation="90" wrapText="1"/>
    </xf>
    <xf numFmtId="0" fontId="49" fillId="0" borderId="31" xfId="2" applyFont="1" applyBorder="1" applyAlignment="1">
      <alignment horizontal="left" wrapText="1"/>
    </xf>
    <xf numFmtId="0" fontId="49" fillId="0" borderId="15" xfId="2" applyFont="1" applyBorder="1" applyAlignment="1">
      <alignment horizontal="left" wrapText="1"/>
    </xf>
    <xf numFmtId="0" fontId="49" fillId="0" borderId="81" xfId="2" applyFont="1" applyBorder="1" applyAlignment="1">
      <alignment horizontal="left" wrapText="1"/>
    </xf>
    <xf numFmtId="0" fontId="49" fillId="0" borderId="78" xfId="2" applyFont="1" applyBorder="1" applyAlignment="1">
      <alignment horizontal="left" wrapText="1"/>
    </xf>
    <xf numFmtId="0" fontId="49" fillId="0" borderId="50" xfId="2" applyFont="1" applyBorder="1" applyAlignment="1">
      <alignment horizontal="left" wrapText="1"/>
    </xf>
    <xf numFmtId="0" fontId="49" fillId="0" borderId="45" xfId="2" applyFont="1" applyBorder="1" applyAlignment="1">
      <alignment horizontal="left" wrapText="1"/>
    </xf>
    <xf numFmtId="0" fontId="49" fillId="0" borderId="15" xfId="2" applyFont="1" applyBorder="1" applyAlignment="1" applyProtection="1">
      <alignment horizontal="center" vertical="center" wrapText="1"/>
      <protection locked="0"/>
    </xf>
    <xf numFmtId="0" fontId="49" fillId="0" borderId="74" xfId="2" applyFont="1" applyBorder="1" applyAlignment="1" applyProtection="1">
      <alignment horizontal="center" vertical="center" wrapText="1"/>
      <protection locked="0"/>
    </xf>
    <xf numFmtId="0" fontId="49" fillId="0" borderId="50" xfId="2" applyFont="1" applyBorder="1" applyAlignment="1" applyProtection="1">
      <alignment horizontal="center" vertical="center" wrapText="1"/>
      <protection locked="0"/>
    </xf>
    <xf numFmtId="0" fontId="49" fillId="0" borderId="77" xfId="2" applyFont="1" applyBorder="1" applyAlignment="1" applyProtection="1">
      <alignment horizontal="center" vertical="center" wrapText="1"/>
      <protection locked="0"/>
    </xf>
    <xf numFmtId="0" fontId="49" fillId="19" borderId="129" xfId="2" applyFont="1" applyFill="1" applyBorder="1" applyAlignment="1">
      <alignment horizontal="left" vertical="top" wrapText="1"/>
    </xf>
    <xf numFmtId="0" fontId="49" fillId="19" borderId="21" xfId="2" applyFont="1" applyFill="1" applyBorder="1" applyAlignment="1">
      <alignment horizontal="left" vertical="top" wrapText="1"/>
    </xf>
    <xf numFmtId="0" fontId="49" fillId="19" borderId="120" xfId="2" applyFont="1" applyFill="1" applyBorder="1" applyAlignment="1">
      <alignment horizontal="left" vertical="top" wrapText="1"/>
    </xf>
    <xf numFmtId="0" fontId="52" fillId="0" borderId="116" xfId="2" applyFont="1" applyBorder="1" applyAlignment="1">
      <alignment horizontal="center" vertical="center"/>
    </xf>
    <xf numFmtId="0" fontId="52" fillId="0" borderId="115" xfId="2" applyFont="1" applyBorder="1" applyAlignment="1">
      <alignment horizontal="center" vertical="center"/>
    </xf>
    <xf numFmtId="0" fontId="52" fillId="0" borderId="136" xfId="2" applyFont="1" applyBorder="1" applyAlignment="1">
      <alignment horizontal="center" vertical="center"/>
    </xf>
    <xf numFmtId="0" fontId="52" fillId="0" borderId="138" xfId="2" applyFont="1" applyBorder="1" applyAlignment="1">
      <alignment horizontal="center" vertical="center"/>
    </xf>
    <xf numFmtId="0" fontId="52" fillId="0" borderId="31" xfId="2" applyFont="1" applyBorder="1" applyAlignment="1">
      <alignment horizontal="center" vertical="center"/>
    </xf>
    <xf numFmtId="0" fontId="52" fillId="0" borderId="74" xfId="2" applyFont="1" applyBorder="1" applyAlignment="1">
      <alignment horizontal="center" vertical="center"/>
    </xf>
    <xf numFmtId="0" fontId="52" fillId="19" borderId="78" xfId="2" applyFont="1" applyFill="1" applyBorder="1" applyAlignment="1">
      <alignment horizontal="left" vertical="top" wrapText="1"/>
    </xf>
    <xf numFmtId="0" fontId="52" fillId="19" borderId="50" xfId="2" applyFont="1" applyFill="1" applyBorder="1" applyAlignment="1">
      <alignment horizontal="left" vertical="top" wrapText="1"/>
    </xf>
    <xf numFmtId="0" fontId="52" fillId="19" borderId="77" xfId="2" applyFont="1" applyFill="1" applyBorder="1" applyAlignment="1">
      <alignment horizontal="left" vertical="top" wrapText="1"/>
    </xf>
    <xf numFmtId="0" fontId="49" fillId="0" borderId="73" xfId="2" applyFont="1" applyBorder="1" applyAlignment="1">
      <alignment horizontal="center" vertical="center" wrapText="1"/>
    </xf>
    <xf numFmtId="0" fontId="49" fillId="0" borderId="72" xfId="2" applyFont="1" applyBorder="1" applyAlignment="1">
      <alignment horizontal="center" vertical="center" wrapText="1"/>
    </xf>
    <xf numFmtId="0" fontId="49" fillId="0" borderId="74" xfId="2" applyFont="1" applyBorder="1" applyAlignment="1">
      <alignment horizontal="center" vertical="center" wrapText="1"/>
    </xf>
    <xf numFmtId="0" fontId="49" fillId="0" borderId="77" xfId="2" applyFont="1" applyBorder="1" applyAlignment="1">
      <alignment horizontal="center" vertical="center" wrapText="1"/>
    </xf>
    <xf numFmtId="0" fontId="49" fillId="0" borderId="91" xfId="2" applyFont="1" applyBorder="1" applyAlignment="1">
      <alignment horizontal="center" textRotation="90" wrapText="1"/>
    </xf>
    <xf numFmtId="0" fontId="49" fillId="0" borderId="83" xfId="2" applyFont="1" applyBorder="1" applyAlignment="1">
      <alignment horizontal="center" textRotation="90" wrapText="1"/>
    </xf>
    <xf numFmtId="2" fontId="6" fillId="20" borderId="104" xfId="2" applyNumberFormat="1" applyFont="1" applyFill="1" applyBorder="1" applyAlignment="1">
      <alignment horizontal="center" vertical="center"/>
    </xf>
    <xf numFmtId="2" fontId="6" fillId="20" borderId="88" xfId="2" applyNumberFormat="1" applyFont="1" applyFill="1" applyBorder="1" applyAlignment="1">
      <alignment horizontal="center" vertical="center"/>
    </xf>
    <xf numFmtId="0" fontId="6" fillId="20" borderId="103" xfId="2" applyFont="1" applyFill="1" applyBorder="1" applyAlignment="1">
      <alignment horizontal="center" vertical="center"/>
    </xf>
    <xf numFmtId="0" fontId="52" fillId="0" borderId="102" xfId="2" applyFont="1" applyBorder="1" applyAlignment="1">
      <alignment horizontal="center" vertical="center"/>
    </xf>
    <xf numFmtId="0" fontId="52" fillId="0" borderId="92" xfId="2" applyFont="1" applyBorder="1" applyAlignment="1">
      <alignment horizontal="center" vertical="center"/>
    </xf>
    <xf numFmtId="0" fontId="6" fillId="20" borderId="32" xfId="2" applyFont="1" applyFill="1" applyBorder="1" applyAlignment="1">
      <alignment horizontal="center" vertical="center"/>
    </xf>
    <xf numFmtId="0" fontId="6" fillId="20" borderId="71" xfId="2" applyFont="1" applyFill="1" applyBorder="1" applyAlignment="1">
      <alignment horizontal="center" vertical="center"/>
    </xf>
    <xf numFmtId="2" fontId="6" fillId="20" borderId="104" xfId="2" applyNumberFormat="1" applyFont="1" applyFill="1" applyBorder="1" applyAlignment="1">
      <alignment horizontal="center" vertical="center" wrapText="1"/>
    </xf>
    <xf numFmtId="2" fontId="6" fillId="20" borderId="88" xfId="2" applyNumberFormat="1" applyFont="1" applyFill="1" applyBorder="1" applyAlignment="1">
      <alignment horizontal="center" vertical="center" wrapText="1"/>
    </xf>
    <xf numFmtId="0" fontId="6" fillId="20" borderId="104" xfId="2" applyFont="1" applyFill="1" applyBorder="1" applyAlignment="1">
      <alignment horizontal="center" vertical="center"/>
    </xf>
    <xf numFmtId="0" fontId="0" fillId="0" borderId="88" xfId="0" applyBorder="1" applyAlignment="1">
      <alignment horizontal="center" vertical="center"/>
    </xf>
    <xf numFmtId="1" fontId="6" fillId="20" borderId="104" xfId="2" applyNumberFormat="1" applyFont="1" applyFill="1" applyBorder="1" applyAlignment="1">
      <alignment horizontal="center" vertical="center"/>
    </xf>
    <xf numFmtId="1" fontId="6" fillId="20" borderId="88" xfId="2" applyNumberFormat="1" applyFont="1" applyFill="1" applyBorder="1" applyAlignment="1">
      <alignment horizontal="center" vertical="center"/>
    </xf>
    <xf numFmtId="0" fontId="78" fillId="0" borderId="0" xfId="0" applyFont="1" applyAlignment="1">
      <alignment horizontal="center"/>
    </xf>
    <xf numFmtId="0" fontId="78" fillId="0" borderId="0" xfId="0" applyFont="1" applyAlignment="1">
      <alignment horizontal="right"/>
    </xf>
    <xf numFmtId="0" fontId="46" fillId="0" borderId="0" xfId="0" applyFont="1" applyAlignment="1">
      <alignment horizontal="center"/>
    </xf>
    <xf numFmtId="0" fontId="49" fillId="0" borderId="149" xfId="2" applyFont="1" applyBorder="1" applyAlignment="1">
      <alignment horizontal="center"/>
    </xf>
    <xf numFmtId="0" fontId="49" fillId="0" borderId="148" xfId="2" applyFont="1" applyBorder="1" applyAlignment="1">
      <alignment horizontal="center"/>
    </xf>
    <xf numFmtId="0" fontId="49" fillId="0" borderId="257" xfId="2" applyFont="1" applyBorder="1" applyAlignment="1">
      <alignment horizontal="center" vertical="center"/>
    </xf>
    <xf numFmtId="0" fontId="49" fillId="0" borderId="255" xfId="2" applyFont="1" applyBorder="1" applyAlignment="1">
      <alignment horizontal="center"/>
    </xf>
    <xf numFmtId="0" fontId="49" fillId="0" borderId="254" xfId="2" applyFont="1" applyBorder="1" applyAlignment="1">
      <alignment horizontal="center"/>
    </xf>
    <xf numFmtId="0" fontId="49" fillId="19" borderId="77" xfId="2" applyFont="1" applyFill="1" applyBorder="1" applyAlignment="1">
      <alignment horizontal="center" vertical="top" wrapText="1"/>
    </xf>
    <xf numFmtId="0" fontId="68" fillId="19" borderId="31" xfId="2" applyFont="1" applyFill="1" applyBorder="1" applyAlignment="1">
      <alignment horizontal="center" vertical="top" wrapText="1"/>
    </xf>
    <xf numFmtId="0" fontId="68" fillId="19" borderId="74" xfId="2" applyFont="1" applyFill="1" applyBorder="1" applyAlignment="1">
      <alignment horizontal="center" vertical="top" wrapText="1"/>
    </xf>
    <xf numFmtId="0" fontId="68" fillId="19" borderId="32" xfId="2" applyFont="1" applyFill="1" applyBorder="1" applyAlignment="1">
      <alignment horizontal="center" vertical="top" wrapText="1"/>
    </xf>
    <xf numFmtId="0" fontId="68" fillId="19" borderId="71" xfId="2" applyFont="1" applyFill="1" applyBorder="1" applyAlignment="1">
      <alignment horizontal="center" vertical="top" wrapText="1"/>
    </xf>
    <xf numFmtId="0" fontId="68" fillId="19" borderId="78" xfId="2" applyFont="1" applyFill="1" applyBorder="1" applyAlignment="1">
      <alignment horizontal="center" vertical="top" wrapText="1"/>
    </xf>
    <xf numFmtId="0" fontId="68" fillId="19" borderId="77" xfId="2" applyFont="1" applyFill="1" applyBorder="1" applyAlignment="1">
      <alignment horizontal="center" vertical="top" wrapText="1"/>
    </xf>
    <xf numFmtId="0" fontId="49" fillId="0" borderId="256" xfId="2" applyFont="1" applyBorder="1" applyAlignment="1">
      <alignment horizontal="center" vertical="center"/>
    </xf>
    <xf numFmtId="0" fontId="49" fillId="0" borderId="69" xfId="2" applyFont="1" applyBorder="1" applyAlignment="1">
      <alignment horizontal="center" vertical="center"/>
    </xf>
    <xf numFmtId="0" fontId="49" fillId="0" borderId="45" xfId="2" applyFont="1" applyBorder="1" applyAlignment="1">
      <alignment horizontal="center" vertical="center"/>
    </xf>
    <xf numFmtId="0" fontId="49" fillId="0" borderId="81" xfId="2" applyFont="1" applyBorder="1" applyAlignment="1">
      <alignment horizontal="center" vertical="center"/>
    </xf>
    <xf numFmtId="2" fontId="49" fillId="0" borderId="0" xfId="2" applyNumberFormat="1" applyFont="1" applyAlignment="1">
      <alignment horizontal="left" wrapText="1"/>
    </xf>
    <xf numFmtId="0" fontId="52" fillId="9" borderId="31" xfId="2" applyFont="1" applyFill="1" applyBorder="1" applyAlignment="1">
      <alignment horizontal="left" vertical="center" wrapText="1"/>
    </xf>
    <xf numFmtId="0" fontId="52" fillId="9" borderId="74" xfId="2" applyFont="1" applyFill="1" applyBorder="1" applyAlignment="1">
      <alignment horizontal="left" vertical="center" wrapText="1"/>
    </xf>
    <xf numFmtId="0" fontId="52" fillId="9" borderId="32" xfId="2" applyFont="1" applyFill="1" applyBorder="1" applyAlignment="1">
      <alignment horizontal="left" vertical="center" wrapText="1"/>
    </xf>
    <xf numFmtId="0" fontId="52" fillId="9" borderId="71" xfId="2" applyFont="1" applyFill="1" applyBorder="1" applyAlignment="1">
      <alignment horizontal="left" vertical="center" wrapText="1"/>
    </xf>
    <xf numFmtId="0" fontId="52" fillId="9" borderId="78" xfId="2" applyFont="1" applyFill="1" applyBorder="1" applyAlignment="1">
      <alignment horizontal="left" vertical="center" wrapText="1"/>
    </xf>
    <xf numFmtId="0" fontId="52" fillId="9" borderId="77" xfId="2" applyFont="1" applyFill="1" applyBorder="1" applyAlignment="1">
      <alignment horizontal="left" vertical="center" wrapText="1"/>
    </xf>
  </cellXfs>
  <cellStyles count="3">
    <cellStyle name="Normal" xfId="0" builtinId="0"/>
    <cellStyle name="Normal 2" xfId="2" xr:uid="{00000000-0005-0000-0000-000001000000}"/>
    <cellStyle name="Percent" xfId="1" builtinId="5"/>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FFFFFF"/>
      <color rgb="FFFF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9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12\D120101.00%20WP%20Stream%20Assessment\03%20Working%20Docs_Analysis\Task%203%20Calculator\calculator\Aug-Sept%202013%20revisions\06%20Project%20Library\Sagebrush_Sage_Grouse_Habitat_Metric_Calculator.Version_1.0.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alculator"/>
      <sheetName val="VegData"/>
      <sheetName val="RarePlants (for Q #8)"/>
      <sheetName val="RareVertebrates (for Q #9)"/>
      <sheetName val="Cover Page Form"/>
      <sheetName val="Project Site Visit Form"/>
      <sheetName val="VegData Form"/>
    </sheetNames>
    <sheetDataSet>
      <sheetData sheetId="0"/>
      <sheetData sheetId="1">
        <row r="151">
          <cell r="E151">
            <v>0</v>
          </cell>
        </row>
      </sheetData>
      <sheetData sheetId="2">
        <row r="2">
          <cell r="AL2" t="str">
            <v>A</v>
          </cell>
        </row>
        <row r="3">
          <cell r="AL3" t="str">
            <v>B</v>
          </cell>
        </row>
        <row r="4">
          <cell r="AL4" t="str">
            <v>C</v>
          </cell>
        </row>
        <row r="5">
          <cell r="AL5" t="str">
            <v>D</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image" Target="../media/image1.png"/><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ustomProperty" Target="../customProperty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8"/>
  <sheetViews>
    <sheetView tabSelected="1" zoomScaleNormal="100" zoomScalePageLayoutView="50" workbookViewId="0">
      <selection sqref="A1:H1"/>
    </sheetView>
  </sheetViews>
  <sheetFormatPr defaultColWidth="8.88671875" defaultRowHeight="14.4" x14ac:dyDescent="0.3"/>
  <cols>
    <col min="1" max="1" width="24.6640625" style="585" customWidth="1"/>
    <col min="2" max="3" width="16" style="585" customWidth="1"/>
    <col min="4" max="6" width="17.6640625" style="585" customWidth="1"/>
    <col min="7" max="7" width="18.6640625" style="585" customWidth="1"/>
    <col min="8" max="8" width="16.88671875" style="585" customWidth="1"/>
    <col min="9" max="16384" width="8.88671875" style="585"/>
  </cols>
  <sheetData>
    <row r="1" spans="1:12" ht="25.5" customHeight="1" thickTop="1" x14ac:dyDescent="0.3">
      <c r="A1" s="706" t="s">
        <v>136</v>
      </c>
      <c r="B1" s="707"/>
      <c r="C1" s="707"/>
      <c r="D1" s="707"/>
      <c r="E1" s="707"/>
      <c r="F1" s="707"/>
      <c r="G1" s="707"/>
      <c r="H1" s="708"/>
    </row>
    <row r="2" spans="1:12" ht="15.6" thickBot="1" x14ac:dyDescent="0.35">
      <c r="A2" s="709" t="s">
        <v>541</v>
      </c>
      <c r="B2" s="710"/>
      <c r="C2" s="710"/>
      <c r="D2" s="710"/>
      <c r="E2" s="710"/>
      <c r="F2" s="710"/>
      <c r="G2" s="710"/>
      <c r="H2" s="711"/>
    </row>
    <row r="3" spans="1:12" ht="15.6" thickTop="1" thickBot="1" x14ac:dyDescent="0.35">
      <c r="A3" s="67"/>
      <c r="B3" s="67"/>
      <c r="C3" s="67"/>
      <c r="D3" s="67"/>
      <c r="E3" s="67"/>
      <c r="F3" s="67"/>
      <c r="G3" s="67"/>
    </row>
    <row r="4" spans="1:12" ht="32.4" thickTop="1" thickBot="1" x14ac:dyDescent="0.35">
      <c r="A4" s="77" t="s">
        <v>134</v>
      </c>
      <c r="B4" s="691"/>
      <c r="C4" s="692"/>
      <c r="D4" s="77" t="s">
        <v>118</v>
      </c>
      <c r="E4" s="78"/>
      <c r="F4" s="77" t="s">
        <v>1</v>
      </c>
      <c r="G4" s="428"/>
      <c r="H4"/>
    </row>
    <row r="5" spans="1:12" ht="31.5" customHeight="1" thickTop="1" thickBot="1" x14ac:dyDescent="0.35">
      <c r="A5" s="77" t="s">
        <v>0</v>
      </c>
      <c r="B5" s="691"/>
      <c r="C5" s="692"/>
      <c r="D5" s="77" t="s">
        <v>439</v>
      </c>
      <c r="E5" s="79"/>
      <c r="F5" s="77" t="s">
        <v>2</v>
      </c>
      <c r="G5" s="429"/>
      <c r="H5"/>
      <c r="I5"/>
    </row>
    <row r="6" spans="1:12" ht="16.8" thickTop="1" thickBot="1" x14ac:dyDescent="0.35">
      <c r="A6" s="77"/>
      <c r="B6" s="693"/>
      <c r="C6" s="694"/>
      <c r="D6" s="81"/>
      <c r="E6" s="81"/>
      <c r="F6" s="712" t="s">
        <v>3</v>
      </c>
      <c r="G6" s="713"/>
      <c r="H6"/>
      <c r="J6" s="68"/>
      <c r="K6" s="68"/>
      <c r="L6" s="68"/>
    </row>
    <row r="7" spans="1:12" ht="32.4" thickTop="1" thickBot="1" x14ac:dyDescent="0.35">
      <c r="A7" s="77" t="s">
        <v>101</v>
      </c>
      <c r="B7" s="691"/>
      <c r="C7" s="692"/>
      <c r="D7" s="77" t="s">
        <v>132</v>
      </c>
      <c r="E7" s="79"/>
      <c r="F7" s="77" t="s">
        <v>133</v>
      </c>
      <c r="G7" s="80"/>
      <c r="H7"/>
    </row>
    <row r="8" spans="1:12" ht="12" customHeight="1" thickTop="1" thickBot="1" x14ac:dyDescent="0.35">
      <c r="A8" s="82"/>
      <c r="B8" s="82"/>
      <c r="C8" s="83"/>
      <c r="D8" s="84"/>
      <c r="E8" s="85"/>
      <c r="F8" s="84"/>
      <c r="G8" s="84"/>
      <c r="H8"/>
    </row>
    <row r="9" spans="1:12" ht="29.25" customHeight="1" thickTop="1" thickBot="1" x14ac:dyDescent="0.35">
      <c r="A9" s="77" t="s">
        <v>511</v>
      </c>
      <c r="B9" s="695"/>
      <c r="C9" s="696"/>
      <c r="D9" s="77" t="s">
        <v>128</v>
      </c>
      <c r="E9" s="697"/>
      <c r="F9" s="698"/>
      <c r="G9" s="698"/>
      <c r="H9" s="699"/>
    </row>
    <row r="10" spans="1:12" ht="16.2" customHeight="1" thickTop="1" thickBot="1" x14ac:dyDescent="0.35">
      <c r="A10" s="82"/>
      <c r="B10" s="82"/>
      <c r="C10" s="83"/>
      <c r="D10" s="84"/>
      <c r="E10" s="85"/>
      <c r="F10" s="84"/>
      <c r="G10" s="84"/>
      <c r="H10"/>
    </row>
    <row r="11" spans="1:12" ht="37.5" customHeight="1" thickTop="1" thickBot="1" x14ac:dyDescent="0.35">
      <c r="A11" s="729" t="s">
        <v>437</v>
      </c>
      <c r="B11" s="730"/>
      <c r="C11" s="730"/>
      <c r="D11" s="730"/>
      <c r="E11" s="730"/>
      <c r="F11" s="730"/>
      <c r="G11" s="750"/>
      <c r="H11" s="751"/>
    </row>
    <row r="12" spans="1:12" ht="33" customHeight="1" x14ac:dyDescent="0.3">
      <c r="A12" s="742" t="s">
        <v>433</v>
      </c>
      <c r="B12" s="743"/>
      <c r="C12" s="744"/>
      <c r="D12" s="744"/>
      <c r="E12" s="744"/>
      <c r="F12" s="744"/>
      <c r="G12" s="744"/>
      <c r="H12" s="745"/>
    </row>
    <row r="13" spans="1:12" ht="33" customHeight="1" x14ac:dyDescent="0.3">
      <c r="A13" s="702" t="s">
        <v>261</v>
      </c>
      <c r="B13" s="703"/>
      <c r="C13" s="140"/>
      <c r="D13" s="704" t="s">
        <v>217</v>
      </c>
      <c r="E13" s="705"/>
      <c r="F13" s="140"/>
      <c r="G13" s="700"/>
      <c r="H13" s="701"/>
    </row>
    <row r="14" spans="1:12" ht="38.25" customHeight="1" thickBot="1" x14ac:dyDescent="0.35">
      <c r="A14" s="689" t="s">
        <v>250</v>
      </c>
      <c r="B14" s="690"/>
      <c r="C14" s="141"/>
      <c r="D14" s="687" t="s">
        <v>226</v>
      </c>
      <c r="E14" s="688"/>
      <c r="F14" s="141"/>
      <c r="G14" s="748" t="s">
        <v>227</v>
      </c>
      <c r="H14" s="749"/>
    </row>
    <row r="15" spans="1:12" ht="11.25" customHeight="1" thickBot="1" x14ac:dyDescent="0.35">
      <c r="A15" s="89"/>
      <c r="B15" s="89"/>
      <c r="C15" s="90"/>
      <c r="D15" s="89"/>
      <c r="E15" s="86"/>
      <c r="F15" s="88"/>
      <c r="G15" s="586"/>
      <c r="H15"/>
    </row>
    <row r="16" spans="1:12" ht="24.75" customHeight="1" thickBot="1" x14ac:dyDescent="0.35">
      <c r="A16" s="725" t="s">
        <v>438</v>
      </c>
      <c r="B16" s="726"/>
      <c r="C16" s="727"/>
      <c r="D16" s="728"/>
      <c r="E16" s="756"/>
      <c r="F16" s="757"/>
      <c r="G16" s="760"/>
      <c r="H16" s="761"/>
    </row>
    <row r="17" spans="1:9" ht="25.2" customHeight="1" thickBot="1" x14ac:dyDescent="0.35">
      <c r="A17" s="752" t="s">
        <v>434</v>
      </c>
      <c r="B17" s="753"/>
      <c r="C17" s="753"/>
      <c r="D17" s="754"/>
      <c r="E17" s="756"/>
      <c r="F17" s="757"/>
      <c r="G17" s="758" t="str">
        <f>IF(E17="","",IF(OR(E17="Columbia Plateau",E17="Northern Basin and Range",E17="Snake River Plain"),"Xeric","Western Mountains"))</f>
        <v/>
      </c>
      <c r="H17" s="759"/>
    </row>
    <row r="18" spans="1:9" ht="25.2" customHeight="1" thickBot="1" x14ac:dyDescent="0.35">
      <c r="A18" s="752" t="s">
        <v>435</v>
      </c>
      <c r="B18" s="753"/>
      <c r="C18" s="753"/>
      <c r="D18" s="754"/>
      <c r="E18" s="756"/>
      <c r="F18" s="757"/>
      <c r="G18" s="766" t="str">
        <f>IF(E18="","",IF(E18="&gt; 50 feet","Large","Small"))</f>
        <v/>
      </c>
      <c r="H18" s="767"/>
    </row>
    <row r="19" spans="1:9" ht="25.2" customHeight="1" thickBot="1" x14ac:dyDescent="0.35">
      <c r="A19" s="752" t="s">
        <v>525</v>
      </c>
      <c r="B19" s="753"/>
      <c r="C19" s="753"/>
      <c r="D19" s="754"/>
      <c r="E19" s="768"/>
      <c r="F19" s="769"/>
      <c r="G19" s="762"/>
      <c r="H19" s="763"/>
    </row>
    <row r="20" spans="1:9" ht="25.2" customHeight="1" thickBot="1" x14ac:dyDescent="0.35">
      <c r="A20" s="755" t="s">
        <v>436</v>
      </c>
      <c r="B20" s="753"/>
      <c r="C20" s="753"/>
      <c r="D20" s="754"/>
      <c r="E20" s="768"/>
      <c r="F20" s="769"/>
      <c r="G20" s="764"/>
      <c r="H20" s="765"/>
    </row>
    <row r="21" spans="1:9" ht="15" thickBot="1" x14ac:dyDescent="0.35">
      <c r="A21"/>
      <c r="B21"/>
      <c r="C21"/>
      <c r="D21"/>
      <c r="E21"/>
      <c r="F21"/>
      <c r="G21"/>
      <c r="H21"/>
    </row>
    <row r="22" spans="1:9" ht="31.5" customHeight="1" thickTop="1" thickBot="1" x14ac:dyDescent="0.35">
      <c r="A22" s="729" t="s">
        <v>218</v>
      </c>
      <c r="B22" s="746"/>
      <c r="C22" s="746"/>
      <c r="D22" s="746"/>
      <c r="E22" s="746"/>
      <c r="F22" s="746"/>
      <c r="G22" s="746"/>
      <c r="H22" s="747"/>
    </row>
    <row r="23" spans="1:9" ht="55.5" customHeight="1" x14ac:dyDescent="0.3">
      <c r="A23" s="717"/>
      <c r="B23" s="731"/>
      <c r="C23" s="731"/>
      <c r="D23" s="731"/>
      <c r="E23" s="731"/>
      <c r="F23" s="731"/>
      <c r="G23" s="731"/>
      <c r="H23" s="732"/>
    </row>
    <row r="24" spans="1:9" x14ac:dyDescent="0.3">
      <c r="A24" s="733"/>
      <c r="B24" s="731"/>
      <c r="C24" s="731"/>
      <c r="D24" s="731"/>
      <c r="E24" s="731"/>
      <c r="F24" s="731"/>
      <c r="G24" s="731"/>
      <c r="H24" s="732"/>
    </row>
    <row r="25" spans="1:9" x14ac:dyDescent="0.3">
      <c r="A25" s="733"/>
      <c r="B25" s="731"/>
      <c r="C25" s="731"/>
      <c r="D25" s="731"/>
      <c r="E25" s="731"/>
      <c r="F25" s="731"/>
      <c r="G25" s="731"/>
      <c r="H25" s="732"/>
    </row>
    <row r="26" spans="1:9" ht="15" thickBot="1" x14ac:dyDescent="0.35">
      <c r="A26" s="734"/>
      <c r="B26" s="735"/>
      <c r="C26" s="735"/>
      <c r="D26" s="735"/>
      <c r="E26" s="735"/>
      <c r="F26" s="735"/>
      <c r="G26" s="735"/>
      <c r="H26" s="736"/>
    </row>
    <row r="27" spans="1:9" ht="15.6" thickTop="1" thickBot="1" x14ac:dyDescent="0.35">
      <c r="A27" s="87"/>
      <c r="B27" s="82"/>
      <c r="C27" s="83"/>
      <c r="D27" s="84"/>
      <c r="E27" s="85"/>
      <c r="F27" s="84"/>
      <c r="G27" s="84"/>
      <c r="H27"/>
    </row>
    <row r="28" spans="1:9" ht="54" customHeight="1" thickTop="1" thickBot="1" x14ac:dyDescent="0.35">
      <c r="A28" s="737" t="s">
        <v>219</v>
      </c>
      <c r="B28" s="730"/>
      <c r="C28" s="730"/>
      <c r="D28" s="730"/>
      <c r="E28" s="730"/>
      <c r="F28" s="730"/>
      <c r="G28" s="730"/>
      <c r="H28" s="738"/>
    </row>
    <row r="29" spans="1:9" x14ac:dyDescent="0.3">
      <c r="A29" s="714"/>
      <c r="B29" s="715"/>
      <c r="C29" s="715"/>
      <c r="D29" s="715"/>
      <c r="E29" s="715"/>
      <c r="F29" s="715"/>
      <c r="G29" s="715"/>
      <c r="H29" s="739"/>
    </row>
    <row r="30" spans="1:9" x14ac:dyDescent="0.3">
      <c r="A30" s="717"/>
      <c r="B30" s="718"/>
      <c r="C30" s="718"/>
      <c r="D30" s="718"/>
      <c r="E30" s="718"/>
      <c r="F30" s="718"/>
      <c r="G30" s="718"/>
      <c r="H30" s="740"/>
    </row>
    <row r="31" spans="1:9" x14ac:dyDescent="0.3">
      <c r="A31" s="717"/>
      <c r="B31" s="718"/>
      <c r="C31" s="718"/>
      <c r="D31" s="718"/>
      <c r="E31" s="718"/>
      <c r="F31" s="718"/>
      <c r="G31" s="718"/>
      <c r="H31" s="740"/>
      <c r="I31"/>
    </row>
    <row r="32" spans="1:9" ht="16.2" customHeight="1" x14ac:dyDescent="0.3">
      <c r="A32" s="717"/>
      <c r="B32" s="718"/>
      <c r="C32" s="718"/>
      <c r="D32" s="718"/>
      <c r="E32" s="718"/>
      <c r="F32" s="718"/>
      <c r="G32" s="718"/>
      <c r="H32" s="740"/>
    </row>
    <row r="33" spans="1:9" ht="16.5" customHeight="1" x14ac:dyDescent="0.3">
      <c r="A33" s="717"/>
      <c r="B33" s="718"/>
      <c r="C33" s="718"/>
      <c r="D33" s="718"/>
      <c r="E33" s="718"/>
      <c r="F33" s="718"/>
      <c r="G33" s="718"/>
      <c r="H33" s="740"/>
    </row>
    <row r="34" spans="1:9" x14ac:dyDescent="0.3">
      <c r="A34" s="717"/>
      <c r="B34" s="718"/>
      <c r="C34" s="718"/>
      <c r="D34" s="718"/>
      <c r="E34" s="718"/>
      <c r="F34" s="718"/>
      <c r="G34" s="718"/>
      <c r="H34" s="740"/>
    </row>
    <row r="35" spans="1:9" x14ac:dyDescent="0.3">
      <c r="A35" s="717"/>
      <c r="B35" s="718"/>
      <c r="C35" s="718"/>
      <c r="D35" s="718"/>
      <c r="E35" s="718"/>
      <c r="F35" s="718"/>
      <c r="G35" s="718"/>
      <c r="H35" s="740"/>
    </row>
    <row r="36" spans="1:9" ht="15" thickBot="1" x14ac:dyDescent="0.35">
      <c r="A36" s="720"/>
      <c r="B36" s="721"/>
      <c r="C36" s="721"/>
      <c r="D36" s="721"/>
      <c r="E36" s="721"/>
      <c r="F36" s="721"/>
      <c r="G36" s="721"/>
      <c r="H36" s="741"/>
    </row>
    <row r="37" spans="1:9" ht="15.6" thickTop="1" thickBot="1" x14ac:dyDescent="0.35">
      <c r="A37"/>
      <c r="B37"/>
      <c r="C37"/>
      <c r="D37"/>
      <c r="E37"/>
      <c r="F37"/>
      <c r="G37"/>
      <c r="H37"/>
    </row>
    <row r="38" spans="1:9" ht="16.8" thickTop="1" thickBot="1" x14ac:dyDescent="0.35">
      <c r="A38" s="723" t="s">
        <v>220</v>
      </c>
      <c r="B38" s="723"/>
      <c r="C38" s="723"/>
      <c r="D38" s="723"/>
      <c r="E38" s="723"/>
      <c r="F38" s="723"/>
      <c r="G38" s="723"/>
      <c r="H38" s="724"/>
      <c r="I38" s="587"/>
    </row>
    <row r="39" spans="1:9" x14ac:dyDescent="0.3">
      <c r="A39" s="714"/>
      <c r="B39" s="715"/>
      <c r="C39" s="715"/>
      <c r="D39" s="715"/>
      <c r="E39" s="715"/>
      <c r="F39" s="715"/>
      <c r="G39" s="715"/>
      <c r="H39" s="716"/>
    </row>
    <row r="40" spans="1:9" x14ac:dyDescent="0.3">
      <c r="A40" s="717"/>
      <c r="B40" s="718"/>
      <c r="C40" s="718"/>
      <c r="D40" s="718"/>
      <c r="E40" s="718"/>
      <c r="F40" s="718"/>
      <c r="G40" s="718"/>
      <c r="H40" s="719"/>
    </row>
    <row r="41" spans="1:9" x14ac:dyDescent="0.3">
      <c r="A41" s="717"/>
      <c r="B41" s="718"/>
      <c r="C41" s="718"/>
      <c r="D41" s="718"/>
      <c r="E41" s="718"/>
      <c r="F41" s="718"/>
      <c r="G41" s="718"/>
      <c r="H41" s="719"/>
    </row>
    <row r="42" spans="1:9" x14ac:dyDescent="0.3">
      <c r="A42" s="717"/>
      <c r="B42" s="718"/>
      <c r="C42" s="718"/>
      <c r="D42" s="718"/>
      <c r="E42" s="718"/>
      <c r="F42" s="718"/>
      <c r="G42" s="718"/>
      <c r="H42" s="719"/>
    </row>
    <row r="43" spans="1:9" x14ac:dyDescent="0.3">
      <c r="A43" s="717"/>
      <c r="B43" s="718"/>
      <c r="C43" s="718"/>
      <c r="D43" s="718"/>
      <c r="E43" s="718"/>
      <c r="F43" s="718"/>
      <c r="G43" s="718"/>
      <c r="H43" s="719"/>
    </row>
    <row r="44" spans="1:9" x14ac:dyDescent="0.3">
      <c r="A44" s="717"/>
      <c r="B44" s="718"/>
      <c r="C44" s="718"/>
      <c r="D44" s="718"/>
      <c r="E44" s="718"/>
      <c r="F44" s="718"/>
      <c r="G44" s="718"/>
      <c r="H44" s="719"/>
    </row>
    <row r="45" spans="1:9" x14ac:dyDescent="0.3">
      <c r="A45" s="717"/>
      <c r="B45" s="718"/>
      <c r="C45" s="718"/>
      <c r="D45" s="718"/>
      <c r="E45" s="718"/>
      <c r="F45" s="718"/>
      <c r="G45" s="718"/>
      <c r="H45" s="719"/>
    </row>
    <row r="46" spans="1:9" x14ac:dyDescent="0.3">
      <c r="A46" s="717"/>
      <c r="B46" s="718"/>
      <c r="C46" s="718"/>
      <c r="D46" s="718"/>
      <c r="E46" s="718"/>
      <c r="F46" s="718"/>
      <c r="G46" s="718"/>
      <c r="H46" s="719"/>
    </row>
    <row r="47" spans="1:9" ht="15" thickBot="1" x14ac:dyDescent="0.35">
      <c r="A47" s="720"/>
      <c r="B47" s="721"/>
      <c r="C47" s="721"/>
      <c r="D47" s="721"/>
      <c r="E47" s="721"/>
      <c r="F47" s="721"/>
      <c r="G47" s="721"/>
      <c r="H47" s="722"/>
    </row>
    <row r="48" spans="1:9" ht="15" thickTop="1" x14ac:dyDescent="0.3"/>
  </sheetData>
  <sheetProtection algorithmName="SHA-512" hashValue="V+UlwzH6YvRfxIrW47qsD+38P9gd4HOnYOdjp8QKWzH/esJg3Bb2vLo3OQPYJHiWW5hxQzVVzocQiwLyBfToYw==" saltValue="WVrk5vNZ5sBMV+YDwlyPQw==" spinCount="100000" sheet="1" objects="1" scenarios="1"/>
  <dataConsolidate/>
  <customSheetViews>
    <customSheetView guid="{6A4D8547-5570-4765-8A78-68572E1AC55E}" fitToPage="1" topLeftCell="A34">
      <selection activeCell="I15" sqref="I15"/>
      <pageMargins left="0.7" right="0.7" top="0.75" bottom="0.75" header="0.3" footer="0.3"/>
      <pageSetup scale="50" fitToHeight="0" orientation="portrait" r:id="rId1"/>
    </customSheetView>
    <customSheetView guid="{76D76C6A-AC69-4DBD-AC07-822026509EDA}" showPageBreaks="1" fitToPage="1">
      <selection activeCell="I11" sqref="I11"/>
      <pageMargins left="0.7" right="0.7" top="0.75" bottom="0.75" header="0.3" footer="0.3"/>
      <pageSetup scale="59" fitToHeight="0" orientation="portrait" r:id="rId2"/>
    </customSheetView>
    <customSheetView guid="{DFF357C0-9B7E-407D-BC84-93A50AD2B553}" fitToPage="1">
      <selection activeCell="F14" sqref="F14"/>
      <pageMargins left="0.7" right="0.7" top="0.75" bottom="0.75" header="0.3" footer="0.3"/>
      <pageSetup scale="50" fitToHeight="0" orientation="portrait" r:id="rId3"/>
    </customSheetView>
    <customSheetView guid="{D0935927-5E0F-4648-A725-887C75D046FC}" fitToPage="1" topLeftCell="A34">
      <selection activeCell="I15" sqref="I15"/>
      <pageMargins left="0.7" right="0.7" top="0.75" bottom="0.75" header="0.3" footer="0.3"/>
      <pageSetup scale="50" fitToHeight="0" orientation="portrait" r:id="rId4"/>
    </customSheetView>
  </customSheetViews>
  <mergeCells count="39">
    <mergeCell ref="A20:D20"/>
    <mergeCell ref="E17:F17"/>
    <mergeCell ref="G17:H17"/>
    <mergeCell ref="G16:H16"/>
    <mergeCell ref="G19:H19"/>
    <mergeCell ref="G20:H20"/>
    <mergeCell ref="A18:D18"/>
    <mergeCell ref="E18:F18"/>
    <mergeCell ref="G18:H18"/>
    <mergeCell ref="E19:F19"/>
    <mergeCell ref="A19:D19"/>
    <mergeCell ref="E20:F20"/>
    <mergeCell ref="E16:F16"/>
    <mergeCell ref="A1:H1"/>
    <mergeCell ref="A2:H2"/>
    <mergeCell ref="F6:G6"/>
    <mergeCell ref="A39:H47"/>
    <mergeCell ref="A38:H38"/>
    <mergeCell ref="A16:D16"/>
    <mergeCell ref="B7:C7"/>
    <mergeCell ref="A11:F11"/>
    <mergeCell ref="A23:H26"/>
    <mergeCell ref="A28:H28"/>
    <mergeCell ref="A29:H36"/>
    <mergeCell ref="A12:H12"/>
    <mergeCell ref="A22:H22"/>
    <mergeCell ref="G14:H14"/>
    <mergeCell ref="G11:H11"/>
    <mergeCell ref="A17:D17"/>
    <mergeCell ref="D14:E14"/>
    <mergeCell ref="A14:B14"/>
    <mergeCell ref="B4:C4"/>
    <mergeCell ref="B5:C5"/>
    <mergeCell ref="B6:C6"/>
    <mergeCell ref="B9:C9"/>
    <mergeCell ref="E9:H9"/>
    <mergeCell ref="G13:H13"/>
    <mergeCell ref="A13:B13"/>
    <mergeCell ref="D13:E13"/>
  </mergeCells>
  <dataValidations count="5">
    <dataValidation type="list" allowBlank="1" showInputMessage="1" showErrorMessage="1" sqref="E16" xr:uid="{00000000-0002-0000-0000-000000000000}">
      <formula1>Flow</formula1>
    </dataValidation>
    <dataValidation type="list" allowBlank="1" showInputMessage="1" showErrorMessage="1" sqref="F15 F13" xr:uid="{00000000-0002-0000-0000-000001000000}">
      <formula1>HL</formula1>
    </dataValidation>
    <dataValidation type="list" allowBlank="1" showInputMessage="1" showErrorMessage="1" sqref="G11" xr:uid="{00000000-0002-0000-0000-000002000000}">
      <formula1>StreamType</formula1>
    </dataValidation>
    <dataValidation type="list" allowBlank="1" showInputMessage="1" showErrorMessage="1" sqref="C14" xr:uid="{00000000-0002-0000-0000-000003000000}">
      <formula1>ErodeOptions</formula1>
    </dataValidation>
    <dataValidation type="list" allowBlank="1" showInputMessage="1" showErrorMessage="1" sqref="B9:C9" xr:uid="{A644905D-7A81-44A0-A8D0-379B16AF082D}">
      <formula1>"Current conditions, Predicted conditions"</formula1>
    </dataValidation>
  </dataValidations>
  <pageMargins left="0.7" right="0.7" top="0.75" bottom="0.75" header="0.3" footer="0.3"/>
  <pageSetup scale="62" fitToHeight="0" orientation="portrait" r:id="rId5"/>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lists!$C$5:$C$6</xm:f>
          </x14:formula1>
          <xm:sqref>C13</xm:sqref>
        </x14:dataValidation>
        <x14:dataValidation type="list" allowBlank="1" showInputMessage="1" showErrorMessage="1" xr:uid="{00000000-0002-0000-0000-000005000000}">
          <x14:formula1>
            <xm:f>lists!$A$4:$A$21</xm:f>
          </x14:formula1>
          <xm:sqref>G11</xm:sqref>
        </x14:dataValidation>
        <x14:dataValidation type="list" allowBlank="1" showInputMessage="1" showErrorMessage="1" xr:uid="{00000000-0002-0000-0000-000006000000}">
          <x14:formula1>
            <xm:f>lists!$E$4:$E$7</xm:f>
          </x14:formula1>
          <xm:sqref>F14:F15</xm:sqref>
        </x14:dataValidation>
        <x14:dataValidation type="list" allowBlank="1" showInputMessage="1" showErrorMessage="1" xr:uid="{00000000-0002-0000-0000-000007000000}">
          <x14:formula1>
            <xm:f>lists!$A$25:$A$33</xm:f>
          </x14:formula1>
          <xm:sqref>E17:F17</xm:sqref>
        </x14:dataValidation>
        <x14:dataValidation type="list" allowBlank="1" showInputMessage="1" showErrorMessage="1" xr:uid="{00000000-0002-0000-0000-000008000000}">
          <x14:formula1>
            <xm:f>lists!$E$5:$E$7</xm:f>
          </x14:formula1>
          <xm:sqref>F14</xm:sqref>
        </x14:dataValidation>
        <x14:dataValidation type="list" allowBlank="1" showInputMessage="1" showErrorMessage="1" xr:uid="{00000000-0002-0000-0000-000009000000}">
          <x14:formula1>
            <xm:f>lists!$C$25:$C$26</xm:f>
          </x14:formula1>
          <xm:sqref>E18:F18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3:O33"/>
  <sheetViews>
    <sheetView workbookViewId="0">
      <selection activeCell="I15" sqref="I15"/>
    </sheetView>
  </sheetViews>
  <sheetFormatPr defaultColWidth="8.88671875" defaultRowHeight="14.4" x14ac:dyDescent="0.3"/>
  <cols>
    <col min="1" max="1" width="35" customWidth="1"/>
    <col min="3" max="3" width="19.88671875" bestFit="1" customWidth="1"/>
    <col min="5" max="5" width="16.33203125" bestFit="1" customWidth="1"/>
    <col min="7" max="7" width="15.88671875" customWidth="1"/>
    <col min="9" max="9" width="11.6640625" bestFit="1" customWidth="1"/>
    <col min="10" max="11" width="2.33203125" bestFit="1" customWidth="1"/>
    <col min="14" max="14" width="13.88671875" customWidth="1"/>
  </cols>
  <sheetData>
    <row r="3" spans="1:15" x14ac:dyDescent="0.3">
      <c r="A3" s="5" t="s">
        <v>72</v>
      </c>
      <c r="C3" s="5" t="s">
        <v>12</v>
      </c>
      <c r="E3" s="5" t="s">
        <v>91</v>
      </c>
      <c r="G3" s="5" t="s">
        <v>105</v>
      </c>
      <c r="I3" s="5"/>
      <c r="J3" s="5"/>
      <c r="M3" s="5"/>
      <c r="O3" s="5"/>
    </row>
    <row r="4" spans="1:15" x14ac:dyDescent="0.3">
      <c r="A4" s="5"/>
      <c r="C4" s="5"/>
      <c r="E4" s="5"/>
      <c r="G4" s="5"/>
    </row>
    <row r="5" spans="1:15" x14ac:dyDescent="0.3">
      <c r="A5" s="4" t="s">
        <v>73</v>
      </c>
      <c r="C5" t="s">
        <v>104</v>
      </c>
      <c r="E5" t="s">
        <v>230</v>
      </c>
      <c r="G5" t="s">
        <v>106</v>
      </c>
    </row>
    <row r="6" spans="1:15" ht="17.25" customHeight="1" x14ac:dyDescent="0.3">
      <c r="A6" s="4" t="s">
        <v>364</v>
      </c>
      <c r="C6" t="s">
        <v>103</v>
      </c>
      <c r="E6" t="s">
        <v>228</v>
      </c>
      <c r="G6" t="s">
        <v>107</v>
      </c>
    </row>
    <row r="7" spans="1:15" ht="19.5" customHeight="1" x14ac:dyDescent="0.3">
      <c r="A7" s="4" t="s">
        <v>268</v>
      </c>
      <c r="E7" t="s">
        <v>229</v>
      </c>
    </row>
    <row r="8" spans="1:15" ht="21" customHeight="1" x14ac:dyDescent="0.3">
      <c r="A8" s="4" t="s">
        <v>269</v>
      </c>
    </row>
    <row r="9" spans="1:15" x14ac:dyDescent="0.3">
      <c r="A9" s="4" t="s">
        <v>270</v>
      </c>
      <c r="C9" s="5" t="s">
        <v>13</v>
      </c>
      <c r="E9" s="5"/>
      <c r="G9" s="5" t="s">
        <v>11</v>
      </c>
    </row>
    <row r="10" spans="1:15" x14ac:dyDescent="0.3">
      <c r="A10" s="4" t="s">
        <v>74</v>
      </c>
      <c r="C10" s="5"/>
      <c r="E10" s="5"/>
      <c r="G10" s="5"/>
    </row>
    <row r="11" spans="1:15" x14ac:dyDescent="0.3">
      <c r="A11" s="4" t="s">
        <v>75</v>
      </c>
      <c r="C11" t="s">
        <v>104</v>
      </c>
      <c r="G11" t="s">
        <v>108</v>
      </c>
    </row>
    <row r="12" spans="1:15" x14ac:dyDescent="0.3">
      <c r="A12" s="4" t="s">
        <v>76</v>
      </c>
      <c r="C12" t="s">
        <v>103</v>
      </c>
      <c r="G12" t="s">
        <v>109</v>
      </c>
    </row>
    <row r="13" spans="1:15" x14ac:dyDescent="0.3">
      <c r="A13" s="4" t="s">
        <v>271</v>
      </c>
      <c r="G13" t="s">
        <v>110</v>
      </c>
    </row>
    <row r="14" spans="1:15" x14ac:dyDescent="0.3">
      <c r="A14" s="4" t="s">
        <v>272</v>
      </c>
    </row>
    <row r="15" spans="1:15" x14ac:dyDescent="0.3">
      <c r="A15" s="4" t="s">
        <v>273</v>
      </c>
    </row>
    <row r="16" spans="1:15" x14ac:dyDescent="0.3">
      <c r="A16" s="4" t="s">
        <v>77</v>
      </c>
      <c r="C16" s="5" t="s">
        <v>124</v>
      </c>
      <c r="G16" s="5"/>
    </row>
    <row r="17" spans="1:3" x14ac:dyDescent="0.3">
      <c r="A17" s="4" t="s">
        <v>78</v>
      </c>
    </row>
    <row r="18" spans="1:3" x14ac:dyDescent="0.3">
      <c r="A18" s="4" t="s">
        <v>79</v>
      </c>
      <c r="C18" t="s">
        <v>125</v>
      </c>
    </row>
    <row r="19" spans="1:3" x14ac:dyDescent="0.3">
      <c r="A19" s="4" t="s">
        <v>80</v>
      </c>
      <c r="C19" t="s">
        <v>126</v>
      </c>
    </row>
    <row r="20" spans="1:3" x14ac:dyDescent="0.3">
      <c r="A20" s="4" t="s">
        <v>81</v>
      </c>
      <c r="C20" t="s">
        <v>127</v>
      </c>
    </row>
    <row r="21" spans="1:3" x14ac:dyDescent="0.3">
      <c r="A21" s="4" t="s">
        <v>82</v>
      </c>
    </row>
    <row r="22" spans="1:3" x14ac:dyDescent="0.3">
      <c r="A22" s="4" t="s">
        <v>427</v>
      </c>
    </row>
    <row r="24" spans="1:3" x14ac:dyDescent="0.3">
      <c r="A24" s="21" t="s">
        <v>191</v>
      </c>
      <c r="C24" s="5" t="s">
        <v>394</v>
      </c>
    </row>
    <row r="25" spans="1:3" x14ac:dyDescent="0.3">
      <c r="A25" s="4" t="s">
        <v>192</v>
      </c>
      <c r="C25" s="497" t="s">
        <v>395</v>
      </c>
    </row>
    <row r="26" spans="1:3" x14ac:dyDescent="0.3">
      <c r="A26" s="4" t="s">
        <v>194</v>
      </c>
      <c r="C26" t="s">
        <v>401</v>
      </c>
    </row>
    <row r="27" spans="1:3" x14ac:dyDescent="0.3">
      <c r="A27" s="4" t="s">
        <v>196</v>
      </c>
    </row>
    <row r="28" spans="1:3" x14ac:dyDescent="0.3">
      <c r="A28" t="s">
        <v>195</v>
      </c>
    </row>
    <row r="29" spans="1:3" x14ac:dyDescent="0.3">
      <c r="A29" t="s">
        <v>197</v>
      </c>
    </row>
    <row r="30" spans="1:3" ht="18.75" customHeight="1" x14ac:dyDescent="0.3">
      <c r="A30" s="4" t="s">
        <v>198</v>
      </c>
    </row>
    <row r="31" spans="1:3" x14ac:dyDescent="0.3">
      <c r="A31" s="4" t="s">
        <v>274</v>
      </c>
    </row>
    <row r="32" spans="1:3" x14ac:dyDescent="0.3">
      <c r="A32" s="4" t="s">
        <v>199</v>
      </c>
    </row>
    <row r="33" spans="1:1" x14ac:dyDescent="0.3">
      <c r="A33" s="4" t="s">
        <v>193</v>
      </c>
    </row>
  </sheetData>
  <customSheetViews>
    <customSheetView guid="{6A4D8547-5570-4765-8A78-68572E1AC55E}" state="hidden">
      <selection activeCell="I3" sqref="I3"/>
      <pageMargins left="0.7" right="0.7" top="0.75" bottom="0.75" header="0.3" footer="0.3"/>
      <pageSetup orientation="portrait"/>
    </customSheetView>
    <customSheetView guid="{76D76C6A-AC69-4DBD-AC07-822026509EDA}" state="hidden">
      <selection activeCell="I3" sqref="I3"/>
      <pageMargins left="0.7" right="0.7" top="0.75" bottom="0.75" header="0.3" footer="0.3"/>
      <pageSetup orientation="portrait"/>
    </customSheetView>
    <customSheetView guid="{DFF357C0-9B7E-407D-BC84-93A50AD2B553}" state="hidden">
      <selection activeCell="I3" sqref="I3"/>
      <pageMargins left="0.7" right="0.7" top="0.75" bottom="0.75" header="0.3" footer="0.3"/>
      <pageSetup orientation="portrait"/>
    </customSheetView>
    <customSheetView guid="{D0935927-5E0F-4648-A725-887C75D046FC}" state="hidden">
      <selection activeCell="I3" sqref="I3"/>
      <pageMargins left="0.7" right="0.7" top="0.75" bottom="0.75" header="0.3" footer="0.3"/>
      <pageSetup orientation="portrait"/>
    </customSheetView>
  </customSheetView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C3:C9"/>
  <sheetViews>
    <sheetView workbookViewId="0">
      <selection activeCell="F23" sqref="F23"/>
    </sheetView>
  </sheetViews>
  <sheetFormatPr defaultColWidth="8.88671875" defaultRowHeight="14.4" x14ac:dyDescent="0.3"/>
  <cols>
    <col min="3" max="3" width="53.44140625" bestFit="1" customWidth="1"/>
  </cols>
  <sheetData>
    <row r="3" spans="3:3" ht="15" thickBot="1" x14ac:dyDescent="0.35"/>
    <row r="4" spans="3:3" x14ac:dyDescent="0.3">
      <c r="C4" s="11" t="s">
        <v>95</v>
      </c>
    </row>
    <row r="5" spans="3:3" x14ac:dyDescent="0.3">
      <c r="C5" s="6" t="s">
        <v>96</v>
      </c>
    </row>
    <row r="6" spans="3:3" x14ac:dyDescent="0.3">
      <c r="C6" s="7" t="s">
        <v>97</v>
      </c>
    </row>
    <row r="7" spans="3:3" x14ac:dyDescent="0.3">
      <c r="C7" s="8" t="s">
        <v>98</v>
      </c>
    </row>
    <row r="8" spans="3:3" x14ac:dyDescent="0.3">
      <c r="C8" s="9" t="s">
        <v>99</v>
      </c>
    </row>
    <row r="9" spans="3:3" ht="15" thickBot="1" x14ac:dyDescent="0.35">
      <c r="C9" s="10" t="s">
        <v>100</v>
      </c>
    </row>
  </sheetData>
  <customSheetViews>
    <customSheetView guid="{6A4D8547-5570-4765-8A78-68572E1AC55E}" state="hidden">
      <selection activeCell="F23" sqref="F23"/>
      <pageMargins left="0.7" right="0.7" top="0.75" bottom="0.75" header="0.3" footer="0.3"/>
    </customSheetView>
    <customSheetView guid="{76D76C6A-AC69-4DBD-AC07-822026509EDA}" state="hidden">
      <selection activeCell="F23" sqref="F23"/>
      <pageMargins left="0.7" right="0.7" top="0.75" bottom="0.75" header="0.3" footer="0.3"/>
    </customSheetView>
    <customSheetView guid="{DFF357C0-9B7E-407D-BC84-93A50AD2B553}" state="hidden">
      <selection activeCell="F23" sqref="F23"/>
      <pageMargins left="0.7" right="0.7" top="0.75" bottom="0.75" header="0.3" footer="0.3"/>
    </customSheetView>
    <customSheetView guid="{D0935927-5E0F-4648-A725-887C75D046FC}" state="hidden">
      <selection activeCell="F23" sqref="F23"/>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4.4" x14ac:dyDescent="0.3"/>
  <sheetData>
    <row r="1" spans="1:1" x14ac:dyDescent="0.3">
      <c r="A1" t="s">
        <v>131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A1:N98"/>
  <sheetViews>
    <sheetView zoomScale="75" zoomScaleNormal="75" zoomScaleSheetLayoutView="75" zoomScalePageLayoutView="75" workbookViewId="0">
      <selection activeCell="G2" sqref="G2:G3"/>
    </sheetView>
  </sheetViews>
  <sheetFormatPr defaultColWidth="8.88671875" defaultRowHeight="14.4" x14ac:dyDescent="0.3"/>
  <cols>
    <col min="1" max="1" width="17.88671875" customWidth="1"/>
    <col min="2" max="2" width="18" customWidth="1"/>
    <col min="3" max="3" width="15" customWidth="1"/>
    <col min="4" max="4" width="15.88671875" customWidth="1"/>
    <col min="5" max="5" width="14" customWidth="1"/>
    <col min="6" max="7" width="25.33203125" customWidth="1"/>
    <col min="8" max="8" width="15.88671875" customWidth="1"/>
    <col min="9" max="10" width="11.44140625" customWidth="1"/>
    <col min="11" max="11" width="15.88671875" customWidth="1"/>
    <col min="14" max="14" width="55.109375" bestFit="1" customWidth="1"/>
  </cols>
  <sheetData>
    <row r="1" spans="1:14" ht="22.2" customHeight="1" thickTop="1" thickBot="1" x14ac:dyDescent="0.35">
      <c r="A1" s="884" t="s">
        <v>137</v>
      </c>
      <c r="B1" s="885"/>
      <c r="C1" s="885"/>
      <c r="D1" s="885"/>
      <c r="E1" s="885"/>
      <c r="F1" s="886"/>
      <c r="G1" s="886"/>
      <c r="H1" s="885"/>
      <c r="I1" s="885"/>
      <c r="J1" s="885"/>
      <c r="K1" s="887"/>
      <c r="N1" s="18"/>
    </row>
    <row r="2" spans="1:14" ht="18.75" customHeight="1" thickTop="1" thickBot="1" x14ac:dyDescent="0.35">
      <c r="A2" s="893" t="s">
        <v>134</v>
      </c>
      <c r="B2" s="902" t="str">
        <f>IF('Cover Page'!B4="","",'Cover Page'!B4)</f>
        <v/>
      </c>
      <c r="C2" s="903"/>
      <c r="D2" s="903"/>
      <c r="E2" s="904"/>
      <c r="F2" s="893" t="s">
        <v>544</v>
      </c>
      <c r="G2" s="895" t="str">
        <f>IF('Cover Page'!B9="","",'Cover Page'!B9)</f>
        <v/>
      </c>
      <c r="H2" s="909" t="s">
        <v>98</v>
      </c>
      <c r="I2" s="910"/>
      <c r="J2" s="910"/>
      <c r="K2" s="911"/>
      <c r="N2" s="19"/>
    </row>
    <row r="3" spans="1:14" ht="17.7" customHeight="1" thickBot="1" x14ac:dyDescent="0.35">
      <c r="A3" s="908"/>
      <c r="B3" s="905"/>
      <c r="C3" s="906"/>
      <c r="D3" s="906"/>
      <c r="E3" s="907"/>
      <c r="F3" s="894"/>
      <c r="G3" s="896"/>
      <c r="H3" s="912" t="s">
        <v>275</v>
      </c>
      <c r="I3" s="913"/>
      <c r="J3" s="913"/>
      <c r="K3" s="914"/>
      <c r="N3" s="19"/>
    </row>
    <row r="4" spans="1:14" ht="21.6" thickBot="1" x14ac:dyDescent="0.35">
      <c r="A4" s="888" t="s">
        <v>14</v>
      </c>
      <c r="B4" s="888"/>
      <c r="C4" s="888"/>
      <c r="D4" s="888"/>
      <c r="E4" s="888"/>
      <c r="F4" s="888"/>
      <c r="G4" s="888"/>
      <c r="H4" s="888"/>
      <c r="I4" s="888"/>
      <c r="J4" s="888"/>
      <c r="K4" s="888"/>
      <c r="N4" s="19"/>
    </row>
    <row r="5" spans="1:14" ht="33" customHeight="1" thickBot="1" x14ac:dyDescent="0.35">
      <c r="A5" s="889" t="s">
        <v>416</v>
      </c>
      <c r="B5" s="890"/>
      <c r="C5" s="890"/>
      <c r="D5" s="890"/>
      <c r="E5" s="890"/>
      <c r="F5" s="890"/>
      <c r="G5" s="890"/>
      <c r="H5" s="890"/>
      <c r="I5" s="890"/>
      <c r="J5" s="890"/>
      <c r="K5" s="891"/>
      <c r="N5" s="19"/>
    </row>
    <row r="6" spans="1:14" ht="31.8" thickBot="1" x14ac:dyDescent="0.35">
      <c r="A6" s="35" t="s">
        <v>8</v>
      </c>
      <c r="B6" s="36" t="s">
        <v>145</v>
      </c>
      <c r="C6" s="36" t="s">
        <v>140</v>
      </c>
      <c r="D6" s="36" t="s">
        <v>141</v>
      </c>
      <c r="E6" s="37" t="s">
        <v>156</v>
      </c>
      <c r="F6" s="892" t="s">
        <v>4</v>
      </c>
      <c r="G6" s="892"/>
      <c r="H6" s="38" t="s">
        <v>5</v>
      </c>
      <c r="I6" s="36"/>
      <c r="J6" s="38"/>
      <c r="K6" s="39" t="s">
        <v>173</v>
      </c>
    </row>
    <row r="7" spans="1:14" ht="147.75" customHeight="1" x14ac:dyDescent="0.3">
      <c r="A7" s="813" t="s">
        <v>372</v>
      </c>
      <c r="B7" s="815" t="s">
        <v>444</v>
      </c>
      <c r="C7" s="816"/>
      <c r="D7" s="816"/>
      <c r="E7" s="817"/>
      <c r="F7" s="817"/>
      <c r="G7" s="817"/>
      <c r="H7" s="818"/>
      <c r="I7" s="818"/>
      <c r="J7" s="818"/>
      <c r="K7" s="819"/>
    </row>
    <row r="8" spans="1:14" ht="22.5" customHeight="1" x14ac:dyDescent="0.3">
      <c r="A8" s="837"/>
      <c r="B8" s="848" t="s">
        <v>248</v>
      </c>
      <c r="C8" s="849"/>
      <c r="D8" s="849"/>
      <c r="E8" s="850"/>
      <c r="F8" s="850"/>
      <c r="G8" s="850"/>
      <c r="H8" s="851"/>
      <c r="I8" s="851"/>
      <c r="J8" s="851"/>
      <c r="K8" s="852"/>
    </row>
    <row r="9" spans="1:14" ht="45" customHeight="1" x14ac:dyDescent="0.3">
      <c r="A9" s="837"/>
      <c r="B9" s="878" t="s">
        <v>150</v>
      </c>
      <c r="C9" s="879" t="s">
        <v>169</v>
      </c>
      <c r="D9" s="879" t="s">
        <v>169</v>
      </c>
      <c r="E9" s="876"/>
      <c r="F9" s="901" t="s">
        <v>176</v>
      </c>
      <c r="G9" s="901"/>
      <c r="H9" s="420"/>
      <c r="I9" s="877"/>
      <c r="J9" s="877"/>
      <c r="K9" s="899" t="str">
        <f>IF(H9="Yes",1,IF(H10="","",IF(H10="High",1,IF(H10="Intermediate",0.5,IF(H10="Low",0.25,0)))))</f>
        <v/>
      </c>
      <c r="L9" s="12"/>
    </row>
    <row r="10" spans="1:14" ht="55.5" customHeight="1" x14ac:dyDescent="0.3">
      <c r="A10" s="837"/>
      <c r="B10" s="878"/>
      <c r="C10" s="879"/>
      <c r="D10" s="879"/>
      <c r="E10" s="876"/>
      <c r="F10" s="775" t="s">
        <v>177</v>
      </c>
      <c r="G10" s="804"/>
      <c r="H10" s="130"/>
      <c r="I10" s="877"/>
      <c r="J10" s="877"/>
      <c r="K10" s="900"/>
      <c r="L10" s="12"/>
      <c r="N10" s="3"/>
    </row>
    <row r="11" spans="1:14" ht="21" customHeight="1" x14ac:dyDescent="0.3">
      <c r="A11" s="837"/>
      <c r="B11" s="848" t="s">
        <v>247</v>
      </c>
      <c r="C11" s="849"/>
      <c r="D11" s="849"/>
      <c r="E11" s="850"/>
      <c r="F11" s="850"/>
      <c r="G11" s="850"/>
      <c r="H11" s="851"/>
      <c r="I11" s="851"/>
      <c r="J11" s="851"/>
      <c r="K11" s="852"/>
    </row>
    <row r="12" spans="1:14" ht="62.4" x14ac:dyDescent="0.3">
      <c r="A12" s="837"/>
      <c r="B12" s="142" t="s">
        <v>150</v>
      </c>
      <c r="C12" s="91" t="s">
        <v>116</v>
      </c>
      <c r="D12" s="91" t="s">
        <v>90</v>
      </c>
      <c r="E12" s="92"/>
      <c r="F12" s="797" t="s">
        <v>179</v>
      </c>
      <c r="G12" s="853"/>
      <c r="H12" s="130"/>
      <c r="I12" s="94"/>
      <c r="J12" s="94"/>
      <c r="K12" s="139" t="str">
        <f>IF(H12="","",IF(H12="High",1,IF(H12="Intermediate",0.5,IF(H12="Low",0.25,0))))</f>
        <v/>
      </c>
      <c r="N12" s="3"/>
    </row>
    <row r="13" spans="1:14" ht="15.6" x14ac:dyDescent="0.3">
      <c r="A13" s="837"/>
      <c r="B13" s="864" t="s">
        <v>184</v>
      </c>
      <c r="C13" s="865"/>
      <c r="D13" s="865"/>
      <c r="E13" s="866"/>
      <c r="F13" s="866"/>
      <c r="G13" s="866"/>
      <c r="H13" s="867"/>
      <c r="I13" s="867"/>
      <c r="J13" s="867"/>
      <c r="K13" s="868"/>
    </row>
    <row r="14" spans="1:14" ht="35.25" customHeight="1" x14ac:dyDescent="0.3">
      <c r="A14" s="837"/>
      <c r="B14" s="878" t="s">
        <v>148</v>
      </c>
      <c r="C14" s="879" t="s">
        <v>170</v>
      </c>
      <c r="D14" s="879" t="s">
        <v>29</v>
      </c>
      <c r="E14" s="876"/>
      <c r="F14" s="915" t="s">
        <v>185</v>
      </c>
      <c r="G14" s="915"/>
      <c r="H14" s="420"/>
      <c r="I14" s="877"/>
      <c r="J14" s="877"/>
      <c r="K14" s="863" t="str">
        <f>IF(H14="Yes",1,IF(H15="","",IF(H15="High",1,IF(H15="Low",0.25,0))))</f>
        <v/>
      </c>
    </row>
    <row r="15" spans="1:14" ht="54.75" customHeight="1" x14ac:dyDescent="0.3">
      <c r="A15" s="837"/>
      <c r="B15" s="878"/>
      <c r="C15" s="879"/>
      <c r="D15" s="879"/>
      <c r="E15" s="876"/>
      <c r="F15" s="775" t="s">
        <v>182</v>
      </c>
      <c r="G15" s="853"/>
      <c r="H15" s="130"/>
      <c r="I15" s="877"/>
      <c r="J15" s="877"/>
      <c r="K15" s="863"/>
    </row>
    <row r="16" spans="1:14" ht="22.5" customHeight="1" x14ac:dyDescent="0.3">
      <c r="A16" s="837"/>
      <c r="B16" s="848" t="s">
        <v>246</v>
      </c>
      <c r="C16" s="849"/>
      <c r="D16" s="849"/>
      <c r="E16" s="850"/>
      <c r="F16" s="850"/>
      <c r="G16" s="850"/>
      <c r="H16" s="851"/>
      <c r="I16" s="851"/>
      <c r="J16" s="851"/>
      <c r="K16" s="852"/>
    </row>
    <row r="17" spans="1:14" ht="57" customHeight="1" x14ac:dyDescent="0.3">
      <c r="A17" s="837"/>
      <c r="B17" s="142" t="s">
        <v>148</v>
      </c>
      <c r="C17" s="91" t="s">
        <v>30</v>
      </c>
      <c r="D17" s="91" t="s">
        <v>31</v>
      </c>
      <c r="E17" s="92"/>
      <c r="F17" s="797" t="s">
        <v>180</v>
      </c>
      <c r="G17" s="853"/>
      <c r="H17" s="130"/>
      <c r="I17" s="94"/>
      <c r="J17" s="94"/>
      <c r="K17" s="139" t="str">
        <f>IF(H17="","",IF(H17="High",1,IF(H17="Intermediate",0.5,IF(H17="Low",0.25,0))))</f>
        <v/>
      </c>
    </row>
    <row r="18" spans="1:14" ht="18.75" customHeight="1" x14ac:dyDescent="0.3">
      <c r="A18" s="837"/>
      <c r="B18" s="864" t="s">
        <v>245</v>
      </c>
      <c r="C18" s="865"/>
      <c r="D18" s="865"/>
      <c r="E18" s="866"/>
      <c r="F18" s="866"/>
      <c r="G18" s="866"/>
      <c r="H18" s="867"/>
      <c r="I18" s="867"/>
      <c r="J18" s="867"/>
      <c r="K18" s="868"/>
    </row>
    <row r="19" spans="1:14" ht="66" customHeight="1" x14ac:dyDescent="0.3">
      <c r="A19" s="837"/>
      <c r="B19" s="142" t="s">
        <v>150</v>
      </c>
      <c r="C19" s="91" t="s">
        <v>27</v>
      </c>
      <c r="D19" s="91" t="s">
        <v>28</v>
      </c>
      <c r="E19" s="92"/>
      <c r="F19" s="797" t="s">
        <v>178</v>
      </c>
      <c r="G19" s="853"/>
      <c r="H19" s="130"/>
      <c r="I19" s="93"/>
      <c r="J19" s="94"/>
      <c r="K19" s="139" t="str">
        <f>IF(H19="","",IF(H19="High",1,IF(H19="Intermediate",0.5,IF(H19="Low",0.25,0))))</f>
        <v/>
      </c>
    </row>
    <row r="20" spans="1:14" ht="21" customHeight="1" x14ac:dyDescent="0.3">
      <c r="A20" s="837"/>
      <c r="B20" s="848" t="s">
        <v>244</v>
      </c>
      <c r="C20" s="849"/>
      <c r="D20" s="849"/>
      <c r="E20" s="850"/>
      <c r="F20" s="850"/>
      <c r="G20" s="850"/>
      <c r="H20" s="851"/>
      <c r="I20" s="851"/>
      <c r="J20" s="851"/>
      <c r="K20" s="852"/>
    </row>
    <row r="21" spans="1:14" ht="48" customHeight="1" thickBot="1" x14ac:dyDescent="0.35">
      <c r="A21" s="814"/>
      <c r="B21" s="143" t="s">
        <v>235</v>
      </c>
      <c r="C21" s="76" t="s">
        <v>32</v>
      </c>
      <c r="D21" s="76" t="s">
        <v>33</v>
      </c>
      <c r="E21" s="95"/>
      <c r="F21" s="797" t="s">
        <v>181</v>
      </c>
      <c r="G21" s="853"/>
      <c r="H21" s="130"/>
      <c r="I21" s="96"/>
      <c r="J21" s="96"/>
      <c r="K21" s="138" t="str">
        <f>IF(H21="","",IF(H21="High",1,IF(H21="Intermediate",0.5,IF(H21="Low",0.25,0))))</f>
        <v/>
      </c>
    </row>
    <row r="22" spans="1:14" s="3" customFormat="1" ht="73.5" customHeight="1" x14ac:dyDescent="0.3">
      <c r="A22" s="813" t="s">
        <v>373</v>
      </c>
      <c r="B22" s="815" t="s">
        <v>475</v>
      </c>
      <c r="C22" s="816"/>
      <c r="D22" s="816"/>
      <c r="E22" s="817"/>
      <c r="F22" s="817"/>
      <c r="G22" s="817"/>
      <c r="H22" s="818"/>
      <c r="I22" s="818"/>
      <c r="J22" s="818"/>
      <c r="K22" s="819"/>
      <c r="N22"/>
    </row>
    <row r="23" spans="1:14" s="3" customFormat="1" ht="36" customHeight="1" x14ac:dyDescent="0.3">
      <c r="A23" s="837"/>
      <c r="B23" s="882" t="s">
        <v>205</v>
      </c>
      <c r="C23" s="883"/>
      <c r="D23" s="883"/>
      <c r="E23" s="883"/>
      <c r="F23" s="883"/>
      <c r="G23" s="883"/>
      <c r="H23" s="870"/>
      <c r="I23" s="870"/>
      <c r="J23" s="870"/>
      <c r="K23" s="872"/>
      <c r="N23"/>
    </row>
    <row r="24" spans="1:14" ht="31.2" x14ac:dyDescent="0.3">
      <c r="A24" s="837"/>
      <c r="B24" s="144" t="s">
        <v>151</v>
      </c>
      <c r="C24" s="97" t="s">
        <v>21</v>
      </c>
      <c r="D24" s="98" t="s">
        <v>22</v>
      </c>
      <c r="E24" s="99"/>
      <c r="F24" s="859" t="s">
        <v>166</v>
      </c>
      <c r="G24" s="860"/>
      <c r="H24" s="421"/>
      <c r="I24" s="100"/>
      <c r="J24" s="100"/>
      <c r="K24" s="137" t="str">
        <f>IF(H24="","",IF(H24="Yes",1,0))</f>
        <v/>
      </c>
    </row>
    <row r="25" spans="1:14" s="3" customFormat="1" ht="35.25" customHeight="1" x14ac:dyDescent="0.3">
      <c r="A25" s="837"/>
      <c r="B25" s="882" t="s">
        <v>206</v>
      </c>
      <c r="C25" s="883"/>
      <c r="D25" s="883"/>
      <c r="E25" s="883"/>
      <c r="F25" s="883"/>
      <c r="G25" s="883"/>
      <c r="H25" s="870"/>
      <c r="I25" s="870"/>
      <c r="J25" s="870"/>
      <c r="K25" s="872"/>
      <c r="N25"/>
    </row>
    <row r="26" spans="1:14" ht="31.2" x14ac:dyDescent="0.3">
      <c r="A26" s="837"/>
      <c r="B26" s="143" t="s">
        <v>148</v>
      </c>
      <c r="C26" s="76" t="s">
        <v>37</v>
      </c>
      <c r="D26" s="71" t="s">
        <v>38</v>
      </c>
      <c r="E26" s="95"/>
      <c r="F26" s="859" t="s">
        <v>166</v>
      </c>
      <c r="G26" s="860"/>
      <c r="H26" s="422"/>
      <c r="I26" s="101"/>
      <c r="J26" s="101"/>
      <c r="K26" s="136" t="str">
        <f>IF(H26="","",IF(H26="Yes",1,0))</f>
        <v/>
      </c>
    </row>
    <row r="27" spans="1:14" s="3" customFormat="1" ht="33" customHeight="1" x14ac:dyDescent="0.3">
      <c r="A27" s="837"/>
      <c r="B27" s="897" t="s">
        <v>207</v>
      </c>
      <c r="C27" s="898"/>
      <c r="D27" s="898"/>
      <c r="E27" s="898"/>
      <c r="F27" s="898"/>
      <c r="G27" s="898"/>
      <c r="H27" s="870"/>
      <c r="I27" s="870"/>
      <c r="J27" s="870"/>
      <c r="K27" s="872"/>
      <c r="N27" s="16"/>
    </row>
    <row r="28" spans="1:14" ht="46.8" x14ac:dyDescent="0.3">
      <c r="A28" s="837"/>
      <c r="B28" s="145" t="s">
        <v>92</v>
      </c>
      <c r="C28" s="97" t="s">
        <v>39</v>
      </c>
      <c r="D28" s="98" t="s">
        <v>40</v>
      </c>
      <c r="E28" s="99"/>
      <c r="F28" s="880" t="s">
        <v>166</v>
      </c>
      <c r="G28" s="881"/>
      <c r="H28" s="421"/>
      <c r="I28" s="100"/>
      <c r="J28" s="100"/>
      <c r="K28" s="137" t="str">
        <f>IF(H28="","",IF(H28="Yes",1,0))</f>
        <v/>
      </c>
    </row>
    <row r="29" spans="1:14" s="3" customFormat="1" ht="21" customHeight="1" x14ac:dyDescent="0.3">
      <c r="A29" s="837"/>
      <c r="B29" s="882" t="s">
        <v>121</v>
      </c>
      <c r="C29" s="883"/>
      <c r="D29" s="883"/>
      <c r="E29" s="883"/>
      <c r="F29" s="883"/>
      <c r="G29" s="883"/>
      <c r="H29" s="870"/>
      <c r="I29" s="870"/>
      <c r="J29" s="870"/>
      <c r="K29" s="872"/>
      <c r="N29"/>
    </row>
    <row r="30" spans="1:14" ht="31.2" x14ac:dyDescent="0.3">
      <c r="A30" s="837"/>
      <c r="B30" s="143" t="s">
        <v>148</v>
      </c>
      <c r="C30" s="76" t="s">
        <v>41</v>
      </c>
      <c r="D30" s="71" t="s">
        <v>42</v>
      </c>
      <c r="E30" s="102"/>
      <c r="F30" s="775" t="s">
        <v>166</v>
      </c>
      <c r="G30" s="776"/>
      <c r="H30" s="422"/>
      <c r="I30" s="101"/>
      <c r="J30" s="101"/>
      <c r="K30" s="136" t="str">
        <f>IF(H30="","",IF(H30="Yes",1,0))</f>
        <v/>
      </c>
    </row>
    <row r="31" spans="1:14" ht="21" customHeight="1" x14ac:dyDescent="0.3">
      <c r="A31" s="837"/>
      <c r="B31" s="869" t="s">
        <v>157</v>
      </c>
      <c r="C31" s="870"/>
      <c r="D31" s="870"/>
      <c r="E31" s="870"/>
      <c r="F31" s="871"/>
      <c r="G31" s="871"/>
      <c r="H31" s="870"/>
      <c r="I31" s="870"/>
      <c r="J31" s="870"/>
      <c r="K31" s="872"/>
    </row>
    <row r="32" spans="1:14" ht="30" customHeight="1" thickBot="1" x14ac:dyDescent="0.35">
      <c r="A32" s="814"/>
      <c r="B32" s="146" t="s">
        <v>160</v>
      </c>
      <c r="C32" s="70" t="s">
        <v>159</v>
      </c>
      <c r="D32" s="69" t="s">
        <v>158</v>
      </c>
      <c r="E32" s="103"/>
      <c r="F32" s="787" t="s">
        <v>166</v>
      </c>
      <c r="G32" s="788"/>
      <c r="H32" s="134"/>
      <c r="I32" s="104"/>
      <c r="J32" s="105"/>
      <c r="K32" s="132" t="str">
        <f>IF(H32="","",IF(H32="Yes",1,0))</f>
        <v/>
      </c>
    </row>
    <row r="33" spans="1:14" ht="148.5" customHeight="1" x14ac:dyDescent="0.3">
      <c r="A33" s="800" t="s">
        <v>386</v>
      </c>
      <c r="B33" s="873" t="s">
        <v>432</v>
      </c>
      <c r="C33" s="874"/>
      <c r="D33" s="874"/>
      <c r="E33" s="874"/>
      <c r="F33" s="874"/>
      <c r="G33" s="874"/>
      <c r="H33" s="874"/>
      <c r="I33" s="874"/>
      <c r="J33" s="874"/>
      <c r="K33" s="875"/>
      <c r="L33" s="15"/>
      <c r="N33" s="3"/>
    </row>
    <row r="34" spans="1:14" ht="28.5" customHeight="1" thickBot="1" x14ac:dyDescent="0.35">
      <c r="A34" s="862"/>
      <c r="B34" s="147" t="s">
        <v>25</v>
      </c>
      <c r="C34" s="106"/>
      <c r="D34" s="106" t="s">
        <v>163</v>
      </c>
      <c r="E34" s="107"/>
      <c r="F34" s="787" t="s">
        <v>166</v>
      </c>
      <c r="G34" s="788"/>
      <c r="H34" s="423"/>
      <c r="I34" s="108"/>
      <c r="J34" s="108"/>
      <c r="K34" s="135" t="str">
        <f>IF(H34="","",IF(H34="Yes",1,IF(H34="No",0)))</f>
        <v/>
      </c>
      <c r="N34" s="3"/>
    </row>
    <row r="35" spans="1:14" s="3" customFormat="1" ht="84" customHeight="1" x14ac:dyDescent="0.3">
      <c r="A35" s="813" t="s">
        <v>387</v>
      </c>
      <c r="B35" s="770" t="s">
        <v>474</v>
      </c>
      <c r="C35" s="771"/>
      <c r="D35" s="771"/>
      <c r="E35" s="772"/>
      <c r="F35" s="772"/>
      <c r="G35" s="772"/>
      <c r="H35" s="773"/>
      <c r="I35" s="773"/>
      <c r="J35" s="773"/>
      <c r="K35" s="774"/>
      <c r="N35"/>
    </row>
    <row r="36" spans="1:14" ht="73.5" customHeight="1" thickBot="1" x14ac:dyDescent="0.35">
      <c r="A36" s="814"/>
      <c r="B36" s="146" t="s">
        <v>150</v>
      </c>
      <c r="C36" s="70"/>
      <c r="D36" s="69" t="s">
        <v>17</v>
      </c>
      <c r="E36" s="109"/>
      <c r="F36" s="787" t="s">
        <v>445</v>
      </c>
      <c r="G36" s="788"/>
      <c r="H36" s="134"/>
      <c r="I36" s="110"/>
      <c r="J36" s="111"/>
      <c r="K36" s="132" t="str">
        <f>IF((H36=""),"",IF((H36="C"),0.7,IF((H36="B"),0.3,IF((H36="D"),1,0))))</f>
        <v/>
      </c>
    </row>
    <row r="37" spans="1:14" s="3" customFormat="1" ht="129.75" customHeight="1" x14ac:dyDescent="0.3">
      <c r="A37" s="813" t="s">
        <v>374</v>
      </c>
      <c r="B37" s="815" t="s">
        <v>473</v>
      </c>
      <c r="C37" s="816"/>
      <c r="D37" s="816"/>
      <c r="E37" s="817"/>
      <c r="F37" s="817"/>
      <c r="G37" s="817"/>
      <c r="H37" s="818"/>
      <c r="I37" s="818"/>
      <c r="J37" s="818"/>
      <c r="K37" s="819"/>
      <c r="N37"/>
    </row>
    <row r="38" spans="1:14" ht="85.5" customHeight="1" thickBot="1" x14ac:dyDescent="0.35">
      <c r="A38" s="814"/>
      <c r="B38" s="148" t="s">
        <v>148</v>
      </c>
      <c r="C38" s="75"/>
      <c r="D38" s="73" t="s">
        <v>35</v>
      </c>
      <c r="E38" s="112"/>
      <c r="F38" s="785" t="s">
        <v>446</v>
      </c>
      <c r="G38" s="786"/>
      <c r="H38" s="129"/>
      <c r="I38" s="96"/>
      <c r="J38" s="96"/>
      <c r="K38" s="126" t="str">
        <f>IF((H38=""),"",IF((H38="C"),0.3,IF((H38="B"),0.7,IF((H38="A"),1,0))))</f>
        <v/>
      </c>
    </row>
    <row r="39" spans="1:14" s="3" customFormat="1" ht="81.75" customHeight="1" x14ac:dyDescent="0.3">
      <c r="A39" s="813" t="s">
        <v>375</v>
      </c>
      <c r="B39" s="770" t="s">
        <v>476</v>
      </c>
      <c r="C39" s="771"/>
      <c r="D39" s="771"/>
      <c r="E39" s="772"/>
      <c r="F39" s="772"/>
      <c r="G39" s="772"/>
      <c r="H39" s="773"/>
      <c r="I39" s="773"/>
      <c r="J39" s="773"/>
      <c r="K39" s="774"/>
      <c r="N39"/>
    </row>
    <row r="40" spans="1:14" ht="96.75" customHeight="1" thickBot="1" x14ac:dyDescent="0.35">
      <c r="A40" s="814"/>
      <c r="B40" s="146" t="s">
        <v>147</v>
      </c>
      <c r="C40" s="70"/>
      <c r="D40" s="69" t="s">
        <v>9</v>
      </c>
      <c r="E40" s="113"/>
      <c r="F40" s="787" t="s">
        <v>241</v>
      </c>
      <c r="G40" s="788"/>
      <c r="H40" s="134"/>
      <c r="I40" s="110"/>
      <c r="J40" s="111"/>
      <c r="K40" s="132" t="str">
        <f>IF(H40="","",IF(H40="A",1,IF(H40="B",0.5,IF(H40="C",0,IF(H40="D",0)))))</f>
        <v/>
      </c>
      <c r="N40" s="3"/>
    </row>
    <row r="41" spans="1:14" ht="79.5" customHeight="1" thickBot="1" x14ac:dyDescent="0.35">
      <c r="A41" s="813" t="s">
        <v>376</v>
      </c>
      <c r="B41" s="854" t="s">
        <v>472</v>
      </c>
      <c r="C41" s="855"/>
      <c r="D41" s="855"/>
      <c r="E41" s="855"/>
      <c r="F41" s="855"/>
      <c r="G41" s="855"/>
      <c r="H41" s="855"/>
      <c r="I41" s="855"/>
      <c r="J41" s="855"/>
      <c r="K41" s="856"/>
    </row>
    <row r="42" spans="1:14" ht="96.75" customHeight="1" thickBot="1" x14ac:dyDescent="0.35">
      <c r="A42" s="814"/>
      <c r="B42" s="149" t="s">
        <v>160</v>
      </c>
      <c r="C42" s="114"/>
      <c r="D42" s="115" t="s">
        <v>167</v>
      </c>
      <c r="E42" s="116"/>
      <c r="F42" s="857" t="s">
        <v>242</v>
      </c>
      <c r="G42" s="858"/>
      <c r="H42" s="425"/>
      <c r="I42" s="117"/>
      <c r="J42" s="117"/>
      <c r="K42" s="133" t="str">
        <f>IF(H42="","",IF(H42="A",1,IF(H42="B",0.5,IF(H42="C",0,IF(H42="D",0)))))</f>
        <v/>
      </c>
    </row>
    <row r="43" spans="1:14" s="3" customFormat="1" ht="84.75" customHeight="1" x14ac:dyDescent="0.3">
      <c r="A43" s="813" t="s">
        <v>377</v>
      </c>
      <c r="B43" s="815" t="s">
        <v>402</v>
      </c>
      <c r="C43" s="816"/>
      <c r="D43" s="816"/>
      <c r="E43" s="817"/>
      <c r="F43" s="817"/>
      <c r="G43" s="817"/>
      <c r="H43" s="818"/>
      <c r="I43" s="818"/>
      <c r="J43" s="818"/>
      <c r="K43" s="819"/>
      <c r="N43"/>
    </row>
    <row r="44" spans="1:14" ht="87" customHeight="1" thickBot="1" x14ac:dyDescent="0.35">
      <c r="A44" s="814"/>
      <c r="B44" s="150" t="s">
        <v>7</v>
      </c>
      <c r="C44" s="75"/>
      <c r="D44" s="73" t="s">
        <v>10</v>
      </c>
      <c r="E44" s="118"/>
      <c r="F44" s="785" t="s">
        <v>243</v>
      </c>
      <c r="G44" s="786"/>
      <c r="H44" s="129"/>
      <c r="I44" s="96"/>
      <c r="J44" s="96"/>
      <c r="K44" s="126" t="str">
        <f>IF((H44=""),"",IF((H44="C"),0.3,IF((H44="B"),0.7,IF((H44="D"),0,1))))</f>
        <v/>
      </c>
      <c r="N44" s="3"/>
    </row>
    <row r="45" spans="1:14" ht="83.25" customHeight="1" x14ac:dyDescent="0.3">
      <c r="A45" s="813" t="s">
        <v>378</v>
      </c>
      <c r="B45" s="805" t="s">
        <v>542</v>
      </c>
      <c r="C45" s="806"/>
      <c r="D45" s="806"/>
      <c r="E45" s="806"/>
      <c r="F45" s="806"/>
      <c r="G45" s="806"/>
      <c r="H45" s="806"/>
      <c r="I45" s="806"/>
      <c r="J45" s="806"/>
      <c r="K45" s="807"/>
    </row>
    <row r="46" spans="1:14" ht="31.5" customHeight="1" x14ac:dyDescent="0.3">
      <c r="A46" s="837"/>
      <c r="B46" s="846" t="s">
        <v>147</v>
      </c>
      <c r="C46" s="793"/>
      <c r="D46" s="793" t="s">
        <v>18</v>
      </c>
      <c r="E46" s="861"/>
      <c r="F46" s="775" t="s">
        <v>221</v>
      </c>
      <c r="G46" s="776"/>
      <c r="H46" s="128"/>
      <c r="I46" s="779" t="s">
        <v>234</v>
      </c>
      <c r="J46" s="780"/>
      <c r="K46" s="777" t="str">
        <f>IF(OR(H46="",H47=""),"",IF(AND(H46="No",H47="No"),1,IF(AND(H46="Yes",H47="No"),0.5,IF(H47="Yes",0))))</f>
        <v/>
      </c>
      <c r="N46" s="20"/>
    </row>
    <row r="47" spans="1:14" ht="48" customHeight="1" x14ac:dyDescent="0.3">
      <c r="A47" s="837"/>
      <c r="B47" s="836"/>
      <c r="C47" s="794"/>
      <c r="D47" s="794"/>
      <c r="E47" s="799"/>
      <c r="F47" s="775" t="s">
        <v>222</v>
      </c>
      <c r="G47" s="776"/>
      <c r="H47" s="128"/>
      <c r="I47" s="783"/>
      <c r="J47" s="784"/>
      <c r="K47" s="778"/>
    </row>
    <row r="48" spans="1:14" ht="31.5" customHeight="1" x14ac:dyDescent="0.3">
      <c r="A48" s="837"/>
      <c r="B48" s="836"/>
      <c r="C48" s="794"/>
      <c r="D48" s="794"/>
      <c r="E48" s="799"/>
      <c r="F48" s="775" t="s">
        <v>223</v>
      </c>
      <c r="G48" s="776"/>
      <c r="H48" s="128"/>
      <c r="I48" s="779" t="s">
        <v>233</v>
      </c>
      <c r="J48" s="780"/>
      <c r="K48" s="777" t="str">
        <f>IF(OR(H48="",H49=""),"",IF(AND(H48="No",H49="No"),1,IF(AND(H48="Yes",H49="No"),0.5,IF(H49="Yes",0))))</f>
        <v/>
      </c>
    </row>
    <row r="49" spans="1:14" ht="44.25" customHeight="1" thickBot="1" x14ac:dyDescent="0.35">
      <c r="A49" s="837"/>
      <c r="B49" s="836"/>
      <c r="C49" s="794"/>
      <c r="D49" s="794"/>
      <c r="E49" s="799"/>
      <c r="F49" s="775" t="s">
        <v>224</v>
      </c>
      <c r="G49" s="776"/>
      <c r="H49" s="128"/>
      <c r="I49" s="781"/>
      <c r="J49" s="782"/>
      <c r="K49" s="847"/>
    </row>
    <row r="50" spans="1:14" ht="86.25" customHeight="1" x14ac:dyDescent="0.3">
      <c r="A50" s="800" t="s">
        <v>379</v>
      </c>
      <c r="B50" s="770" t="s">
        <v>485</v>
      </c>
      <c r="C50" s="771"/>
      <c r="D50" s="771"/>
      <c r="E50" s="772"/>
      <c r="F50" s="772"/>
      <c r="G50" s="772"/>
      <c r="H50" s="773"/>
      <c r="I50" s="773"/>
      <c r="J50" s="773"/>
      <c r="K50" s="774"/>
    </row>
    <row r="51" spans="1:14" ht="36" customHeight="1" x14ac:dyDescent="0.3">
      <c r="A51" s="801"/>
      <c r="B51" s="803" t="s">
        <v>25</v>
      </c>
      <c r="C51" s="794"/>
      <c r="D51" s="794" t="s">
        <v>34</v>
      </c>
      <c r="E51" s="810" t="str">
        <f>IF(Gradient&gt;6,"Slope barrier",IF(Gradient="High","Slope barrier",""))</f>
        <v/>
      </c>
      <c r="F51" s="795" t="s">
        <v>122</v>
      </c>
      <c r="G51" s="798"/>
      <c r="H51" s="131"/>
      <c r="I51" s="119" t="str">
        <f>IF(H51="Blocked",0,IF(H51="Partial",0.5,IF(H51="Passable",1,IF(H51="None",1,IF(H51="Unknown",1,"")))))</f>
        <v/>
      </c>
      <c r="J51" s="119"/>
      <c r="K51" s="778" t="str">
        <f>IF(H51="","",(I51+I52)/2)</f>
        <v/>
      </c>
      <c r="N51" s="3"/>
    </row>
    <row r="52" spans="1:14" ht="39.75" customHeight="1" thickBot="1" x14ac:dyDescent="0.35">
      <c r="A52" s="802"/>
      <c r="B52" s="803"/>
      <c r="C52" s="794"/>
      <c r="D52" s="794"/>
      <c r="E52" s="811"/>
      <c r="F52" s="775" t="s">
        <v>123</v>
      </c>
      <c r="G52" s="804"/>
      <c r="H52" s="131"/>
      <c r="I52" s="119" t="str">
        <f>IF(H52="Blocked",0,IF(H52="Partial",0.5,IF(H52="Passable",1,IF(H52="None",1,IF(H52="Unknown",1,"")))))</f>
        <v/>
      </c>
      <c r="J52" s="119"/>
      <c r="K52" s="812"/>
    </row>
    <row r="53" spans="1:14" ht="84.75" customHeight="1" x14ac:dyDescent="0.3">
      <c r="A53" s="808" t="s">
        <v>380</v>
      </c>
      <c r="B53" s="805" t="s">
        <v>361</v>
      </c>
      <c r="C53" s="806"/>
      <c r="D53" s="806"/>
      <c r="E53" s="806"/>
      <c r="F53" s="806"/>
      <c r="G53" s="806"/>
      <c r="H53" s="806"/>
      <c r="I53" s="806"/>
      <c r="J53" s="806"/>
      <c r="K53" s="807"/>
    </row>
    <row r="54" spans="1:14" ht="33.75" customHeight="1" thickBot="1" x14ac:dyDescent="0.35">
      <c r="A54" s="809"/>
      <c r="B54" s="146" t="s">
        <v>161</v>
      </c>
      <c r="C54" s="70"/>
      <c r="D54" s="120" t="s">
        <v>175</v>
      </c>
      <c r="E54" s="121"/>
      <c r="F54" s="775" t="s">
        <v>166</v>
      </c>
      <c r="G54" s="776"/>
      <c r="H54" s="426"/>
      <c r="I54" s="105"/>
      <c r="J54" s="105"/>
      <c r="K54" s="132" t="str">
        <f>IF(H54="","",IF(H54="Yes",1,0))</f>
        <v/>
      </c>
    </row>
    <row r="55" spans="1:14" ht="83.25" customHeight="1" x14ac:dyDescent="0.3">
      <c r="A55" s="800" t="s">
        <v>381</v>
      </c>
      <c r="B55" s="845" t="s">
        <v>405</v>
      </c>
      <c r="C55" s="771"/>
      <c r="D55" s="771"/>
      <c r="E55" s="772"/>
      <c r="F55" s="772"/>
      <c r="G55" s="772"/>
      <c r="H55" s="773"/>
      <c r="I55" s="773"/>
      <c r="J55" s="773"/>
      <c r="K55" s="774"/>
      <c r="N55" s="3"/>
    </row>
    <row r="56" spans="1:14" ht="32.25" customHeight="1" x14ac:dyDescent="0.3">
      <c r="A56" s="801"/>
      <c r="B56" s="846" t="s">
        <v>236</v>
      </c>
      <c r="C56" s="793"/>
      <c r="D56" s="793" t="s">
        <v>164</v>
      </c>
      <c r="E56" s="799"/>
      <c r="F56" s="795" t="s">
        <v>238</v>
      </c>
      <c r="G56" s="796"/>
      <c r="H56" s="127"/>
      <c r="I56" s="437" t="s">
        <v>366</v>
      </c>
      <c r="J56" s="122">
        <f>H56*1</f>
        <v>0</v>
      </c>
      <c r="K56" s="777" t="str">
        <f>IF(COUNT(H56:H58)=0,"",SUM(J56:J58)/100)</f>
        <v/>
      </c>
    </row>
    <row r="57" spans="1:14" ht="32.25" customHeight="1" x14ac:dyDescent="0.3">
      <c r="A57" s="801"/>
      <c r="B57" s="836"/>
      <c r="C57" s="794"/>
      <c r="D57" s="794"/>
      <c r="E57" s="799"/>
      <c r="F57" s="775" t="s">
        <v>239</v>
      </c>
      <c r="G57" s="797"/>
      <c r="H57" s="128"/>
      <c r="I57" s="438" t="s">
        <v>367</v>
      </c>
      <c r="J57" s="94">
        <f>H57*0.5</f>
        <v>0</v>
      </c>
      <c r="K57" s="778"/>
    </row>
    <row r="58" spans="1:14" ht="60" customHeight="1" x14ac:dyDescent="0.3">
      <c r="A58" s="801"/>
      <c r="B58" s="836"/>
      <c r="C58" s="794"/>
      <c r="D58" s="794"/>
      <c r="E58" s="799"/>
      <c r="F58" s="775" t="s">
        <v>165</v>
      </c>
      <c r="G58" s="797"/>
      <c r="H58" s="128"/>
      <c r="I58" s="438" t="s">
        <v>368</v>
      </c>
      <c r="J58" s="94">
        <f>H58*0</f>
        <v>0</v>
      </c>
      <c r="K58" s="778"/>
    </row>
    <row r="59" spans="1:14" ht="30.75" customHeight="1" thickBot="1" x14ac:dyDescent="0.35">
      <c r="A59" s="802"/>
      <c r="B59" s="836"/>
      <c r="C59" s="794"/>
      <c r="D59" s="794"/>
      <c r="E59" s="799"/>
      <c r="F59" s="789" t="s">
        <v>6</v>
      </c>
      <c r="G59" s="790"/>
      <c r="H59" s="98" t="str">
        <f>IF(COUNT(H56:H58)=0,"",SUM(H56:H58))</f>
        <v/>
      </c>
      <c r="I59" s="791" t="str">
        <f>IF(OR(H59="",H59=100),"","! DATA MUST SUM TO 100")</f>
        <v/>
      </c>
      <c r="J59" s="792"/>
      <c r="K59" s="778"/>
      <c r="N59" s="3"/>
    </row>
    <row r="60" spans="1:14" s="3" customFormat="1" ht="180" customHeight="1" x14ac:dyDescent="0.3">
      <c r="A60" s="813" t="s">
        <v>382</v>
      </c>
      <c r="B60" s="815" t="s">
        <v>471</v>
      </c>
      <c r="C60" s="816"/>
      <c r="D60" s="816"/>
      <c r="E60" s="817"/>
      <c r="F60" s="817"/>
      <c r="G60" s="817"/>
      <c r="H60" s="818"/>
      <c r="I60" s="818"/>
      <c r="J60" s="818"/>
      <c r="K60" s="819"/>
      <c r="N60"/>
    </row>
    <row r="61" spans="1:14" ht="64.5" customHeight="1" thickBot="1" x14ac:dyDescent="0.35">
      <c r="A61" s="814"/>
      <c r="B61" s="148" t="s">
        <v>148</v>
      </c>
      <c r="C61" s="75"/>
      <c r="D61" s="73" t="s">
        <v>36</v>
      </c>
      <c r="E61" s="112"/>
      <c r="F61" s="785" t="s">
        <v>240</v>
      </c>
      <c r="G61" s="786"/>
      <c r="H61" s="129"/>
      <c r="I61" s="96"/>
      <c r="J61" s="96"/>
      <c r="K61" s="126" t="str">
        <f>IF((H61=""),"",IF((H61="C"),1,IF((H61="B"),0.5,0)))</f>
        <v/>
      </c>
    </row>
    <row r="62" spans="1:14" ht="144" customHeight="1" x14ac:dyDescent="0.3">
      <c r="A62" s="813" t="s">
        <v>383</v>
      </c>
      <c r="B62" s="826" t="s">
        <v>431</v>
      </c>
      <c r="C62" s="806"/>
      <c r="D62" s="806"/>
      <c r="E62" s="806"/>
      <c r="F62" s="806"/>
      <c r="G62" s="806"/>
      <c r="H62" s="806"/>
      <c r="I62" s="806"/>
      <c r="J62" s="806"/>
      <c r="K62" s="807"/>
    </row>
    <row r="63" spans="1:14" ht="36.75" customHeight="1" thickBot="1" x14ac:dyDescent="0.35">
      <c r="A63" s="814"/>
      <c r="B63" s="151" t="s">
        <v>151</v>
      </c>
      <c r="C63" s="75"/>
      <c r="D63" s="123" t="s">
        <v>162</v>
      </c>
      <c r="E63" s="124"/>
      <c r="F63" s="785" t="s">
        <v>183</v>
      </c>
      <c r="G63" s="786"/>
      <c r="H63" s="129"/>
      <c r="I63" s="104"/>
      <c r="J63" s="125"/>
      <c r="K63" s="126" t="str">
        <f>IF(H63="","",IF(H63="Lower 1/3",1,IF(H63="Middle 1/3",0.5,IF(H63="Upper 1/3",0))))</f>
        <v/>
      </c>
    </row>
    <row r="64" spans="1:14" ht="69" customHeight="1" x14ac:dyDescent="0.3">
      <c r="A64" s="813" t="s">
        <v>384</v>
      </c>
      <c r="B64" s="822" t="s">
        <v>470</v>
      </c>
      <c r="C64" s="823"/>
      <c r="D64" s="823"/>
      <c r="E64" s="823"/>
      <c r="F64" s="823"/>
      <c r="G64" s="823"/>
      <c r="H64" s="823"/>
      <c r="I64" s="823"/>
      <c r="J64" s="823"/>
      <c r="K64" s="824"/>
    </row>
    <row r="65" spans="1:14" ht="31.8" thickBot="1" x14ac:dyDescent="0.35">
      <c r="A65" s="814"/>
      <c r="B65" s="147" t="s">
        <v>160</v>
      </c>
      <c r="C65" s="75"/>
      <c r="D65" s="73" t="s">
        <v>262</v>
      </c>
      <c r="E65" s="167"/>
      <c r="F65" s="785" t="s">
        <v>183</v>
      </c>
      <c r="G65" s="825"/>
      <c r="H65" s="424"/>
      <c r="I65" s="96"/>
      <c r="J65" s="96"/>
      <c r="K65" s="165" t="str">
        <f>IF(H65="","",IF(H65="Not ranked or Low",0,IF(H65="Moderate",0.5,IF(H65="High or Highest",1))))</f>
        <v/>
      </c>
      <c r="L65" s="12"/>
    </row>
    <row r="66" spans="1:14" s="3" customFormat="1" ht="87.75" customHeight="1" x14ac:dyDescent="0.3">
      <c r="A66" s="800" t="s">
        <v>385</v>
      </c>
      <c r="B66" s="770" t="s">
        <v>487</v>
      </c>
      <c r="C66" s="771"/>
      <c r="D66" s="771"/>
      <c r="E66" s="772"/>
      <c r="F66" s="772"/>
      <c r="G66" s="772"/>
      <c r="H66" s="773"/>
      <c r="I66" s="773"/>
      <c r="J66" s="773"/>
      <c r="K66" s="774"/>
      <c r="N66"/>
    </row>
    <row r="67" spans="1:14" ht="29.25" customHeight="1" x14ac:dyDescent="0.3">
      <c r="A67" s="801"/>
      <c r="B67" s="836" t="s">
        <v>237</v>
      </c>
      <c r="C67" s="794"/>
      <c r="D67" s="794" t="s">
        <v>26</v>
      </c>
      <c r="E67" s="799"/>
      <c r="F67" s="795" t="s">
        <v>187</v>
      </c>
      <c r="G67" s="798"/>
      <c r="H67" s="127"/>
      <c r="I67" s="542" t="str">
        <f>IF(H67="","",IF(H67="Yes",1,0))</f>
        <v/>
      </c>
      <c r="J67" s="843" t="s">
        <v>415</v>
      </c>
      <c r="K67" s="777" t="str">
        <f>IF(AND(H67="",H68="",H69="",H70=""),"",IF(SUM(I67:I70)=1,0.5,IF(SUM(I67:I70)&lt;1,0,1)))</f>
        <v/>
      </c>
    </row>
    <row r="68" spans="1:14" ht="29.25" customHeight="1" x14ac:dyDescent="0.3">
      <c r="A68" s="801"/>
      <c r="B68" s="836"/>
      <c r="C68" s="794"/>
      <c r="D68" s="794"/>
      <c r="E68" s="799"/>
      <c r="F68" s="775" t="s">
        <v>188</v>
      </c>
      <c r="G68" s="804"/>
      <c r="H68" s="128"/>
      <c r="I68" s="542" t="str">
        <f>IF(H68="","",IF(H68="Yes",1,0))</f>
        <v/>
      </c>
      <c r="J68" s="844"/>
      <c r="K68" s="827"/>
    </row>
    <row r="69" spans="1:14" ht="29.25" customHeight="1" x14ac:dyDescent="0.3">
      <c r="A69" s="801"/>
      <c r="B69" s="836"/>
      <c r="C69" s="794"/>
      <c r="D69" s="794"/>
      <c r="E69" s="799"/>
      <c r="F69" s="775" t="s">
        <v>189</v>
      </c>
      <c r="G69" s="804"/>
      <c r="H69" s="128"/>
      <c r="I69" s="542" t="str">
        <f>IF(H69="","",IF(H69="Yes",1,0))</f>
        <v/>
      </c>
      <c r="J69" s="541" t="s">
        <v>414</v>
      </c>
      <c r="K69" s="442" t="str">
        <f>IF(AND(H68="",H69=""),"",IF(SUM(I68:I69)=1,0.5,IF(SUM(I68:I69)&lt;1,0,1)))</f>
        <v/>
      </c>
    </row>
    <row r="70" spans="1:14" ht="29.25" customHeight="1" thickBot="1" x14ac:dyDescent="0.35">
      <c r="A70" s="801"/>
      <c r="B70" s="836"/>
      <c r="C70" s="794"/>
      <c r="D70" s="794"/>
      <c r="E70" s="799"/>
      <c r="F70" s="775" t="s">
        <v>412</v>
      </c>
      <c r="G70" s="804"/>
      <c r="H70" s="128"/>
      <c r="I70" s="542" t="str">
        <f>IF(H70="","",IF(H70="Yes",1,0))</f>
        <v/>
      </c>
      <c r="J70" s="540" t="s">
        <v>413</v>
      </c>
      <c r="K70" s="539" t="str">
        <f>IF(AND(H69="",H70=""),"",IF(SUM(I69:I70)=1,0.5,IF(SUM(I69:I70)&lt;1,0,1)))</f>
        <v/>
      </c>
    </row>
    <row r="71" spans="1:14" ht="16.2" thickBot="1" x14ac:dyDescent="0.35">
      <c r="A71" s="838" t="s">
        <v>102</v>
      </c>
      <c r="B71" s="839"/>
      <c r="C71" s="839"/>
      <c r="D71" s="839"/>
      <c r="E71" s="839"/>
      <c r="F71" s="839"/>
      <c r="G71" s="839"/>
      <c r="H71" s="839"/>
      <c r="I71" s="839"/>
      <c r="J71" s="839"/>
      <c r="K71" s="840"/>
    </row>
    <row r="72" spans="1:14" s="3" customFormat="1" ht="33" customHeight="1" x14ac:dyDescent="0.3">
      <c r="A72" s="813" t="s">
        <v>397</v>
      </c>
      <c r="B72" s="770" t="s">
        <v>398</v>
      </c>
      <c r="C72" s="830"/>
      <c r="D72" s="830"/>
      <c r="E72" s="831"/>
      <c r="F72" s="831"/>
      <c r="G72" s="831"/>
      <c r="H72" s="832"/>
      <c r="I72" s="832"/>
      <c r="J72" s="832"/>
      <c r="K72" s="833"/>
      <c r="N72"/>
    </row>
    <row r="73" spans="1:14" s="3" customFormat="1" ht="29.25" customHeight="1" thickBot="1" x14ac:dyDescent="0.35">
      <c r="A73" s="837"/>
      <c r="B73" s="430" t="s">
        <v>7</v>
      </c>
      <c r="C73" s="431"/>
      <c r="D73" s="166" t="s">
        <v>396</v>
      </c>
      <c r="E73" s="432"/>
      <c r="F73" s="820"/>
      <c r="G73" s="821"/>
      <c r="H73" s="436"/>
      <c r="I73" s="433"/>
      <c r="J73" s="433"/>
      <c r="K73" s="435" t="str">
        <f>IF(OR(DomStreamType="",Gradient=""),"",IF(DomStreamType="Not Classified","",IF(OR(DomStreamType="Mountain Dry", DomStreamType="Valley Dry",DomStreamType="Transitional Dry",DomStreamType="Mountain Dry/Valley Dry"),0,IF(AND(OR(DomStreamType= "Mountain Wet Rain/Valley Dry",DomStreamType="Mountain Wet Snow/Valley Dry",DomStreamType="Mountain Wet/Locally Mountain Dry"),OR(Gradient="&lt; 2%",Gradient="2-6%")),0.25,IF(AND(OR(DomStreamType= "Mountain Wet Rain/Valley Dry",DomStreamType="Mountain Wet Snow/Valley Dry",DomStreamType="Mountain Wet/Locally Mountain Dry"),Gradient="&gt; 6%"),0.5,IF(AND(OR(DomStreamType="Mountain Wet Rain Low Permeability",DomStreamType="Mountain Wet Rain High Permeability",DomStreamType="Mountain Wet Snow Low Permeability",DomStreamType="Mountain Wet Snow High Permeability",DomStreamType="Valley Wet",DomStreamType="Transitional Wet Rain High Permeability",DomStreamType="Transitional Wet Rain Low Permeability",DomStreamType="Transitional Wet Snow High Permeability",DomStreamType="Mountain Wet Rain/Valley Wet",DomStreamType="Mountain Wet Snow/Valley Wet"),OR(Gradient= "&lt; 2%",Gradient="2-6%")),0.75,IF(AND(OR(DomStreamType="Mountain Wet Rain Low Permeability",DomStreamType="Mountain Wet Rain High Permeability",DomStreamType="Mountain Wet Snow Low Permeability",DomStreamType="Mountain Wet Snow High Permeability",DomStreamType="Valley Wet",DomStreamType="Transitional Wet Rain High Permeability",DomStreamType="Transitional Wet Rain Low Permeability",DomStreamType="Transitional Wet Snow High Permeability",DomStreamType="Mountain Wet Rain/Valley Wet",DomStreamType="Mountain Wet Snow/Valley Wet"),Gradient= "&gt; 6%"),1)))))))</f>
        <v/>
      </c>
      <c r="N73"/>
    </row>
    <row r="74" spans="1:14" s="3" customFormat="1" ht="35.25" customHeight="1" x14ac:dyDescent="0.3">
      <c r="A74" s="813" t="s">
        <v>12</v>
      </c>
      <c r="B74" s="770" t="s">
        <v>365</v>
      </c>
      <c r="C74" s="830"/>
      <c r="D74" s="830"/>
      <c r="E74" s="831"/>
      <c r="F74" s="831"/>
      <c r="G74" s="831"/>
      <c r="H74" s="832"/>
      <c r="I74" s="832"/>
      <c r="J74" s="832"/>
      <c r="K74" s="833"/>
      <c r="N74"/>
    </row>
    <row r="75" spans="1:14" ht="24.75" customHeight="1" thickBot="1" x14ac:dyDescent="0.35">
      <c r="A75" s="814"/>
      <c r="B75" s="69" t="s">
        <v>7</v>
      </c>
      <c r="C75" s="70"/>
      <c r="D75" s="69" t="s">
        <v>23</v>
      </c>
      <c r="E75" s="109"/>
      <c r="F75" s="787"/>
      <c r="G75" s="788"/>
      <c r="H75" s="103" t="str">
        <f>IF(AquaPerm="","",AquaPerm)</f>
        <v/>
      </c>
      <c r="I75" s="110"/>
      <c r="J75" s="111"/>
      <c r="K75" s="132" t="str">
        <f>IF(H75="","",IF(H75="Low",1, 0))</f>
        <v/>
      </c>
    </row>
    <row r="76" spans="1:14" s="3" customFormat="1" ht="34.5" customHeight="1" x14ac:dyDescent="0.3">
      <c r="A76" s="813" t="s">
        <v>13</v>
      </c>
      <c r="B76" s="770" t="s">
        <v>264</v>
      </c>
      <c r="C76" s="830"/>
      <c r="D76" s="830"/>
      <c r="E76" s="831"/>
      <c r="F76" s="831"/>
      <c r="G76" s="831"/>
      <c r="H76" s="832"/>
      <c r="I76" s="832"/>
      <c r="J76" s="832"/>
      <c r="K76" s="833"/>
      <c r="N76"/>
    </row>
    <row r="77" spans="1:14" ht="25.5" customHeight="1" thickBot="1" x14ac:dyDescent="0.35">
      <c r="A77" s="814"/>
      <c r="B77" s="69" t="s">
        <v>7</v>
      </c>
      <c r="C77" s="156"/>
      <c r="D77" s="69" t="s">
        <v>24</v>
      </c>
      <c r="E77" s="157"/>
      <c r="F77" s="841"/>
      <c r="G77" s="842"/>
      <c r="H77" s="103" t="str">
        <f>IF(SoilPerm_local="","",SoilPerm_local)</f>
        <v/>
      </c>
      <c r="I77" s="1"/>
      <c r="J77" s="2"/>
      <c r="K77" s="132" t="str">
        <f>IF(H77="","",IF(H77="Low",1, IF(H77="Moderate",0.5,0)))</f>
        <v/>
      </c>
    </row>
    <row r="78" spans="1:14" s="3" customFormat="1" ht="33.75" customHeight="1" x14ac:dyDescent="0.3">
      <c r="A78" s="828" t="s">
        <v>11</v>
      </c>
      <c r="B78" s="770" t="s">
        <v>249</v>
      </c>
      <c r="C78" s="830"/>
      <c r="D78" s="830"/>
      <c r="E78" s="831"/>
      <c r="F78" s="831"/>
      <c r="G78" s="831"/>
      <c r="H78" s="832"/>
      <c r="I78" s="832"/>
      <c r="J78" s="832"/>
      <c r="K78" s="833"/>
      <c r="N78"/>
    </row>
    <row r="79" spans="1:14" ht="25.5" customHeight="1" thickBot="1" x14ac:dyDescent="0.35">
      <c r="A79" s="829"/>
      <c r="B79" s="439" t="s">
        <v>19</v>
      </c>
      <c r="C79" s="152"/>
      <c r="D79" s="439" t="s">
        <v>20</v>
      </c>
      <c r="E79" s="153"/>
      <c r="F79" s="834"/>
      <c r="G79" s="835"/>
      <c r="H79" s="154" t="str">
        <f>IF(Erodibility="","",Erodibility)</f>
        <v/>
      </c>
      <c r="I79" s="13"/>
      <c r="J79" s="14"/>
      <c r="K79" s="155" t="str">
        <f>IF((H79="Easily Erodible"),1,IF((H79="Moderately Erodible"),0,IF((H79="Difficult to Erode"),0.75,"")))</f>
        <v/>
      </c>
    </row>
    <row r="80" spans="1:14" ht="15" thickTop="1" x14ac:dyDescent="0.3"/>
    <row r="82" spans="2:7" ht="15.6" x14ac:dyDescent="0.3">
      <c r="B82" s="17"/>
      <c r="C82" s="17"/>
      <c r="D82" s="17"/>
      <c r="E82" s="17"/>
      <c r="F82" s="17"/>
      <c r="G82" s="17"/>
    </row>
    <row r="83" spans="2:7" ht="15.6" x14ac:dyDescent="0.3">
      <c r="B83" s="17"/>
      <c r="C83" s="17"/>
      <c r="D83" s="17"/>
      <c r="E83" s="17"/>
      <c r="F83" s="17"/>
      <c r="G83" s="17"/>
    </row>
    <row r="84" spans="2:7" ht="15.6" x14ac:dyDescent="0.3">
      <c r="B84" s="17"/>
      <c r="C84" s="17"/>
      <c r="D84" s="17"/>
      <c r="E84" s="17"/>
      <c r="F84" s="17"/>
      <c r="G84" s="17"/>
    </row>
    <row r="86" spans="2:7" x14ac:dyDescent="0.3">
      <c r="B86" t="s">
        <v>4</v>
      </c>
    </row>
    <row r="98" spans="5:5" x14ac:dyDescent="0.3">
      <c r="E98" t="s">
        <v>4</v>
      </c>
    </row>
  </sheetData>
  <sheetProtection algorithmName="SHA-512" hashValue="fzRtV/YwZ5vQqo5h003C9LqfyjOkyuVZz4K8CxzLfTSdSsSGwTP82rJGJB1Jx62a60SW+XJI4Lk4j0JBQiwb7g==" saltValue="K7d31tH5txycTzXd+sX4NA==" spinCount="100000" sheet="1" objects="1" scenarios="1"/>
  <customSheetViews>
    <customSheetView guid="{6A4D8547-5570-4765-8A78-68572E1AC55E}" scale="75" fitToPage="1" topLeftCell="B1">
      <pane ySplit="7" topLeftCell="A8" activePane="bottomLeft" state="frozen"/>
      <selection pane="bottomLeft" activeCell="B120" sqref="B120:K120"/>
      <rowBreaks count="5" manualBreakCount="5">
        <brk id="21" max="16383" man="1"/>
        <brk id="69" max="13" man="1"/>
        <brk id="84" max="16383" man="1"/>
        <brk id="98" max="16383" man="1"/>
        <brk id="126" max="16383" man="1"/>
      </rowBreaks>
      <pageMargins left="0.25" right="0.25" top="0.75" bottom="0.75" header="0.3" footer="0.3"/>
      <pageSetup scale="52" fitToHeight="0" orientation="landscape" r:id="rId1"/>
    </customSheetView>
    <customSheetView guid="{76D76C6A-AC69-4DBD-AC07-822026509EDA}" scale="75" showPageBreaks="1" fitToPage="1">
      <pane ySplit="7" topLeftCell="A17" activePane="bottomLeft" state="frozen"/>
      <selection pane="bottomLeft" activeCell="B20" sqref="B20:K20"/>
      <rowBreaks count="5" manualBreakCount="5">
        <brk id="21" max="16383" man="1"/>
        <brk id="69" max="13" man="1"/>
        <brk id="84" max="16383" man="1"/>
        <brk id="98" max="16383" man="1"/>
        <brk id="126" max="16383" man="1"/>
      </rowBreaks>
      <pageMargins left="0.25" right="0.25" top="0.75" bottom="0.75" header="0.3" footer="0.3"/>
      <pageSetup scale="52" fitToHeight="0" orientation="landscape" r:id="rId2"/>
    </customSheetView>
    <customSheetView guid="{DFF357C0-9B7E-407D-BC84-93A50AD2B553}" scale="75" fitToPage="1">
      <pane ySplit="7" topLeftCell="A35" activePane="bottomLeft" state="frozen"/>
      <selection pane="bottomLeft" activeCell="B39" sqref="B39:K39"/>
      <rowBreaks count="5" manualBreakCount="5">
        <brk id="21" max="16383" man="1"/>
        <brk id="69" max="13" man="1"/>
        <brk id="84" max="16383" man="1"/>
        <brk id="98" max="16383" man="1"/>
        <brk id="126" max="16383" man="1"/>
      </rowBreaks>
      <pageMargins left="0.25" right="0.25" top="0.75" bottom="0.75" header="0.3" footer="0.3"/>
      <pageSetup scale="52" fitToHeight="0" orientation="landscape" r:id="rId3"/>
    </customSheetView>
    <customSheetView guid="{D0935927-5E0F-4648-A725-887C75D046FC}" scale="75" fitToPage="1" topLeftCell="B1">
      <pane ySplit="7" topLeftCell="A116" activePane="bottomLeft" state="frozen"/>
      <selection pane="bottomLeft" activeCell="B120" sqref="B120:K120"/>
      <rowBreaks count="5" manualBreakCount="5">
        <brk id="21" max="16383" man="1"/>
        <brk id="69" max="13" man="1"/>
        <brk id="84" max="16383" man="1"/>
        <brk id="98" max="16383" man="1"/>
        <brk id="126" max="16383" man="1"/>
      </rowBreaks>
      <pageMargins left="0.25" right="0.25" top="0.75" bottom="0.75" header="0.3" footer="0.3"/>
      <pageSetup scale="52" fitToHeight="0" orientation="landscape" r:id="rId4"/>
    </customSheetView>
  </customSheetViews>
  <mergeCells count="142">
    <mergeCell ref="F38:G38"/>
    <mergeCell ref="B11:K11"/>
    <mergeCell ref="B23:K23"/>
    <mergeCell ref="D14:D15"/>
    <mergeCell ref="E14:E15"/>
    <mergeCell ref="F14:G14"/>
    <mergeCell ref="I14:I15"/>
    <mergeCell ref="J14:J15"/>
    <mergeCell ref="F12:G12"/>
    <mergeCell ref="B25:K25"/>
    <mergeCell ref="F26:G26"/>
    <mergeCell ref="F21:G21"/>
    <mergeCell ref="B14:B15"/>
    <mergeCell ref="C14:C15"/>
    <mergeCell ref="B20:K20"/>
    <mergeCell ref="F36:G36"/>
    <mergeCell ref="A1:K1"/>
    <mergeCell ref="A4:K4"/>
    <mergeCell ref="A5:K5"/>
    <mergeCell ref="F6:G6"/>
    <mergeCell ref="F2:F3"/>
    <mergeCell ref="G2:G3"/>
    <mergeCell ref="B27:K27"/>
    <mergeCell ref="K9:K10"/>
    <mergeCell ref="J9:J10"/>
    <mergeCell ref="F9:G9"/>
    <mergeCell ref="B2:E3"/>
    <mergeCell ref="A2:A3"/>
    <mergeCell ref="H2:K2"/>
    <mergeCell ref="H3:K3"/>
    <mergeCell ref="A33:A34"/>
    <mergeCell ref="F34:G34"/>
    <mergeCell ref="K14:K15"/>
    <mergeCell ref="B18:K18"/>
    <mergeCell ref="F19:G19"/>
    <mergeCell ref="A7:A21"/>
    <mergeCell ref="B22:K22"/>
    <mergeCell ref="B31:K31"/>
    <mergeCell ref="A22:A32"/>
    <mergeCell ref="F32:G32"/>
    <mergeCell ref="B33:K33"/>
    <mergeCell ref="B8:K8"/>
    <mergeCell ref="B7:K7"/>
    <mergeCell ref="F10:G10"/>
    <mergeCell ref="E9:E10"/>
    <mergeCell ref="I9:I10"/>
    <mergeCell ref="B13:K13"/>
    <mergeCell ref="F17:G17"/>
    <mergeCell ref="B9:B10"/>
    <mergeCell ref="C9:C10"/>
    <mergeCell ref="D9:D10"/>
    <mergeCell ref="F28:G28"/>
    <mergeCell ref="B29:K29"/>
    <mergeCell ref="F30:G30"/>
    <mergeCell ref="A55:A59"/>
    <mergeCell ref="B55:K55"/>
    <mergeCell ref="B56:B59"/>
    <mergeCell ref="K48:K49"/>
    <mergeCell ref="B16:K16"/>
    <mergeCell ref="F15:G15"/>
    <mergeCell ref="A41:A42"/>
    <mergeCell ref="B41:K41"/>
    <mergeCell ref="F42:G42"/>
    <mergeCell ref="F24:G24"/>
    <mergeCell ref="F49:G49"/>
    <mergeCell ref="D46:D49"/>
    <mergeCell ref="A39:A40"/>
    <mergeCell ref="A43:A44"/>
    <mergeCell ref="B43:K43"/>
    <mergeCell ref="A35:A36"/>
    <mergeCell ref="B35:K35"/>
    <mergeCell ref="B45:K45"/>
    <mergeCell ref="B46:B49"/>
    <mergeCell ref="C46:C49"/>
    <mergeCell ref="E46:E49"/>
    <mergeCell ref="A37:A38"/>
    <mergeCell ref="B37:K37"/>
    <mergeCell ref="A45:A49"/>
    <mergeCell ref="A78:A79"/>
    <mergeCell ref="B78:K78"/>
    <mergeCell ref="F79:G79"/>
    <mergeCell ref="B67:B70"/>
    <mergeCell ref="C67:C70"/>
    <mergeCell ref="E67:E70"/>
    <mergeCell ref="F68:G68"/>
    <mergeCell ref="F69:G69"/>
    <mergeCell ref="A66:A70"/>
    <mergeCell ref="B66:K66"/>
    <mergeCell ref="F67:G67"/>
    <mergeCell ref="A72:A73"/>
    <mergeCell ref="B72:K72"/>
    <mergeCell ref="A71:K71"/>
    <mergeCell ref="D67:D70"/>
    <mergeCell ref="F70:G70"/>
    <mergeCell ref="A76:A77"/>
    <mergeCell ref="F77:G77"/>
    <mergeCell ref="B76:K76"/>
    <mergeCell ref="A74:A75"/>
    <mergeCell ref="B74:K74"/>
    <mergeCell ref="F75:G75"/>
    <mergeCell ref="J67:J68"/>
    <mergeCell ref="A60:A61"/>
    <mergeCell ref="B60:K60"/>
    <mergeCell ref="F61:G61"/>
    <mergeCell ref="F73:G73"/>
    <mergeCell ref="A64:A65"/>
    <mergeCell ref="B64:K64"/>
    <mergeCell ref="F65:G65"/>
    <mergeCell ref="B62:K62"/>
    <mergeCell ref="A62:A63"/>
    <mergeCell ref="F63:G63"/>
    <mergeCell ref="K67:K68"/>
    <mergeCell ref="A50:A52"/>
    <mergeCell ref="B50:K50"/>
    <mergeCell ref="B51:B52"/>
    <mergeCell ref="D51:D52"/>
    <mergeCell ref="C51:C52"/>
    <mergeCell ref="F52:G52"/>
    <mergeCell ref="B53:K53"/>
    <mergeCell ref="A53:A54"/>
    <mergeCell ref="F54:G54"/>
    <mergeCell ref="E51:E52"/>
    <mergeCell ref="K51:K52"/>
    <mergeCell ref="K56:K59"/>
    <mergeCell ref="F59:G59"/>
    <mergeCell ref="I59:J59"/>
    <mergeCell ref="C56:C59"/>
    <mergeCell ref="D56:D59"/>
    <mergeCell ref="F56:G56"/>
    <mergeCell ref="F57:G57"/>
    <mergeCell ref="F58:G58"/>
    <mergeCell ref="F51:G51"/>
    <mergeCell ref="E56:E59"/>
    <mergeCell ref="B39:K39"/>
    <mergeCell ref="F46:G46"/>
    <mergeCell ref="F47:G47"/>
    <mergeCell ref="F48:G48"/>
    <mergeCell ref="K46:K47"/>
    <mergeCell ref="I48:J49"/>
    <mergeCell ref="I46:J47"/>
    <mergeCell ref="F44:G44"/>
    <mergeCell ref="F40:G40"/>
  </mergeCells>
  <conditionalFormatting sqref="I59 I34:I45 I65 I50:I54">
    <cfRule type="expression" priority="30">
      <formula>"G77&lt;100%"</formula>
    </cfRule>
  </conditionalFormatting>
  <conditionalFormatting sqref="H59">
    <cfRule type="cellIs" dxfId="23" priority="1" operator="greaterThan">
      <formula>100</formula>
    </cfRule>
    <cfRule type="cellIs" dxfId="22" priority="2" operator="lessThan">
      <formula>100</formula>
    </cfRule>
  </conditionalFormatting>
  <dataValidations disablePrompts="1" count="18">
    <dataValidation type="list" allowBlank="1" showInputMessage="1" showErrorMessage="1" sqref="H50 H16 H11 H25 H27 H29 H31 H33 H35 H37 H39 H41 H43 H53 H45 H13 H22:H23" xr:uid="{00000000-0002-0000-0100-000000000000}">
      <formula1>Species</formula1>
    </dataValidation>
    <dataValidation type="list" allowBlank="1" showInputMessage="1" showErrorMessage="1" sqref="H16" xr:uid="{00000000-0002-0000-0100-000001000000}">
      <formula1>waterbirds</formula1>
    </dataValidation>
    <dataValidation type="list" allowBlank="1" showInputMessage="1" showErrorMessage="1" sqref="H53" xr:uid="{00000000-0002-0000-0100-000002000000}">
      <formula1>"Blocked,Partial Barrier,Passable,None"</formula1>
    </dataValidation>
    <dataValidation type="list" allowBlank="1" showInputMessage="1" showErrorMessage="1" sqref="H41 H45 H43 H50 H53" xr:uid="{00000000-0002-0000-0100-000003000000}">
      <formula1>ABC</formula1>
    </dataValidation>
    <dataValidation type="list" allowBlank="1" showInputMessage="1" showErrorMessage="1" sqref="H36:H45 H50 H53" xr:uid="{00000000-0002-0000-0100-000004000000}">
      <formula1>"A,B,C,D"</formula1>
    </dataValidation>
    <dataValidation type="list" allowBlank="1" showInputMessage="1" showErrorMessage="1" sqref="H24 H9 H14 H53:H54 H26 H28 H30 H67:H70 H45:H50 H32:H43" xr:uid="{00000000-0002-0000-0100-000005000000}">
      <formula1>"Yes,No"</formula1>
    </dataValidation>
    <dataValidation type="whole" allowBlank="1" showInputMessage="1" showErrorMessage="1" sqref="H56:H58" xr:uid="{00000000-0002-0000-0100-000007000000}">
      <formula1>0</formula1>
      <formula2>100</formula2>
    </dataValidation>
    <dataValidation type="list" allowBlank="1" showInputMessage="1" showErrorMessage="1" sqref="H65" xr:uid="{00000000-0002-0000-0100-000008000000}">
      <formula1>"Not Ranked or Low,Moderate, High or Highest"</formula1>
    </dataValidation>
    <dataValidation type="list" allowBlank="1" showInputMessage="1" showErrorMessage="1" sqref="H61" xr:uid="{2D8F0A1F-737E-408E-A831-3D81BE14DD25}">
      <formula1>"A,B,C"</formula1>
    </dataValidation>
    <dataValidation type="list" allowBlank="1" showInputMessage="1" showErrorMessage="1" sqref="H63" xr:uid="{1FF801BC-EEBF-4DCB-BCFF-F98AC1F563BF}">
      <formula1>"Upper 1/3,Middle 1/3,Lower 1/3"</formula1>
    </dataValidation>
    <dataValidation type="list" allowBlank="1" showInputMessage="1" showErrorMessage="1" sqref="H10 H12 H19 H21 H17" xr:uid="{0B934BF7-C913-426D-A19B-FE2FB5C38B72}">
      <formula1>"High,Intermediate,Low,None/Not Known"</formula1>
    </dataValidation>
    <dataValidation type="list" allowBlank="1" showInputMessage="1" showErrorMessage="1" sqref="H15" xr:uid="{DB3A9098-612A-46BE-8B7F-E20C4F16A2E5}">
      <formula1>"High,Low,None/Not Known"</formula1>
    </dataValidation>
    <dataValidation type="list" allowBlank="1" showInputMessage="1" showErrorMessage="1" sqref="H51:H52" xr:uid="{4D917CDB-2D9D-4452-9903-3D0635872DF8}">
      <formula1>"Blocked,Partial,Passable,Unknown,None"</formula1>
    </dataValidation>
    <dataValidation type="list" allowBlank="1" showInputMessage="1" showErrorMessage="1" sqref="H51:H52" xr:uid="{5D5C695D-10D5-45DC-B728-4072ACD93E84}">
      <formula1>"Barrier"</formula1>
    </dataValidation>
    <dataValidation type="list" allowBlank="1" showInputMessage="1" showErrorMessage="1" sqref="H51:H52" xr:uid="{57FD8D67-63D6-4E85-AF2C-C398B99CF382}">
      <formula1>"Barrier, Partial barrier"</formula1>
    </dataValidation>
    <dataValidation type="list" allowBlank="1" showInputMessage="1" showErrorMessage="1" sqref="H51:H52" xr:uid="{3159BA79-9333-412B-A5A7-BF61E9EA4B08}">
      <formula1>"Barrier,Partial barrier,Passable,Unknown,None"</formula1>
    </dataValidation>
    <dataValidation type="list" allowBlank="1" showInputMessage="1" showErrorMessage="1" sqref="H51:H52" xr:uid="{430967F8-3D7E-4B43-BBAC-28BEAAD4F2C5}">
      <formula1>"Barrier,Partial barrier,Passable,Status is Unknown,None"</formula1>
    </dataValidation>
    <dataValidation type="list" allowBlank="1" showInputMessage="1" showErrorMessage="1" sqref="H51:H52" xr:uid="{A9031147-5240-4976-908F-338BA52514F5}">
      <formula1>"Barrier,Parial barrier,Passable,Unknown,None"</formula1>
    </dataValidation>
  </dataValidations>
  <pageMargins left="0.25" right="0.25" top="0.75" bottom="0.75" header="0.3" footer="0.3"/>
  <pageSetup scale="54" fitToHeight="0" orientation="portrait" r:id="rId5"/>
  <rowBreaks count="2" manualBreakCount="2">
    <brk id="44" max="10" man="1"/>
    <brk id="63" max="10" man="1"/>
  </rowBreak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9000000}">
          <x14:formula1>
            <xm:f>lists!$I$4:$I$7</xm:f>
          </x14:formula1>
          <xm:sqref>H61 H40:H43 H45:H50 H53</xm:sqref>
        </x14:dataValidation>
        <x14:dataValidation type="list" allowBlank="1" showInputMessage="1" showErrorMessage="1" xr:uid="{00000000-0002-0000-0100-00000A000000}">
          <x14:formula1>
            <xm:f>lists!$I$4:$I$8</xm:f>
          </x14:formula1>
          <xm:sqref>H36:H43 H45:H50 H53</xm:sqref>
        </x14:dataValidation>
        <x14:dataValidation type="list" allowBlank="1" showInputMessage="1" showErrorMessage="1" xr:uid="{00000000-0002-0000-0100-00000B000000}">
          <x14:formula1>
            <xm:f>lists!$I$11:$I$13</xm:f>
          </x14:formula1>
          <xm:sqref>H42:H43 H45:H50 H53</xm:sqref>
        </x14:dataValidation>
        <x14:dataValidation type="list" allowBlank="1" showInputMessage="1" showErrorMessage="1" xr:uid="{00000000-0002-0000-0100-00000C000000}">
          <x14:formula1>
            <xm:f>lists!$G$17:$G$19</xm:f>
          </x14:formula1>
          <xm:sqref>H64</xm:sqref>
        </x14:dataValidation>
        <x14:dataValidation type="list" allowBlank="1" showInputMessage="1" showErrorMessage="1" xr:uid="{00000000-0002-0000-0100-00000D000000}">
          <x14:formula1>
            <xm:f>lists!$E$11:$E$13</xm:f>
          </x14:formula1>
          <xm:sqref>H65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sheetPr>
  <dimension ref="A1:N51"/>
  <sheetViews>
    <sheetView topLeftCell="A4" zoomScale="85" zoomScaleNormal="85" zoomScaleSheetLayoutView="75" zoomScalePageLayoutView="75" workbookViewId="0">
      <selection activeCell="H8" sqref="H8"/>
    </sheetView>
  </sheetViews>
  <sheetFormatPr defaultColWidth="8.88671875" defaultRowHeight="14.4" x14ac:dyDescent="0.3"/>
  <cols>
    <col min="1" max="1" width="16.109375" style="40" customWidth="1"/>
    <col min="2" max="2" width="17" style="40" customWidth="1"/>
    <col min="3" max="3" width="15" style="40" customWidth="1"/>
    <col min="4" max="4" width="15.88671875" style="40" customWidth="1"/>
    <col min="5" max="5" width="14" style="40" customWidth="1"/>
    <col min="6" max="7" width="25.33203125" style="40" customWidth="1"/>
    <col min="8" max="8" width="14.6640625" style="40" customWidth="1"/>
    <col min="9" max="9" width="12.44140625" style="40" customWidth="1"/>
    <col min="10" max="10" width="11.44140625" style="40" customWidth="1"/>
    <col min="11" max="11" width="15.88671875" style="40" customWidth="1"/>
    <col min="12" max="12" width="8.88671875" style="40"/>
    <col min="13" max="13" width="55.109375" style="40" bestFit="1" customWidth="1"/>
    <col min="14" max="16384" width="8.88671875" style="40"/>
  </cols>
  <sheetData>
    <row r="1" spans="1:13" ht="23.7" customHeight="1" thickTop="1" thickBot="1" x14ac:dyDescent="0.35">
      <c r="A1" s="884" t="s">
        <v>137</v>
      </c>
      <c r="B1" s="885"/>
      <c r="C1" s="885"/>
      <c r="D1" s="885"/>
      <c r="E1" s="885"/>
      <c r="F1" s="886"/>
      <c r="G1" s="886"/>
      <c r="H1" s="885"/>
      <c r="I1" s="885"/>
      <c r="J1" s="885"/>
      <c r="K1" s="887"/>
      <c r="M1" s="41"/>
    </row>
    <row r="2" spans="1:13" ht="18" customHeight="1" thickTop="1" thickBot="1" x14ac:dyDescent="0.35">
      <c r="A2" s="968" t="s">
        <v>134</v>
      </c>
      <c r="B2" s="903" t="str">
        <f>IF('Cover Page'!B4="","",'Cover Page'!B4)</f>
        <v/>
      </c>
      <c r="C2" s="964"/>
      <c r="D2" s="964"/>
      <c r="E2" s="965"/>
      <c r="F2" s="992" t="s">
        <v>544</v>
      </c>
      <c r="G2" s="994" t="str">
        <f>IF('Cover Page'!B9="","",'Cover Page'!B9)</f>
        <v/>
      </c>
      <c r="H2" s="958" t="s">
        <v>520</v>
      </c>
      <c r="I2" s="959"/>
      <c r="J2" s="959"/>
      <c r="K2" s="960"/>
      <c r="M2" s="42"/>
    </row>
    <row r="3" spans="1:13" ht="15" customHeight="1" thickBot="1" x14ac:dyDescent="0.35">
      <c r="A3" s="969"/>
      <c r="B3" s="966"/>
      <c r="C3" s="966"/>
      <c r="D3" s="966"/>
      <c r="E3" s="967"/>
      <c r="F3" s="993"/>
      <c r="G3" s="995"/>
      <c r="H3" s="961" t="s">
        <v>275</v>
      </c>
      <c r="I3" s="962"/>
      <c r="J3" s="962"/>
      <c r="K3" s="963"/>
      <c r="M3" s="42"/>
    </row>
    <row r="4" spans="1:13" ht="21.6" thickBot="1" x14ac:dyDescent="0.35">
      <c r="A4" s="955" t="s">
        <v>43</v>
      </c>
      <c r="B4" s="955"/>
      <c r="C4" s="955"/>
      <c r="D4" s="955"/>
      <c r="E4" s="955"/>
      <c r="F4" s="955"/>
      <c r="G4" s="955"/>
      <c r="H4" s="955"/>
      <c r="I4" s="955"/>
      <c r="J4" s="955"/>
      <c r="K4" s="955"/>
      <c r="M4" s="42"/>
    </row>
    <row r="5" spans="1:13" ht="40.5" customHeight="1" thickBot="1" x14ac:dyDescent="0.35">
      <c r="A5" s="889" t="s">
        <v>545</v>
      </c>
      <c r="B5" s="890"/>
      <c r="C5" s="890"/>
      <c r="D5" s="890"/>
      <c r="E5" s="890"/>
      <c r="F5" s="890"/>
      <c r="G5" s="890"/>
      <c r="H5" s="890"/>
      <c r="I5" s="890"/>
      <c r="J5" s="890"/>
      <c r="K5" s="891"/>
    </row>
    <row r="6" spans="1:13" s="47" customFormat="1" ht="45.75" customHeight="1" thickBot="1" x14ac:dyDescent="0.35">
      <c r="A6" s="43" t="s">
        <v>8</v>
      </c>
      <c r="B6" s="44" t="s">
        <v>145</v>
      </c>
      <c r="C6" s="44"/>
      <c r="D6" s="44" t="s">
        <v>141</v>
      </c>
      <c r="E6" s="45" t="s">
        <v>156</v>
      </c>
      <c r="F6" s="954" t="s">
        <v>4</v>
      </c>
      <c r="G6" s="954"/>
      <c r="H6" s="636" t="s">
        <v>521</v>
      </c>
      <c r="I6" s="1007" t="s">
        <v>523</v>
      </c>
      <c r="J6" s="1008"/>
      <c r="K6" s="46" t="s">
        <v>173</v>
      </c>
    </row>
    <row r="7" spans="1:13" ht="81.75" customHeight="1" thickBot="1" x14ac:dyDescent="0.35">
      <c r="A7" s="813" t="s">
        <v>388</v>
      </c>
      <c r="B7" s="925" t="s">
        <v>451</v>
      </c>
      <c r="C7" s="926"/>
      <c r="D7" s="926"/>
      <c r="E7" s="927"/>
      <c r="F7" s="927"/>
      <c r="G7" s="927"/>
      <c r="H7" s="928"/>
      <c r="I7" s="928"/>
      <c r="J7" s="928"/>
      <c r="K7" s="929"/>
      <c r="M7" s="52"/>
    </row>
    <row r="8" spans="1:13" ht="76.5" customHeight="1" thickBot="1" x14ac:dyDescent="0.35">
      <c r="A8" s="924"/>
      <c r="B8" s="70" t="s">
        <v>148</v>
      </c>
      <c r="C8" s="48"/>
      <c r="D8" s="69" t="s">
        <v>129</v>
      </c>
      <c r="E8" s="50" t="str">
        <f>IF(OR('Cover Page'!G17="",'Cover Page'!G18=""),"",IF(AND('Cover Page'!G17="Western Mountains",'Cover Page'!G18="Small"),"WMTsmall",IF(AND('Cover Page'!G17="Western Mountains",'Cover Page'!G18="Large"),"WMTlarge",IF(AND('Cover Page'!G17="Xeric",'Cover Page'!G18="Small"),"XERsmall",IF(AND('Cover Page'!G17="Xeric",'Cover Page'!G18="Large"),"XERlarge")))))</f>
        <v/>
      </c>
      <c r="F8" s="787" t="s">
        <v>208</v>
      </c>
      <c r="G8" s="948"/>
      <c r="H8" s="619" t="e">
        <f>'PAA Field Form'!X7</f>
        <v>#DIV/0!</v>
      </c>
      <c r="I8" s="606" t="e">
        <f>IF(H8='PAA Field Form'!X7,"","Caution! Entry not linked to Field Form")</f>
        <v>#DIV/0!</v>
      </c>
      <c r="J8" s="606" t="str">
        <f>IF(E8="","Please complete 'Cover Page' cells E17 &amp; E18","")</f>
        <v>Please complete 'Cover Page' cells E17 &amp; E18</v>
      </c>
      <c r="K8" s="440" t="e">
        <f>IF(H8="","FALSE",IF(AND(E8="WMTsmall",H8&lt;56),0.0054*H8,IF(AND(E8="WMTsmall", H8&gt;=56,H8&lt;=92),0.0111*H8-0.3222,IF(AND(E8="WMTsmall",H8&gt;92,H8&lt;=98),0.05*H8-3.9,IF(AND(E8="WMTsmall",H8&gt;98),1,IF(AND(E8="WMTlarge",H8&lt;15),0.02*H8,IF(AND(E8="WMTlarge",H8&gt;=15,H8&lt;=63),0.0083*H8-0.175,IF(AND(E8="WMTlarge",H8&gt;63,H8&lt;=78),0.02*H8-0.56,IF(AND(E8="WMTlarge",H8&gt;78),1,IF(AND(E8="XERsmall",H8&lt;41),0.0073*H8,IF(AND(E8="XERsmall",H8&gt;=41,H8&lt;=87),0.0087*H8-0.0565,IF(AND(E8="XERsmall",H8&gt;87,H8&lt;=95),0.0375*H8-2.5625,IF(AND(E8="XERsmall",H8&gt;95),1,IF(AND(E8="XERlarge",H8&lt;13),0.0231*H8,IF(AND(E8="XERlarge",H8&gt;=13,H8&lt;=51),0.0105*H8+0.1632,IF(AND(E8="XERlarge",H8&gt;51,H8&lt;=71),0.015*H8-0.065,IF(AND(E8="XERlarge",H8&gt;71),1)))))))))))))))))</f>
        <v>#DIV/0!</v>
      </c>
      <c r="M8" s="53"/>
    </row>
    <row r="9" spans="1:13" ht="66.75" customHeight="1" thickBot="1" x14ac:dyDescent="0.35">
      <c r="A9" s="916" t="s">
        <v>389</v>
      </c>
      <c r="B9" s="918" t="s">
        <v>522</v>
      </c>
      <c r="C9" s="919"/>
      <c r="D9" s="919"/>
      <c r="E9" s="919"/>
      <c r="F9" s="919"/>
      <c r="G9" s="919"/>
      <c r="H9" s="919"/>
      <c r="I9" s="919"/>
      <c r="J9" s="919"/>
      <c r="K9" s="920"/>
      <c r="M9" s="56"/>
    </row>
    <row r="10" spans="1:13" ht="63.75" customHeight="1" thickBot="1" x14ac:dyDescent="0.35">
      <c r="A10" s="917"/>
      <c r="B10" s="73" t="s">
        <v>25</v>
      </c>
      <c r="C10" s="61"/>
      <c r="D10" s="73" t="s">
        <v>369</v>
      </c>
      <c r="E10" s="62"/>
      <c r="F10" s="785" t="s">
        <v>209</v>
      </c>
      <c r="G10" s="786"/>
      <c r="H10" s="620" t="e">
        <f>'PAA Field Form'!X20</f>
        <v>#DIV/0!</v>
      </c>
      <c r="I10" s="613" t="e">
        <f>IF(H10='PAA Field Form'!X20,"","Caution! Entry not linked to Field Form")</f>
        <v>#DIV/0!</v>
      </c>
      <c r="J10" s="58"/>
      <c r="K10" s="440" t="e">
        <f>IF(H10="","FALSE",IF(H10&gt;=50,0,IF(AND(H10&gt;15,H10&lt;50),-0.0086*H10+0.4286,IF(AND(H10&gt;=1,H10&lt;=15),-0.0286*H10+0.7286,IF(H10&lt;1,-0.3*H10+1)))))</f>
        <v>#DIV/0!</v>
      </c>
      <c r="M10" s="53"/>
    </row>
    <row r="11" spans="1:13" ht="50.25" customHeight="1" thickBot="1" x14ac:dyDescent="0.35">
      <c r="A11" s="1013" t="s">
        <v>390</v>
      </c>
      <c r="B11" s="921" t="s">
        <v>225</v>
      </c>
      <c r="C11" s="922"/>
      <c r="D11" s="922"/>
      <c r="E11" s="922"/>
      <c r="F11" s="922"/>
      <c r="G11" s="922"/>
      <c r="H11" s="922"/>
      <c r="I11" s="922"/>
      <c r="J11" s="922"/>
      <c r="K11" s="923"/>
      <c r="M11" s="56"/>
    </row>
    <row r="12" spans="1:13" ht="51" customHeight="1" thickBot="1" x14ac:dyDescent="0.35">
      <c r="A12" s="970"/>
      <c r="B12" s="639" t="s">
        <v>25</v>
      </c>
      <c r="C12" s="57"/>
      <c r="D12" s="73" t="s">
        <v>50</v>
      </c>
      <c r="E12" s="608"/>
      <c r="F12" s="785" t="s">
        <v>210</v>
      </c>
      <c r="G12" s="786"/>
      <c r="H12" s="621" t="e">
        <f>'PAA Field Form'!X24</f>
        <v>#DIV/0!</v>
      </c>
      <c r="I12" s="613" t="e">
        <f>IF(H12='PAA Field Form'!X24,"","Caution! Entry not linked to Field Form")</f>
        <v>#DIV/0!</v>
      </c>
      <c r="J12" s="610"/>
      <c r="K12" s="440" t="e">
        <f>IF(H12="","FALSE",IF(H12&gt;100,1,IF(H12&lt;20,0.015*H12,IF(AND(H12&gt;=20,H12&lt;=60),0.01*H12+0.1,IF(H12&gt;60,0.0075*H12+0.25,)))))</f>
        <v>#DIV/0!</v>
      </c>
      <c r="M12" s="53"/>
    </row>
    <row r="13" spans="1:13" ht="50.25" customHeight="1" thickBot="1" x14ac:dyDescent="0.35">
      <c r="A13" s="983" t="s">
        <v>391</v>
      </c>
      <c r="B13" s="1010" t="s">
        <v>371</v>
      </c>
      <c r="C13" s="1011"/>
      <c r="D13" s="1011"/>
      <c r="E13" s="1011"/>
      <c r="F13" s="1011"/>
      <c r="G13" s="1011"/>
      <c r="H13" s="1011"/>
      <c r="I13" s="1011"/>
      <c r="J13" s="1011"/>
      <c r="K13" s="1012"/>
      <c r="M13" s="47"/>
    </row>
    <row r="14" spans="1:13" s="47" customFormat="1" ht="72.75" customHeight="1" thickBot="1" x14ac:dyDescent="0.35">
      <c r="A14" s="984"/>
      <c r="B14" s="72" t="s">
        <v>25</v>
      </c>
      <c r="C14" s="57"/>
      <c r="D14" s="74" t="s">
        <v>370</v>
      </c>
      <c r="E14" s="59" t="str">
        <f>IF('Cover Page'!E17="","",IF(OR('Cover Page'!E17="Eastern Cascades Slopes and Foothills",'Cover Page'!E17="Columbia Plateau",'Cover Page'!E17="Snake River Plain",'Cover Page'!E17="Northern Basin and Range"),"East","West"))</f>
        <v/>
      </c>
      <c r="F14" s="785" t="s">
        <v>210</v>
      </c>
      <c r="G14" s="786"/>
      <c r="H14" s="619" t="e">
        <f>'PAA Field Form'!X28</f>
        <v>#DIV/0!</v>
      </c>
      <c r="I14" s="613" t="e">
        <f>IF(H14='PAA Field Form'!X28,"","Caution! Entry not linked to Field Form")</f>
        <v>#DIV/0!</v>
      </c>
      <c r="J14" s="611" t="str">
        <f>IF(E8="","Please complete Cover Page cell E17","")</f>
        <v>Please complete Cover Page cell E17</v>
      </c>
      <c r="K14" s="440" t="e">
        <f>IF(H14="","FALSE",IF(H14&gt;=100,1,IF(H14&lt;10,0.03*H14, IF(AND(E14="West", H14&gt;=10,H14&lt;=50),0.01*H14+0.2,IF(AND(E14="West",H14&gt;50),0.006*H14+0.4,IF(AND(E14="East",H14&gt;=10,H14&lt;=20),0.04*H14-0.1,IF(AND(E14="East",H14&gt;20),0.0038*H14+0.625)))))))</f>
        <v>#DIV/0!</v>
      </c>
    </row>
    <row r="15" spans="1:13" ht="117" customHeight="1" thickBot="1" x14ac:dyDescent="0.35">
      <c r="A15" s="808" t="s">
        <v>392</v>
      </c>
      <c r="B15" s="1009" t="s">
        <v>457</v>
      </c>
      <c r="C15" s="934"/>
      <c r="D15" s="934"/>
      <c r="E15" s="935"/>
      <c r="F15" s="935"/>
      <c r="G15" s="935"/>
      <c r="H15" s="936"/>
      <c r="I15" s="936"/>
      <c r="J15" s="936"/>
      <c r="K15" s="941"/>
      <c r="M15" s="47"/>
    </row>
    <row r="16" spans="1:13" s="47" customFormat="1" ht="51" customHeight="1" thickBot="1" x14ac:dyDescent="0.35">
      <c r="A16" s="970"/>
      <c r="B16" s="640" t="s">
        <v>92</v>
      </c>
      <c r="C16" s="48"/>
      <c r="D16" s="69" t="s">
        <v>144</v>
      </c>
      <c r="E16" s="60"/>
      <c r="F16" s="787" t="s">
        <v>231</v>
      </c>
      <c r="G16" s="788"/>
      <c r="H16" s="619" t="e">
        <f>'PAA Field Form'!X10</f>
        <v>#DIV/0!</v>
      </c>
      <c r="I16" s="613" t="e">
        <f>IF(H16='PAA Field Form'!X10,"","Caution! Entry not linked to Field Form")</f>
        <v>#DIV/0!</v>
      </c>
      <c r="J16" s="610"/>
      <c r="K16" s="440" t="e">
        <f>IF((H16=""),"FALSE",IF(H16&gt;328,1,IF(H16&lt;33,0.0091*H16,IF(AND(H16&gt;=33,H16&lt;=99),0.0061*H16+0.1,IF(H16&gt;99,0.0013*H16+0.5703)))))</f>
        <v>#DIV/0!</v>
      </c>
    </row>
    <row r="17" spans="1:14" s="47" customFormat="1" ht="132.75" customHeight="1" thickBot="1" x14ac:dyDescent="0.35">
      <c r="A17" s="983" t="s">
        <v>458</v>
      </c>
      <c r="B17" s="985" t="s">
        <v>506</v>
      </c>
      <c r="C17" s="986"/>
      <c r="D17" s="986"/>
      <c r="E17" s="986"/>
      <c r="F17" s="986"/>
      <c r="G17" s="986"/>
      <c r="H17" s="986"/>
      <c r="I17" s="986"/>
      <c r="J17" s="986"/>
      <c r="K17" s="987"/>
    </row>
    <row r="18" spans="1:14" s="47" customFormat="1" ht="66" customHeight="1" thickBot="1" x14ac:dyDescent="0.35">
      <c r="A18" s="984"/>
      <c r="B18" s="69" t="s">
        <v>25</v>
      </c>
      <c r="C18" s="48"/>
      <c r="D18" s="69" t="s">
        <v>477</v>
      </c>
      <c r="E18" s="614"/>
      <c r="F18" s="956" t="s">
        <v>543</v>
      </c>
      <c r="G18" s="988"/>
      <c r="H18" s="622" t="str">
        <f>'PAA Field Form'!X13</f>
        <v/>
      </c>
      <c r="I18" s="615" t="str">
        <f>IF(H18='PAA Field Form'!X13,"","Caution! Entry not linked to Field Form")</f>
        <v/>
      </c>
      <c r="J18" s="641"/>
      <c r="K18" s="440" t="str">
        <f>IF(H18="","FALSE",IF(H18=I18,0,IF(H18="Blocked",0,IF(H18="Partial",0.5,IF(H18="Passable",1,IF(H18="None",1,IF(H18="Unknown",1,"")))))))</f>
        <v>FALSE</v>
      </c>
    </row>
    <row r="19" spans="1:14" ht="127.95" customHeight="1" thickBot="1" x14ac:dyDescent="0.35">
      <c r="A19" s="837" t="s">
        <v>459</v>
      </c>
      <c r="B19" s="770" t="s">
        <v>447</v>
      </c>
      <c r="C19" s="934"/>
      <c r="D19" s="934"/>
      <c r="E19" s="935"/>
      <c r="F19" s="935"/>
      <c r="G19" s="935"/>
      <c r="H19" s="936"/>
      <c r="I19" s="936"/>
      <c r="J19" s="936"/>
      <c r="K19" s="941"/>
      <c r="M19" s="56"/>
    </row>
    <row r="20" spans="1:14" s="47" customFormat="1" ht="70.95" customHeight="1" thickBot="1" x14ac:dyDescent="0.35">
      <c r="A20" s="924"/>
      <c r="B20" s="70" t="s">
        <v>146</v>
      </c>
      <c r="C20" s="48"/>
      <c r="D20" s="69" t="s">
        <v>45</v>
      </c>
      <c r="E20" s="60"/>
      <c r="F20" s="956" t="s">
        <v>524</v>
      </c>
      <c r="G20" s="957"/>
      <c r="H20" s="622" t="str">
        <f>'PAA Field Form'!X15</f>
        <v/>
      </c>
      <c r="I20" s="615" t="str">
        <f>IF(H20='PAA Field Form'!X15,"","Caution! Entry not linked to Field Form")</f>
        <v/>
      </c>
      <c r="J20" s="616"/>
      <c r="K20" s="440" t="str">
        <f>IF((H20=""),"FALSE",IF(H20="&lt;=20%",1,IF(H20="&gt;20-40%",0.5,IF(H20="&gt;40-80%",0.2,IF(H20="&gt;80%",0)))))</f>
        <v>FALSE</v>
      </c>
    </row>
    <row r="21" spans="1:14" ht="135.75" customHeight="1" thickBot="1" x14ac:dyDescent="0.35">
      <c r="A21" s="813" t="s">
        <v>460</v>
      </c>
      <c r="B21" s="770" t="s">
        <v>507</v>
      </c>
      <c r="C21" s="934"/>
      <c r="D21" s="934"/>
      <c r="E21" s="935"/>
      <c r="F21" s="935"/>
      <c r="G21" s="935"/>
      <c r="H21" s="936"/>
      <c r="I21" s="936"/>
      <c r="J21" s="936"/>
      <c r="K21" s="937"/>
      <c r="M21" s="56"/>
    </row>
    <row r="22" spans="1:14" s="47" customFormat="1" ht="72.75" customHeight="1" thickBot="1" x14ac:dyDescent="0.35">
      <c r="A22" s="924"/>
      <c r="B22" s="69" t="s">
        <v>19</v>
      </c>
      <c r="C22" s="48"/>
      <c r="D22" s="69" t="s">
        <v>48</v>
      </c>
      <c r="E22" s="63"/>
      <c r="F22" s="787" t="s">
        <v>211</v>
      </c>
      <c r="G22" s="788"/>
      <c r="H22" s="619" t="e">
        <f>'PAA Field Form'!X32</f>
        <v>#DIV/0!</v>
      </c>
      <c r="I22" s="615" t="e">
        <f>IF(H22='PAA Field Form'!X32,"","Caution! Entry not linked to Field Form")</f>
        <v>#DIV/0!</v>
      </c>
      <c r="J22" s="617"/>
      <c r="K22" s="440" t="e">
        <f>IF(H22="","FALSE",IF(H22&gt;40,0,IF(AND(H22&gt;20,H22&lt;=40),-0.015*H22+0.6,IF(AND(H22&gt;=10,H22&lt;=20),-0.04*H22+1.1,-0.03*H22+1))))</f>
        <v>#DIV/0!</v>
      </c>
    </row>
    <row r="23" spans="1:14" ht="100.5" customHeight="1" thickBot="1" x14ac:dyDescent="0.35">
      <c r="A23" s="813" t="s">
        <v>461</v>
      </c>
      <c r="B23" s="949" t="s">
        <v>404</v>
      </c>
      <c r="C23" s="934"/>
      <c r="D23" s="934"/>
      <c r="E23" s="935"/>
      <c r="F23" s="935"/>
      <c r="G23" s="935"/>
      <c r="H23" s="936"/>
      <c r="I23" s="936"/>
      <c r="J23" s="936"/>
      <c r="K23" s="937"/>
      <c r="M23" s="56"/>
    </row>
    <row r="24" spans="1:14" s="47" customFormat="1" ht="80.25" customHeight="1" thickBot="1" x14ac:dyDescent="0.35">
      <c r="A24" s="924"/>
      <c r="B24" s="69" t="s">
        <v>19</v>
      </c>
      <c r="C24" s="48"/>
      <c r="D24" s="69" t="s">
        <v>313</v>
      </c>
      <c r="E24" s="63"/>
      <c r="F24" s="787" t="s">
        <v>211</v>
      </c>
      <c r="G24" s="788"/>
      <c r="H24" s="619" t="e">
        <f>'PAA Field Form'!X36</f>
        <v>#DIV/0!</v>
      </c>
      <c r="I24" s="615" t="e">
        <f>IF(H24='PAA Field Form'!X36,"","Caution! Entry not linked to Field Form")</f>
        <v>#DIV/0!</v>
      </c>
      <c r="J24" s="610"/>
      <c r="K24" s="440" t="e">
        <f>IF(H24="","FALSE",IF(H24&gt;=60,0,IF(AND(H24&gt;=40,H24&lt;60),-0.015*H24+0.9,IF(AND(H24&gt;=20,H24&lt;40),-0.02*H24+1.1,IF(AND(H24&gt;=10,H24&lt;20),-0.03*H24+1.3,IF(H24&lt;10,1))))))</f>
        <v>#DIV/0!</v>
      </c>
    </row>
    <row r="25" spans="1:14" ht="163.5" customHeight="1" thickBot="1" x14ac:dyDescent="0.35">
      <c r="A25" s="813" t="s">
        <v>462</v>
      </c>
      <c r="B25" s="770" t="s">
        <v>455</v>
      </c>
      <c r="C25" s="934"/>
      <c r="D25" s="934"/>
      <c r="E25" s="935"/>
      <c r="F25" s="935"/>
      <c r="G25" s="935"/>
      <c r="H25" s="936"/>
      <c r="I25" s="936"/>
      <c r="J25" s="936"/>
      <c r="K25" s="937"/>
      <c r="M25" s="56"/>
    </row>
    <row r="26" spans="1:14" s="47" customFormat="1" ht="66" customHeight="1" thickBot="1" x14ac:dyDescent="0.35">
      <c r="A26" s="953"/>
      <c r="B26" s="97" t="s">
        <v>149</v>
      </c>
      <c r="C26" s="607"/>
      <c r="D26" s="98" t="s">
        <v>44</v>
      </c>
      <c r="E26" s="642"/>
      <c r="F26" s="880" t="s">
        <v>212</v>
      </c>
      <c r="G26" s="881"/>
      <c r="H26" s="619" t="str">
        <f>'PAA Field Form'!X40</f>
        <v/>
      </c>
      <c r="I26" s="618" t="str">
        <f>IF(H26='PAA Field Form'!X40,"","Caution! Entry not linked to Field Form")</f>
        <v/>
      </c>
      <c r="J26" s="643"/>
      <c r="K26" s="440" t="str">
        <f>IF(H26="","",IF(H26="Yes",1,IF(H26="No",0)))</f>
        <v/>
      </c>
    </row>
    <row r="27" spans="1:14" ht="64.95" customHeight="1" thickBot="1" x14ac:dyDescent="0.35">
      <c r="A27" s="989" t="s">
        <v>463</v>
      </c>
      <c r="B27" s="942" t="s">
        <v>452</v>
      </c>
      <c r="C27" s="943"/>
      <c r="D27" s="943"/>
      <c r="E27" s="944"/>
      <c r="F27" s="944"/>
      <c r="G27" s="944"/>
      <c r="H27" s="945"/>
      <c r="I27" s="945"/>
      <c r="J27" s="945"/>
      <c r="K27" s="946"/>
      <c r="M27" s="996"/>
      <c r="N27" s="996"/>
    </row>
    <row r="28" spans="1:14" ht="105" customHeight="1" x14ac:dyDescent="0.3">
      <c r="A28" s="990"/>
      <c r="B28" s="879" t="s">
        <v>149</v>
      </c>
      <c r="C28" s="998"/>
      <c r="D28" s="1000" t="s">
        <v>143</v>
      </c>
      <c r="E28" s="1002"/>
      <c r="F28" s="947" t="s">
        <v>186</v>
      </c>
      <c r="G28" s="947"/>
      <c r="H28" s="623" t="str">
        <f>IF('PAA Field Form'!X44="","",'PAA Field Form'!X44)</f>
        <v/>
      </c>
      <c r="I28" s="612" t="str">
        <f>IF(H28='PAA Field Form'!X44,"","Caution! Entry not linked to Field Form")</f>
        <v/>
      </c>
      <c r="J28" s="637" t="str">
        <f>IF((AND(H28="NO",H29="yes")), "If the entry in orange is 'NO' then the two questions below are N/A","")</f>
        <v/>
      </c>
      <c r="K28" s="1004" t="str">
        <f>IF(OR(H28="",H29="",H30=""),"FALSE",IF(AND(H28="No",OR(H29="N/A",H29="No"),OR(H30="N/A",H30="No")),0,IF(AND(H28="Yes",H29="No",OR(H30="N/A",H30="No")),0.25,IF(AND(H28="Yes",H29="Yes",H30="No"),0.5,IF(AND(H28="Yes",H29="Yes",H30="Yes"),1,"FALSE")))))</f>
        <v>FALSE</v>
      </c>
      <c r="M28" s="56"/>
    </row>
    <row r="29" spans="1:14" ht="109.5" customHeight="1" x14ac:dyDescent="0.3">
      <c r="A29" s="990"/>
      <c r="B29" s="879"/>
      <c r="C29" s="998"/>
      <c r="D29" s="1000"/>
      <c r="E29" s="1002"/>
      <c r="F29" s="947" t="s">
        <v>456</v>
      </c>
      <c r="G29" s="947"/>
      <c r="H29" s="623" t="str">
        <f>IF('PAA Field Form'!X46="","",'PAA Field Form'!X46)</f>
        <v/>
      </c>
      <c r="I29" s="612" t="str">
        <f>IF(H29='PAA Field Form'!X46,"","Caution! Entry not linked to Field Form")</f>
        <v/>
      </c>
      <c r="J29" s="637" t="str">
        <f>IF(AND(H29="NO", H30="yes"), "If the entry in orange is 'NO' then the question below is N/A","")</f>
        <v/>
      </c>
      <c r="K29" s="1005"/>
      <c r="M29" s="56"/>
    </row>
    <row r="30" spans="1:14" s="47" customFormat="1" ht="78.75" customHeight="1" thickBot="1" x14ac:dyDescent="0.35">
      <c r="A30" s="991"/>
      <c r="B30" s="997"/>
      <c r="C30" s="999"/>
      <c r="D30" s="1001"/>
      <c r="E30" s="1003"/>
      <c r="F30" s="952" t="s">
        <v>213</v>
      </c>
      <c r="G30" s="952"/>
      <c r="H30" s="624" t="str">
        <f>IF('PAA Field Form'!X48="","",'PAA Field Form'!X48)</f>
        <v/>
      </c>
      <c r="I30" s="613" t="str">
        <f>IF(H30='PAA Field Form'!X48,"","Caution! Entry not linked to Field Form")</f>
        <v/>
      </c>
      <c r="J30" s="638"/>
      <c r="K30" s="1006"/>
      <c r="M30" s="64"/>
    </row>
    <row r="31" spans="1:14" ht="78" customHeight="1" thickBot="1" x14ac:dyDescent="0.35">
      <c r="A31" s="837" t="s">
        <v>464</v>
      </c>
      <c r="B31" s="930" t="s">
        <v>403</v>
      </c>
      <c r="C31" s="931"/>
      <c r="D31" s="931"/>
      <c r="E31" s="932"/>
      <c r="F31" s="932"/>
      <c r="G31" s="932"/>
      <c r="H31" s="851"/>
      <c r="I31" s="851"/>
      <c r="J31" s="851"/>
      <c r="K31" s="933"/>
      <c r="M31" s="56"/>
    </row>
    <row r="32" spans="1:14" s="47" customFormat="1" ht="51" customHeight="1" thickBot="1" x14ac:dyDescent="0.35">
      <c r="A32" s="924"/>
      <c r="B32" s="75" t="s">
        <v>146</v>
      </c>
      <c r="C32" s="61"/>
      <c r="D32" s="73" t="s">
        <v>51</v>
      </c>
      <c r="E32" s="62"/>
      <c r="F32" s="785" t="s">
        <v>210</v>
      </c>
      <c r="G32" s="786"/>
      <c r="H32" s="620" t="e">
        <f>'EAA Field Form'!Y6</f>
        <v>#DIV/0!</v>
      </c>
      <c r="I32" s="612" t="e">
        <f>IF(H32='EAA Field Form'!Y6,"","Caution! Entry not linked to Field Form")</f>
        <v>#DIV/0!</v>
      </c>
      <c r="J32" s="610"/>
      <c r="K32" s="440" t="e">
        <f>IF(H32="","FALSE",IF(H32&lt;10,0.03*H32,IF(AND(H32&gt;=10,H32&lt;=50),0.01*H32+0.2,IF(H32&gt;50,0.006*H32+0.4))))</f>
        <v>#DIV/0!</v>
      </c>
    </row>
    <row r="33" spans="1:13" ht="133.5" customHeight="1" thickBot="1" x14ac:dyDescent="0.35">
      <c r="A33" s="813" t="s">
        <v>465</v>
      </c>
      <c r="B33" s="949" t="s">
        <v>508</v>
      </c>
      <c r="C33" s="950"/>
      <c r="D33" s="950"/>
      <c r="E33" s="951"/>
      <c r="F33" s="951"/>
      <c r="G33" s="951"/>
      <c r="H33" s="936"/>
      <c r="I33" s="936"/>
      <c r="J33" s="936"/>
      <c r="K33" s="937"/>
      <c r="M33" s="56"/>
    </row>
    <row r="34" spans="1:13" s="47" customFormat="1" ht="51" customHeight="1" thickBot="1" x14ac:dyDescent="0.35">
      <c r="A34" s="924"/>
      <c r="B34" s="49" t="s">
        <v>19</v>
      </c>
      <c r="C34" s="48"/>
      <c r="D34" s="49" t="s">
        <v>130</v>
      </c>
      <c r="E34" s="63"/>
      <c r="F34" s="787" t="s">
        <v>232</v>
      </c>
      <c r="G34" s="948"/>
      <c r="H34" s="619" t="e">
        <f>'EAA Field Form'!Y10</f>
        <v>#DIV/0!</v>
      </c>
      <c r="I34" s="612" t="e">
        <f>IF(H34='EAA Field Form'!Y10,"","Caution! Entry not linked to Field Form")</f>
        <v>#DIV/0!</v>
      </c>
      <c r="J34" s="610"/>
      <c r="K34" s="440" t="e">
        <f>IF(H34="","FALSE",IF(H34&gt;40,0,IF(AND(H34&gt;20,H34&lt;=40),-0.015*H34+0.6,IF(AND(H34&gt;=10,H34&lt;=20),-0.04*H34+1.1,IF(H34&lt;10,-0.03*H34+1)))))</f>
        <v>#DIV/0!</v>
      </c>
    </row>
    <row r="35" spans="1:13" ht="132" customHeight="1" thickBot="1" x14ac:dyDescent="0.35">
      <c r="A35" s="813" t="s">
        <v>466</v>
      </c>
      <c r="B35" s="815" t="s">
        <v>486</v>
      </c>
      <c r="C35" s="938"/>
      <c r="D35" s="938"/>
      <c r="E35" s="939"/>
      <c r="F35" s="939"/>
      <c r="G35" s="939"/>
      <c r="H35" s="940"/>
      <c r="I35" s="940"/>
      <c r="J35" s="940"/>
      <c r="K35" s="937"/>
      <c r="M35" s="52"/>
    </row>
    <row r="36" spans="1:13" ht="84.75" customHeight="1" thickBot="1" x14ac:dyDescent="0.35">
      <c r="A36" s="982"/>
      <c r="B36" s="75" t="s">
        <v>146</v>
      </c>
      <c r="C36" s="61"/>
      <c r="D36" s="73" t="s">
        <v>47</v>
      </c>
      <c r="E36" s="65" t="str">
        <f>IF(OR('Cover Page'!G17="",'Cover Page'!G18=""),"",IF(AND('Cover Page'!G17="Western Mountains",'Cover Page'!G18="Small"),"WMTsmall",IF(AND('Cover Page'!G17="Western Mountains",'Cover Page'!G18="Large"),"WMTlarge",IF(AND('Cover Page'!G17="Xeric",'Cover Page'!G18="Small"),"XERsmall",IF(AND('Cover Page'!G17="Xeric",'Cover Page'!G18="Large"),"XERlarge")))))</f>
        <v/>
      </c>
      <c r="F36" s="785" t="s">
        <v>356</v>
      </c>
      <c r="G36" s="786"/>
      <c r="H36" s="624" t="e">
        <f>'EAA Field Form'!Y14</f>
        <v>#DIV/0!</v>
      </c>
      <c r="I36" s="612" t="e">
        <f>IF(H36='EAA Field Form'!Y14,"","Caution! Entry not linked to Field Form")</f>
        <v>#DIV/0!</v>
      </c>
      <c r="J36" s="611" t="str">
        <f>IF(E36="","Please complete Cover Page cells E17 &amp; E18","")</f>
        <v>Please complete Cover Page cells E17 &amp; E18</v>
      </c>
      <c r="K36" s="440" t="e">
        <f>IF(H36="","FALSE",IF(AND(E36="WMTsmall",H36&lt;1.3),0.2308*H36,IF(AND(E36="WMTsmall", H36&gt;=1.3,H36&lt;=24),0.0176*H36+0.2771,IF(AND(E36="WMTsmall",H36&gt;24,H36&lt;=45),0.0143*H36+0.3571,IF(AND(E36="WMTsmall",H36&gt;45),1,IF(AND(E36="WMTlarge",H36&lt;=3.6),0.1111*H36+0.3,IF(AND(E36="WMTlarge",H36&gt;3.6,H36&lt;=8.2),0.0652*H36+0.4652,IF(AND(E36="WMTlarge",H36&gt;8.2),1,IF(AND(E36="XERsmall",H36&lt;=8.2),0.0488*H36+0.3,IF(AND(E36="XERsmall",H36&gt;8.2,H36&lt;=25),0.0179*H36+0.5536,IF(AND(E36="XERsmall",H36&gt;25),1,IF(AND(E36="XERlarge",H36&lt;=1.3),0.3077*H36+0.3,IF(AND(E36="XERlarge",H36&gt;1.33,H36&lt;=4.8),0.0857*H36+0.5886,IF(AND(E36="XERlarge",H36&gt;4.8),1))))))))))))))</f>
        <v>#DIV/0!</v>
      </c>
      <c r="M36" s="47"/>
    </row>
    <row r="37" spans="1:13" ht="81" customHeight="1" thickBot="1" x14ac:dyDescent="0.35">
      <c r="A37" s="813" t="s">
        <v>467</v>
      </c>
      <c r="B37" s="815" t="s">
        <v>454</v>
      </c>
      <c r="C37" s="938"/>
      <c r="D37" s="938"/>
      <c r="E37" s="939"/>
      <c r="F37" s="939"/>
      <c r="G37" s="939"/>
      <c r="H37" s="940"/>
      <c r="I37" s="940"/>
      <c r="J37" s="940"/>
      <c r="K37" s="941"/>
      <c r="M37" s="56"/>
    </row>
    <row r="38" spans="1:13" s="47" customFormat="1" ht="51" customHeight="1" thickBot="1" x14ac:dyDescent="0.35">
      <c r="A38" s="982"/>
      <c r="B38" s="76" t="s">
        <v>147</v>
      </c>
      <c r="C38" s="54"/>
      <c r="D38" s="76" t="s">
        <v>142</v>
      </c>
      <c r="E38" s="55"/>
      <c r="F38" s="775" t="s">
        <v>441</v>
      </c>
      <c r="G38" s="804"/>
      <c r="H38" s="625" t="e">
        <f>'EAA Field Form'!Y21</f>
        <v>#DIV/0!</v>
      </c>
      <c r="I38" s="612" t="e">
        <f>IF(H38='EAA Field Form'!Y21,"","Caution! Entry not linked to Field Form")</f>
        <v>#DIV/0!</v>
      </c>
      <c r="J38" s="610"/>
      <c r="K38" s="441" t="e">
        <f>IF(H38="","FALSE",IF(H38&gt;3.06,0,IF(AND(H38&gt;2.18,H38&lt;=3.06),-0.3409*H38+1.0432,IF(AND(H38&gt;=1.33,H38&lt;=2.18),-0.4706*H38+1.3259,IF(H38&lt;1.33,-0.9091*H38+1.9091)))))</f>
        <v>#DIV/0!</v>
      </c>
    </row>
    <row r="39" spans="1:13" ht="84" customHeight="1" thickBot="1" x14ac:dyDescent="0.35">
      <c r="A39" s="813" t="s">
        <v>468</v>
      </c>
      <c r="B39" s="770" t="s">
        <v>453</v>
      </c>
      <c r="C39" s="934"/>
      <c r="D39" s="934"/>
      <c r="E39" s="935"/>
      <c r="F39" s="935"/>
      <c r="G39" s="935"/>
      <c r="H39" s="936"/>
      <c r="I39" s="936"/>
      <c r="J39" s="936"/>
      <c r="K39" s="937"/>
    </row>
    <row r="40" spans="1:13" ht="51" customHeight="1" thickBot="1" x14ac:dyDescent="0.35">
      <c r="A40" s="924"/>
      <c r="B40" s="70" t="s">
        <v>147</v>
      </c>
      <c r="C40" s="48"/>
      <c r="D40" s="69" t="s">
        <v>154</v>
      </c>
      <c r="E40" s="63"/>
      <c r="F40" s="787" t="s">
        <v>214</v>
      </c>
      <c r="G40" s="788"/>
      <c r="H40" s="626" t="e">
        <f>'EAA Field Form'!Y24</f>
        <v>#DIV/0!</v>
      </c>
      <c r="I40" s="612" t="e">
        <f>IF(H40='EAA Field Form'!Y24,"","Caution! Entry not linked to Field Form")</f>
        <v>#DIV/0!</v>
      </c>
      <c r="J40" s="610"/>
      <c r="K40" s="51" t="e">
        <f>IF(H40="","FALSE",IF(AND(H40&gt;78,H40&lt;100),-0.0136*H40+1.3636,IF(AND(H40&gt;=37,H40&lt;=78),-0.0098*H40+1.061,IF(AND(H40&gt;=25,H40&lt;37),H40*-0.025+1.625,IF(H40&lt;25,1,IF(H40&gt;=100,0,))))))</f>
        <v>#DIV/0!</v>
      </c>
    </row>
    <row r="41" spans="1:13" ht="81" customHeight="1" x14ac:dyDescent="0.3">
      <c r="A41" s="800" t="s">
        <v>469</v>
      </c>
      <c r="B41" s="949" t="s">
        <v>393</v>
      </c>
      <c r="C41" s="950"/>
      <c r="D41" s="950"/>
      <c r="E41" s="951"/>
      <c r="F41" s="951"/>
      <c r="G41" s="951"/>
      <c r="H41" s="936"/>
      <c r="I41" s="936"/>
      <c r="J41" s="936"/>
      <c r="K41" s="981"/>
    </row>
    <row r="42" spans="1:13" ht="33.75" customHeight="1" x14ac:dyDescent="0.3">
      <c r="A42" s="971"/>
      <c r="B42" s="794" t="s">
        <v>150</v>
      </c>
      <c r="C42" s="973"/>
      <c r="D42" s="794" t="s">
        <v>49</v>
      </c>
      <c r="E42" s="979"/>
      <c r="F42" s="796" t="s">
        <v>216</v>
      </c>
      <c r="G42" s="798"/>
      <c r="H42" s="627" t="e">
        <f>'EAA Field Form'!Y27</f>
        <v>#DIV/0!</v>
      </c>
      <c r="I42" s="612" t="e">
        <f>IF(H42='EAA Field Form'!Y27,"","Caution! Entry not linked to Field Form")</f>
        <v>#DIV/0!</v>
      </c>
      <c r="J42" s="628"/>
      <c r="K42" s="442" t="e">
        <f>IF(H42="","FALSE",IF(H42&lt;0.215,1.3953*H42,IF(AND(H42&gt;=0.215,H42&lt;=0.384),2.3699*H42-0.2089,IF(AND(H42&gt;0.384,H42&lt;=0.509),2.4*H42-0.2216,IF(H42&gt;0.509,1)))))</f>
        <v>#DIV/0!</v>
      </c>
    </row>
    <row r="43" spans="1:13" ht="33.75" customHeight="1" thickBot="1" x14ac:dyDescent="0.35">
      <c r="A43" s="971"/>
      <c r="B43" s="794"/>
      <c r="C43" s="973"/>
      <c r="D43" s="794"/>
      <c r="E43" s="979"/>
      <c r="F43" s="797" t="s">
        <v>215</v>
      </c>
      <c r="G43" s="804"/>
      <c r="H43" s="625" t="e">
        <f>'EAA Field Form'!Y30</f>
        <v>#DIV/0!</v>
      </c>
      <c r="I43" s="612" t="e">
        <f>IF(H43='EAA Field Form'!Y30,"","Caution! Entry not linked to Field Form")</f>
        <v>#DIV/0!</v>
      </c>
      <c r="J43" s="628"/>
      <c r="K43" s="139" t="e">
        <f>IF(H43="","FALSE",IF(H43&lt;0.323,0.9288*H43,IF(AND(H43&gt;=0.323,H43&lt;=0.567),1.6393*H43-0.2295,IF(AND(H43&gt;0.567,H43&lt;=0.744),1.6949*H43-0.261,IF(H43&gt;0.744,1)))))</f>
        <v>#DIV/0!</v>
      </c>
    </row>
    <row r="44" spans="1:13" ht="18.600000000000001" thickBot="1" x14ac:dyDescent="0.35">
      <c r="A44" s="972"/>
      <c r="B44" s="978"/>
      <c r="C44" s="974"/>
      <c r="D44" s="978"/>
      <c r="E44" s="980"/>
      <c r="F44" s="977"/>
      <c r="G44" s="977"/>
      <c r="H44" s="977"/>
      <c r="I44" s="975" t="s">
        <v>155</v>
      </c>
      <c r="J44" s="976"/>
      <c r="K44" s="441" t="e">
        <f>IF(OR(H42="",H43=""),"",AVERAGE(K42,K43))</f>
        <v>#DIV/0!</v>
      </c>
    </row>
    <row r="45" spans="1:13" ht="15.6" x14ac:dyDescent="0.3">
      <c r="A45" s="66"/>
      <c r="B45" s="66"/>
      <c r="C45" s="66"/>
      <c r="D45" s="66"/>
      <c r="E45" s="66"/>
      <c r="F45" s="66"/>
      <c r="G45" s="66"/>
      <c r="H45" s="66"/>
      <c r="I45" s="66"/>
      <c r="J45" s="66"/>
      <c r="K45" s="66"/>
    </row>
    <row r="46" spans="1:13" ht="15.6" x14ac:dyDescent="0.3">
      <c r="A46" s="66"/>
      <c r="B46" s="66"/>
      <c r="C46" s="66"/>
      <c r="D46" s="66"/>
      <c r="E46" s="66"/>
      <c r="F46" s="66"/>
      <c r="G46" s="66"/>
      <c r="H46" s="66"/>
      <c r="I46" s="66"/>
      <c r="J46" s="66"/>
      <c r="K46" s="66"/>
    </row>
    <row r="47" spans="1:13" ht="15.6" x14ac:dyDescent="0.3">
      <c r="A47" s="66"/>
      <c r="B47" s="66"/>
      <c r="C47" s="66"/>
      <c r="D47" s="66"/>
      <c r="E47" s="66"/>
      <c r="F47" s="66"/>
      <c r="G47" s="66"/>
      <c r="H47" s="66"/>
      <c r="I47" s="66"/>
      <c r="J47" s="66"/>
      <c r="K47" s="66"/>
    </row>
    <row r="48" spans="1:13" ht="15.6" x14ac:dyDescent="0.3">
      <c r="A48" s="66"/>
      <c r="B48" s="66"/>
      <c r="C48" s="66"/>
      <c r="D48" s="66"/>
      <c r="E48" s="66"/>
      <c r="F48" s="66"/>
      <c r="G48" s="66"/>
      <c r="H48" s="66"/>
      <c r="I48" s="66"/>
      <c r="J48" s="66"/>
      <c r="K48" s="66"/>
    </row>
    <row r="49" spans="1:11" ht="15.6" x14ac:dyDescent="0.3">
      <c r="A49" s="66"/>
      <c r="B49" s="66"/>
      <c r="C49" s="66"/>
      <c r="D49" s="66"/>
      <c r="E49" s="66"/>
      <c r="F49" s="66"/>
      <c r="G49" s="66"/>
      <c r="H49" s="66"/>
      <c r="I49" s="66"/>
      <c r="J49" s="66"/>
      <c r="K49" s="66"/>
    </row>
    <row r="50" spans="1:11" ht="15.6" x14ac:dyDescent="0.3">
      <c r="A50" s="66"/>
      <c r="B50" s="66"/>
      <c r="C50" s="66"/>
      <c r="D50" s="66"/>
      <c r="E50" s="66"/>
      <c r="F50" s="66"/>
      <c r="G50" s="66"/>
      <c r="H50" s="66"/>
      <c r="I50" s="66"/>
      <c r="J50" s="66"/>
      <c r="K50" s="66"/>
    </row>
    <row r="51" spans="1:11" ht="15.6" x14ac:dyDescent="0.3">
      <c r="A51" s="66"/>
      <c r="B51" s="66"/>
      <c r="C51" s="66"/>
      <c r="D51" s="66"/>
      <c r="E51" s="66"/>
      <c r="F51" s="66"/>
      <c r="G51" s="66"/>
      <c r="H51" s="66"/>
      <c r="I51" s="66"/>
      <c r="J51" s="66"/>
      <c r="K51" s="66"/>
    </row>
  </sheetData>
  <sheetProtection algorithmName="SHA-512" hashValue="GDQL0qd/D9RuYdHDY8gBz5kAjrj/ArzwPpS51wshzNrlUyTmWEryrUWgLmAoao4HF07VwF3/Vom0yfKQE12M6g==" saltValue="7wq6hEH2XevDudgSJE8lMg==" spinCount="100000" sheet="1" objects="1" scenarios="1"/>
  <dataConsolidate/>
  <customSheetViews>
    <customSheetView guid="{6A4D8547-5570-4765-8A78-68572E1AC55E}" scale="75" fitToPage="1">
      <pane xSplit="11" ySplit="7" topLeftCell="L89" activePane="bottomRight" state="frozen"/>
      <selection pane="bottomRight" activeCell="B82" sqref="B82:K82"/>
      <rowBreaks count="2" manualBreakCount="2">
        <brk id="53" max="16383" man="1"/>
        <brk id="72" max="16383" man="1"/>
      </rowBreaks>
      <pageMargins left="0.7" right="0.7" top="0.75" bottom="0.75" header="0.3" footer="0.3"/>
      <pageSetup scale="48" fitToHeight="0" orientation="landscape" r:id="rId1"/>
    </customSheetView>
    <customSheetView guid="{76D76C6A-AC69-4DBD-AC07-822026509EDA}" scale="75" showPageBreaks="1" fitToPage="1">
      <pane xSplit="11" ySplit="7" topLeftCell="L11" activePane="bottomRight" state="frozen"/>
      <selection pane="bottomRight" activeCell="B19" sqref="B19:K19"/>
      <rowBreaks count="2" manualBreakCount="2">
        <brk id="53" max="16383" man="1"/>
        <brk id="72" max="16383" man="1"/>
      </rowBreaks>
      <pageMargins left="0.7" right="0.7" top="0.75" bottom="0.75" header="0.3" footer="0.3"/>
      <pageSetup scale="48" fitToHeight="0" orientation="landscape" r:id="rId2"/>
    </customSheetView>
    <customSheetView guid="{DFF357C0-9B7E-407D-BC84-93A50AD2B553}" scale="75" fitToPage="1">
      <pane xSplit="11" ySplit="7" topLeftCell="L83" activePane="bottomRight" state="frozen"/>
      <selection pane="bottomRight" activeCell="C99" sqref="C99"/>
      <rowBreaks count="2" manualBreakCount="2">
        <brk id="53" max="16383" man="1"/>
        <brk id="72" max="16383" man="1"/>
      </rowBreaks>
      <pageMargins left="0.7" right="0.7" top="0.75" bottom="0.75" header="0.3" footer="0.3"/>
      <pageSetup scale="48" fitToHeight="0" orientation="landscape" r:id="rId3"/>
    </customSheetView>
    <customSheetView guid="{D0935927-5E0F-4648-A725-887C75D046FC}" scale="75" fitToPage="1">
      <pane xSplit="11" ySplit="7" topLeftCell="L59" activePane="bottomRight" state="frozen"/>
      <selection pane="bottomRight" activeCell="A86" sqref="A86"/>
      <rowBreaks count="2" manualBreakCount="2">
        <brk id="53" max="16383" man="1"/>
        <brk id="72" max="16383" man="1"/>
      </rowBreaks>
      <pageMargins left="0.7" right="0.7" top="0.75" bottom="0.75" header="0.3" footer="0.3"/>
      <pageSetup scale="48" fitToHeight="0" orientation="landscape" r:id="rId4"/>
    </customSheetView>
  </customSheetViews>
  <mergeCells count="77">
    <mergeCell ref="F2:F3"/>
    <mergeCell ref="G2:G3"/>
    <mergeCell ref="M27:N27"/>
    <mergeCell ref="B28:B30"/>
    <mergeCell ref="C28:C30"/>
    <mergeCell ref="D28:D30"/>
    <mergeCell ref="E28:E30"/>
    <mergeCell ref="K28:K30"/>
    <mergeCell ref="I6:J6"/>
    <mergeCell ref="A5:K5"/>
    <mergeCell ref="F22:G22"/>
    <mergeCell ref="B15:K15"/>
    <mergeCell ref="B13:K13"/>
    <mergeCell ref="A11:A12"/>
    <mergeCell ref="A13:A14"/>
    <mergeCell ref="F8:G8"/>
    <mergeCell ref="A37:A38"/>
    <mergeCell ref="B35:K35"/>
    <mergeCell ref="F36:G36"/>
    <mergeCell ref="F12:G12"/>
    <mergeCell ref="F14:G14"/>
    <mergeCell ref="A21:A22"/>
    <mergeCell ref="B21:K21"/>
    <mergeCell ref="B25:K25"/>
    <mergeCell ref="B23:K23"/>
    <mergeCell ref="A17:A18"/>
    <mergeCell ref="B17:K17"/>
    <mergeCell ref="F18:G18"/>
    <mergeCell ref="A33:A34"/>
    <mergeCell ref="A23:A24"/>
    <mergeCell ref="A35:A36"/>
    <mergeCell ref="A27:A30"/>
    <mergeCell ref="A41:A44"/>
    <mergeCell ref="C42:C44"/>
    <mergeCell ref="F43:G43"/>
    <mergeCell ref="F42:G42"/>
    <mergeCell ref="I44:J44"/>
    <mergeCell ref="F44:H44"/>
    <mergeCell ref="D42:D44"/>
    <mergeCell ref="E42:E44"/>
    <mergeCell ref="B41:K41"/>
    <mergeCell ref="B42:B44"/>
    <mergeCell ref="A39:A40"/>
    <mergeCell ref="A31:A32"/>
    <mergeCell ref="F24:G24"/>
    <mergeCell ref="A25:A26"/>
    <mergeCell ref="A1:K1"/>
    <mergeCell ref="F6:G6"/>
    <mergeCell ref="A19:A20"/>
    <mergeCell ref="B19:K19"/>
    <mergeCell ref="A4:K4"/>
    <mergeCell ref="F20:G20"/>
    <mergeCell ref="H2:K2"/>
    <mergeCell ref="H3:K3"/>
    <mergeCell ref="B2:E3"/>
    <mergeCell ref="A2:A3"/>
    <mergeCell ref="F16:G16"/>
    <mergeCell ref="A15:A16"/>
    <mergeCell ref="F40:G40"/>
    <mergeCell ref="B31:K31"/>
    <mergeCell ref="F26:G26"/>
    <mergeCell ref="B39:K39"/>
    <mergeCell ref="B37:K37"/>
    <mergeCell ref="F32:G32"/>
    <mergeCell ref="B27:K27"/>
    <mergeCell ref="F28:G28"/>
    <mergeCell ref="F34:G34"/>
    <mergeCell ref="F38:G38"/>
    <mergeCell ref="B33:K33"/>
    <mergeCell ref="F30:G30"/>
    <mergeCell ref="F29:G29"/>
    <mergeCell ref="A9:A10"/>
    <mergeCell ref="B9:K9"/>
    <mergeCell ref="B11:K11"/>
    <mergeCell ref="F10:G10"/>
    <mergeCell ref="A7:A8"/>
    <mergeCell ref="B7:K7"/>
  </mergeCells>
  <conditionalFormatting sqref="I8:J8">
    <cfRule type="expression" dxfId="21" priority="25">
      <formula>NOT(ISBLANK(I8))</formula>
    </cfRule>
  </conditionalFormatting>
  <conditionalFormatting sqref="J14">
    <cfRule type="expression" dxfId="20" priority="23">
      <formula>NOT(ISBLANK(J14))</formula>
    </cfRule>
  </conditionalFormatting>
  <conditionalFormatting sqref="J36">
    <cfRule type="expression" dxfId="19" priority="21">
      <formula>NOT(ISBLANK(J36))</formula>
    </cfRule>
  </conditionalFormatting>
  <conditionalFormatting sqref="I10">
    <cfRule type="expression" dxfId="18" priority="20">
      <formula>NOT(ISBLANK(I10))</formula>
    </cfRule>
  </conditionalFormatting>
  <conditionalFormatting sqref="I12">
    <cfRule type="expression" dxfId="17" priority="19">
      <formula>NOT(ISBLANK(I12))</formula>
    </cfRule>
  </conditionalFormatting>
  <conditionalFormatting sqref="I16">
    <cfRule type="expression" dxfId="16" priority="18">
      <formula>NOT(ISBLANK(I16))</formula>
    </cfRule>
  </conditionalFormatting>
  <conditionalFormatting sqref="I18">
    <cfRule type="expression" dxfId="15" priority="17">
      <formula>NOT(ISBLANK(I18))</formula>
    </cfRule>
  </conditionalFormatting>
  <conditionalFormatting sqref="I20">
    <cfRule type="expression" dxfId="14" priority="16">
      <formula>NOT(ISBLANK(I20))</formula>
    </cfRule>
  </conditionalFormatting>
  <conditionalFormatting sqref="I22">
    <cfRule type="expression" dxfId="13" priority="15">
      <formula>NOT(ISBLANK(I22))</formula>
    </cfRule>
  </conditionalFormatting>
  <conditionalFormatting sqref="I24">
    <cfRule type="expression" dxfId="12" priority="14">
      <formula>NOT(ISBLANK(I24))</formula>
    </cfRule>
  </conditionalFormatting>
  <conditionalFormatting sqref="I14">
    <cfRule type="expression" dxfId="11" priority="13">
      <formula>NOT(ISBLANK(I14))</formula>
    </cfRule>
  </conditionalFormatting>
  <conditionalFormatting sqref="I26">
    <cfRule type="expression" dxfId="10" priority="12">
      <formula>NOT(ISBLANK(I26))</formula>
    </cfRule>
  </conditionalFormatting>
  <conditionalFormatting sqref="I28">
    <cfRule type="expression" dxfId="9" priority="11">
      <formula>NOT(ISBLANK(I28))</formula>
    </cfRule>
  </conditionalFormatting>
  <conditionalFormatting sqref="I29">
    <cfRule type="expression" dxfId="8" priority="10">
      <formula>NOT(ISBLANK(I29))</formula>
    </cfRule>
  </conditionalFormatting>
  <conditionalFormatting sqref="I30">
    <cfRule type="expression" dxfId="7" priority="9">
      <formula>NOT(ISBLANK(I30))</formula>
    </cfRule>
  </conditionalFormatting>
  <conditionalFormatting sqref="I32">
    <cfRule type="expression" dxfId="6" priority="8">
      <formula>NOT(ISBLANK(I32))</formula>
    </cfRule>
  </conditionalFormatting>
  <conditionalFormatting sqref="I34">
    <cfRule type="expression" dxfId="5" priority="7">
      <formula>NOT(ISBLANK(I34))</formula>
    </cfRule>
  </conditionalFormatting>
  <conditionalFormatting sqref="I36">
    <cfRule type="expression" dxfId="4" priority="6">
      <formula>NOT(ISBLANK(I36))</formula>
    </cfRule>
  </conditionalFormatting>
  <conditionalFormatting sqref="I38">
    <cfRule type="expression" dxfId="3" priority="5">
      <formula>NOT(ISBLANK(I38))</formula>
    </cfRule>
  </conditionalFormatting>
  <conditionalFormatting sqref="I40">
    <cfRule type="expression" dxfId="2" priority="3">
      <formula>NOT(ISBLANK(I40))</formula>
    </cfRule>
  </conditionalFormatting>
  <conditionalFormatting sqref="I42">
    <cfRule type="expression" dxfId="1" priority="2">
      <formula>NOT(ISBLANK(I42))</formula>
    </cfRule>
  </conditionalFormatting>
  <conditionalFormatting sqref="I43">
    <cfRule type="expression" dxfId="0" priority="1">
      <formula>NOT(ISBLANK(I43))</formula>
    </cfRule>
  </conditionalFormatting>
  <dataValidations disablePrompts="1" count="4">
    <dataValidation type="list" allowBlank="1" showInputMessage="1" showErrorMessage="1" sqref="H25 H23 H21" xr:uid="{00000000-0002-0000-0200-000001000000}">
      <formula1>ABCD</formula1>
    </dataValidation>
    <dataValidation type="whole" allowBlank="1" showInputMessage="1" showErrorMessage="1" sqref="H35 H25 H33" xr:uid="{00000000-0002-0000-0200-000002000000}">
      <formula1>0</formula1>
      <formula2>100</formula2>
    </dataValidation>
    <dataValidation type="list" allowBlank="1" showInputMessage="1" showErrorMessage="1" sqref="H27" xr:uid="{00000000-0002-0000-0200-000003000000}">
      <formula1>"Yes, No"</formula1>
    </dataValidation>
    <dataValidation type="list" allowBlank="1" showInputMessage="1" showErrorMessage="1" sqref="H27" xr:uid="{00000000-0002-0000-0200-000004000000}">
      <formula1>YN</formula1>
    </dataValidation>
  </dataValidations>
  <pageMargins left="0.7" right="0.7" top="0.75" bottom="0.75" header="0.3" footer="0.3"/>
  <pageSetup scale="65" fitToHeight="0" orientation="landscape" r:id="rId5"/>
  <headerFooter>
    <oddFooter>Page &amp;P of &amp;N</oddFooter>
  </headerFooter>
  <rowBreaks count="3" manualBreakCount="3">
    <brk id="18" max="10" man="1"/>
    <brk id="26" max="10" man="1"/>
    <brk id="36" max="1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8000000}">
          <x14:formula1>
            <xm:f>lists!$I$4:$I$8</xm:f>
          </x14:formula1>
          <xm:sqref>H21 H23 H25 H27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K108"/>
  <sheetViews>
    <sheetView zoomScaleNormal="100" zoomScaleSheetLayoutView="75" zoomScalePageLayoutView="80" workbookViewId="0">
      <pane ySplit="2" topLeftCell="A3" activePane="bottomLeft" state="frozen"/>
      <selection pane="bottomLeft" sqref="A1:D1"/>
    </sheetView>
  </sheetViews>
  <sheetFormatPr defaultColWidth="8.88671875" defaultRowHeight="14.4" x14ac:dyDescent="0.3"/>
  <cols>
    <col min="1" max="1" width="8.88671875" style="22"/>
    <col min="2" max="2" width="13.109375" style="22" bestFit="1" customWidth="1"/>
    <col min="3" max="3" width="9.33203125" style="24" bestFit="1" customWidth="1"/>
    <col min="4" max="4" width="10.88671875" style="22" customWidth="1"/>
    <col min="5" max="5" width="8.88671875" style="22"/>
    <col min="6" max="6" width="13.109375" style="22" bestFit="1" customWidth="1"/>
    <col min="7" max="7" width="9.33203125" style="24" bestFit="1" customWidth="1"/>
    <col min="8" max="9" width="12.44140625" style="24" customWidth="1"/>
    <col min="10" max="10" width="12.44140625" style="22" customWidth="1"/>
    <col min="11" max="16384" width="8.88671875" style="22"/>
  </cols>
  <sheetData>
    <row r="1" spans="1:11" ht="15.6" thickTop="1" thickBot="1" x14ac:dyDescent="0.35">
      <c r="A1" s="1026" t="s">
        <v>93</v>
      </c>
      <c r="B1" s="1027"/>
      <c r="C1" s="1027"/>
      <c r="D1" s="1027"/>
      <c r="E1" s="1024" t="s">
        <v>94</v>
      </c>
      <c r="F1" s="1025"/>
      <c r="G1" s="1025"/>
      <c r="H1" s="1025"/>
      <c r="I1" s="1025"/>
      <c r="J1" s="1025"/>
      <c r="K1" s="519"/>
    </row>
    <row r="2" spans="1:11" s="23" customFormat="1" ht="29.4" thickBot="1" x14ac:dyDescent="0.35">
      <c r="A2" s="161" t="s">
        <v>64</v>
      </c>
      <c r="B2" s="162" t="s">
        <v>16</v>
      </c>
      <c r="C2" s="163" t="s">
        <v>173</v>
      </c>
      <c r="D2" s="162" t="s">
        <v>15</v>
      </c>
      <c r="E2" s="161" t="s">
        <v>174</v>
      </c>
      <c r="F2" s="162" t="s">
        <v>16</v>
      </c>
      <c r="G2" s="163" t="s">
        <v>173</v>
      </c>
      <c r="H2" s="163" t="s">
        <v>68</v>
      </c>
      <c r="I2" s="163" t="s">
        <v>69</v>
      </c>
      <c r="J2" s="162" t="s">
        <v>46</v>
      </c>
      <c r="K2" s="520"/>
    </row>
    <row r="3" spans="1:11" ht="15" customHeight="1" x14ac:dyDescent="0.3">
      <c r="A3" s="1028" t="s">
        <v>65</v>
      </c>
      <c r="B3" s="22" t="s">
        <v>44</v>
      </c>
      <c r="C3" s="24" t="str">
        <f>OBFlow</f>
        <v/>
      </c>
      <c r="D3" s="1032" t="str">
        <f>IF(C3="","",((AVERAGE(SideChan, BedVar,OBFlow, Exclusion)*6)+(AVERAGE(Incision,Wood)*4)))</f>
        <v/>
      </c>
      <c r="E3" s="1028" t="s">
        <v>65</v>
      </c>
      <c r="F3" s="22" t="s">
        <v>17</v>
      </c>
      <c r="G3" s="24" t="str">
        <f>ImpArea</f>
        <v/>
      </c>
      <c r="H3" s="1029" t="str">
        <f>IF(G3="","",AVERAGE(ImpArea, Runoff,ImpoundUS)*5)</f>
        <v/>
      </c>
      <c r="I3" s="1029" t="str">
        <f>IF(G3="","",AVERAGE(MAX(DwnFP,Zoning),DwnFld,Fish)*5)</f>
        <v/>
      </c>
      <c r="J3" s="1032" t="str">
        <f>IF(OR(H3="",I3=""),"",I3+H3)</f>
        <v/>
      </c>
      <c r="K3" s="519"/>
    </row>
    <row r="4" spans="1:11" x14ac:dyDescent="0.3">
      <c r="A4" s="1015"/>
      <c r="B4" s="22" t="s">
        <v>142</v>
      </c>
      <c r="C4" s="24" t="e">
        <f>Incision</f>
        <v>#DIV/0!</v>
      </c>
      <c r="D4" s="1022"/>
      <c r="E4" s="1015"/>
      <c r="F4" t="s">
        <v>396</v>
      </c>
      <c r="G4" s="24" t="str">
        <f>Runoff</f>
        <v/>
      </c>
      <c r="H4" s="1030"/>
      <c r="I4" s="1030"/>
      <c r="J4" s="1022"/>
      <c r="K4" s="519"/>
    </row>
    <row r="5" spans="1:11" x14ac:dyDescent="0.3">
      <c r="A5" s="1015"/>
      <c r="B5" s="22" t="s">
        <v>45</v>
      </c>
      <c r="C5" s="24" t="str">
        <f>Exclusion</f>
        <v>FALSE</v>
      </c>
      <c r="D5" s="1022"/>
      <c r="E5" s="1015"/>
      <c r="F5" t="s">
        <v>89</v>
      </c>
      <c r="G5" s="24" t="str">
        <f>IF(ImpoundUS="","",ImpoundUS)</f>
        <v/>
      </c>
      <c r="H5" s="1030"/>
      <c r="I5" s="1030"/>
      <c r="J5" s="1022"/>
      <c r="K5" s="519"/>
    </row>
    <row r="6" spans="1:11" x14ac:dyDescent="0.3">
      <c r="A6" s="1015"/>
      <c r="B6" s="22" t="s">
        <v>49</v>
      </c>
      <c r="C6" s="24" t="e">
        <f>BedVar</f>
        <v>#DIV/0!</v>
      </c>
      <c r="D6" s="1022"/>
      <c r="E6" s="1015"/>
      <c r="F6" s="22" t="s">
        <v>9</v>
      </c>
      <c r="G6" s="24" t="str">
        <f>DwnFP</f>
        <v/>
      </c>
      <c r="H6" s="1030"/>
      <c r="I6" s="1030"/>
      <c r="J6" s="1022"/>
      <c r="K6" s="519"/>
    </row>
    <row r="7" spans="1:11" x14ac:dyDescent="0.3">
      <c r="A7" s="1015"/>
      <c r="B7" s="22" t="s">
        <v>47</v>
      </c>
      <c r="C7" s="24" t="e">
        <f>Wood</f>
        <v>#DIV/0!</v>
      </c>
      <c r="D7" s="1022"/>
      <c r="E7" s="1015"/>
      <c r="F7" s="22" t="s">
        <v>167</v>
      </c>
      <c r="G7" s="24" t="str">
        <f>Zoning</f>
        <v/>
      </c>
      <c r="H7" s="1030"/>
      <c r="I7" s="1030"/>
      <c r="J7" s="1022"/>
      <c r="K7" s="519"/>
    </row>
    <row r="8" spans="1:11" x14ac:dyDescent="0.3">
      <c r="A8" s="1015"/>
      <c r="B8" s="22" t="s">
        <v>51</v>
      </c>
      <c r="C8" s="24" t="e">
        <f>SideChan</f>
        <v>#DIV/0!</v>
      </c>
      <c r="D8" s="1022"/>
      <c r="E8" s="1015"/>
      <c r="F8" s="22" t="s">
        <v>10</v>
      </c>
      <c r="G8" s="24" t="str">
        <f>DwnFld</f>
        <v/>
      </c>
      <c r="H8" s="1030"/>
      <c r="I8" s="1030"/>
      <c r="J8" s="1022"/>
      <c r="K8" s="519"/>
    </row>
    <row r="9" spans="1:11" x14ac:dyDescent="0.3">
      <c r="A9" s="1020"/>
      <c r="D9" s="1023"/>
      <c r="E9" s="1020"/>
      <c r="F9" s="22" t="s">
        <v>169</v>
      </c>
      <c r="G9" s="24" t="str">
        <f>Fish</f>
        <v/>
      </c>
      <c r="H9" s="1031"/>
      <c r="I9" s="1031"/>
      <c r="J9" s="1023"/>
      <c r="K9" s="519"/>
    </row>
    <row r="10" spans="1:11" ht="15" customHeight="1" x14ac:dyDescent="0.3">
      <c r="A10" s="1014" t="s">
        <v>66</v>
      </c>
      <c r="B10" s="25" t="s">
        <v>44</v>
      </c>
      <c r="C10" s="26" t="str">
        <f>OBFlow</f>
        <v/>
      </c>
      <c r="D10" s="1021" t="str">
        <f>IF(C10="","",AVERAGE(BedVar,WetVeg, SideChan,OBFlow)*10)</f>
        <v/>
      </c>
      <c r="E10" s="1014" t="s">
        <v>66</v>
      </c>
      <c r="F10" s="160" t="s">
        <v>23</v>
      </c>
      <c r="G10" s="26" t="str">
        <f>AqPerm</f>
        <v/>
      </c>
      <c r="H10" s="1033" t="str">
        <f>IF(OR(AqPerm="",SoilPerm=""),"",AVERAGE(AqPerm,SoilPerm))</f>
        <v/>
      </c>
      <c r="I10" s="1033" t="str">
        <f>Source</f>
        <v/>
      </c>
      <c r="J10" s="1021" t="str">
        <f>IF(OR(H10="",I10=""),"",IF(Source=1,10,AVERAGE(AqPerm,SoilPerm)*10))</f>
        <v/>
      </c>
      <c r="K10" s="519"/>
    </row>
    <row r="11" spans="1:11" x14ac:dyDescent="0.3">
      <c r="A11" s="1015"/>
      <c r="B11" s="22" t="s">
        <v>143</v>
      </c>
      <c r="C11" s="24" t="str">
        <f>WetVeg</f>
        <v>FALSE</v>
      </c>
      <c r="D11" s="1022"/>
      <c r="E11" s="1015"/>
      <c r="F11" s="22" t="s">
        <v>24</v>
      </c>
      <c r="G11" s="24" t="str">
        <f>SoilPerm</f>
        <v/>
      </c>
      <c r="H11" s="1030"/>
      <c r="I11" s="1030"/>
      <c r="J11" s="1022"/>
      <c r="K11" s="519"/>
    </row>
    <row r="12" spans="1:11" x14ac:dyDescent="0.3">
      <c r="A12" s="1015"/>
      <c r="B12" s="22" t="s">
        <v>51</v>
      </c>
      <c r="C12" s="24" t="e">
        <f>SideChan</f>
        <v>#DIV/0!</v>
      </c>
      <c r="D12" s="1022"/>
      <c r="E12" s="1015"/>
      <c r="F12" s="22" t="s">
        <v>175</v>
      </c>
      <c r="G12" s="24" t="str">
        <f>Source</f>
        <v/>
      </c>
      <c r="H12" s="1030"/>
      <c r="I12" s="1030"/>
      <c r="J12" s="1022"/>
      <c r="K12" s="519"/>
    </row>
    <row r="13" spans="1:11" x14ac:dyDescent="0.3">
      <c r="A13" s="1015"/>
      <c r="B13" s="22" t="s">
        <v>49</v>
      </c>
      <c r="C13" s="24" t="e">
        <f>BedVar</f>
        <v>#DIV/0!</v>
      </c>
      <c r="D13" s="1022"/>
      <c r="E13" s="1015"/>
      <c r="H13" s="1031"/>
      <c r="I13" s="1031"/>
      <c r="J13" s="1023"/>
      <c r="K13" s="519"/>
    </row>
    <row r="14" spans="1:11" ht="15" customHeight="1" x14ac:dyDescent="0.3">
      <c r="A14" s="1014" t="s">
        <v>67</v>
      </c>
      <c r="B14" s="27" t="s">
        <v>49</v>
      </c>
      <c r="C14" s="26" t="e">
        <f>BedVar</f>
        <v>#DIV/0!</v>
      </c>
      <c r="D14" s="1021" t="e">
        <f>IF(C14="","",AVERAGE(BedVar,Embed,ImpoundUS)*10)</f>
        <v>#DIV/0!</v>
      </c>
      <c r="E14" s="1014" t="s">
        <v>67</v>
      </c>
      <c r="F14" s="25" t="s">
        <v>17</v>
      </c>
      <c r="G14" s="26" t="str">
        <f>ImpArea</f>
        <v/>
      </c>
      <c r="H14" s="1033" t="str">
        <f>IF(G14="","",AVERAGE(ImpArea,MAX(FlowMod,(1-ImpoundUS),FlowRest),AquaPerm,SoilPerm)*5)</f>
        <v/>
      </c>
      <c r="I14" s="1033" t="str">
        <f>IF(G14="","",AVERAGE((ImpoundDS),MAX(RarInvert,RarAmRep,Fish))*5)</f>
        <v/>
      </c>
      <c r="J14" s="1021" t="str">
        <f>IF(OR(H14="",I14=""),"",I14+H14)</f>
        <v/>
      </c>
      <c r="K14" s="519"/>
    </row>
    <row r="15" spans="1:11" x14ac:dyDescent="0.3">
      <c r="A15" s="1015"/>
      <c r="B15" s="22" t="s">
        <v>154</v>
      </c>
      <c r="C15" s="24" t="e">
        <f>Embed</f>
        <v>#DIV/0!</v>
      </c>
      <c r="D15" s="1022"/>
      <c r="E15" s="1015"/>
      <c r="F15" s="22" t="s">
        <v>158</v>
      </c>
      <c r="G15" s="24" t="str">
        <f>FlowMod</f>
        <v/>
      </c>
      <c r="H15" s="1030"/>
      <c r="I15" s="1030"/>
      <c r="J15" s="1022"/>
      <c r="K15" s="519"/>
    </row>
    <row r="16" spans="1:11" x14ac:dyDescent="0.3">
      <c r="A16" s="1015"/>
      <c r="B16" t="s">
        <v>89</v>
      </c>
      <c r="C16" s="24" t="str">
        <f>IF(ImpoundUS="","",(ImpoundUS))</f>
        <v/>
      </c>
      <c r="D16" s="1022"/>
      <c r="E16" s="1015"/>
      <c r="F16" t="s">
        <v>190</v>
      </c>
      <c r="G16" s="24" t="str">
        <f>IF(ImpoundUS="","",(1-ImpoundUS))</f>
        <v/>
      </c>
      <c r="H16" s="1030"/>
      <c r="I16" s="1030"/>
      <c r="J16" s="1022"/>
      <c r="K16" s="519"/>
    </row>
    <row r="17" spans="1:11" x14ac:dyDescent="0.3">
      <c r="A17" s="1015"/>
      <c r="D17" s="1022"/>
      <c r="E17" s="1015"/>
      <c r="F17" t="s">
        <v>262</v>
      </c>
      <c r="G17" s="24" t="str">
        <f>FlowRest</f>
        <v/>
      </c>
      <c r="H17" s="1030"/>
      <c r="I17" s="1030"/>
      <c r="J17" s="1022"/>
      <c r="K17" s="519"/>
    </row>
    <row r="18" spans="1:11" x14ac:dyDescent="0.3">
      <c r="A18" s="1015"/>
      <c r="C18" s="22"/>
      <c r="D18" s="1022"/>
      <c r="E18" s="1015"/>
      <c r="F18" t="s">
        <v>23</v>
      </c>
      <c r="G18" s="24" t="str">
        <f>AqPerm</f>
        <v/>
      </c>
      <c r="H18" s="1030"/>
      <c r="I18" s="1030"/>
      <c r="J18" s="1022"/>
      <c r="K18" s="519"/>
    </row>
    <row r="19" spans="1:11" x14ac:dyDescent="0.3">
      <c r="A19" s="1015"/>
      <c r="C19" s="22"/>
      <c r="D19" s="1022"/>
      <c r="E19" s="1015"/>
      <c r="F19" t="s">
        <v>24</v>
      </c>
      <c r="G19" s="24" t="str">
        <f>SoilPerm</f>
        <v/>
      </c>
      <c r="H19" s="1030"/>
      <c r="I19" s="1030"/>
      <c r="J19" s="1022"/>
      <c r="K19" s="519"/>
    </row>
    <row r="20" spans="1:11" x14ac:dyDescent="0.3">
      <c r="A20" s="1015"/>
      <c r="D20" s="1022"/>
      <c r="E20" s="1015"/>
      <c r="F20" t="s">
        <v>488</v>
      </c>
      <c r="G20" s="24" t="str">
        <f>IF(ImpoundDS="","",(ImpoundDS))</f>
        <v/>
      </c>
      <c r="H20" s="1030"/>
      <c r="I20" s="1030"/>
      <c r="J20" s="1022"/>
      <c r="K20" s="519"/>
    </row>
    <row r="21" spans="1:11" x14ac:dyDescent="0.3">
      <c r="A21" s="1015"/>
      <c r="C21" s="22"/>
      <c r="D21" s="1022"/>
      <c r="E21" s="1015"/>
      <c r="F21" s="22" t="s">
        <v>28</v>
      </c>
      <c r="G21" s="24" t="str">
        <f>RarInvert</f>
        <v/>
      </c>
      <c r="H21" s="1030"/>
      <c r="I21" s="1030"/>
      <c r="J21" s="1022"/>
      <c r="K21" s="519"/>
    </row>
    <row r="22" spans="1:11" x14ac:dyDescent="0.3">
      <c r="A22" s="1015"/>
      <c r="C22" s="22"/>
      <c r="D22" s="1022"/>
      <c r="E22" s="1015"/>
      <c r="F22" s="22" t="s">
        <v>90</v>
      </c>
      <c r="G22" s="24" t="str">
        <f>RarAmRep</f>
        <v/>
      </c>
      <c r="H22" s="1030"/>
      <c r="I22" s="1030"/>
      <c r="J22" s="1022"/>
      <c r="K22" s="519"/>
    </row>
    <row r="23" spans="1:11" x14ac:dyDescent="0.3">
      <c r="A23" s="1015"/>
      <c r="B23" s="28"/>
      <c r="C23" s="28"/>
      <c r="D23" s="1023"/>
      <c r="E23" s="1015"/>
      <c r="F23" s="22" t="s">
        <v>169</v>
      </c>
      <c r="G23" s="24" t="str">
        <f>Fish</f>
        <v/>
      </c>
      <c r="H23" s="1031"/>
      <c r="I23" s="1031"/>
      <c r="J23" s="1023"/>
      <c r="K23" s="519"/>
    </row>
    <row r="24" spans="1:11" ht="15" customHeight="1" x14ac:dyDescent="0.3">
      <c r="A24" s="1014" t="s">
        <v>70</v>
      </c>
      <c r="B24" s="22" t="s">
        <v>142</v>
      </c>
      <c r="C24" s="24" t="e">
        <f>Incision</f>
        <v>#DIV/0!</v>
      </c>
      <c r="D24" s="1021" t="e">
        <f>IF(C24="","",AVERAGE(Incision,Erosion, LatMigr)*10)</f>
        <v>#DIV/0!</v>
      </c>
      <c r="E24" s="1014" t="s">
        <v>70</v>
      </c>
      <c r="F24" s="25" t="s">
        <v>22</v>
      </c>
      <c r="G24" s="26" t="str">
        <f>SedList</f>
        <v/>
      </c>
      <c r="H24" s="1033" t="str">
        <f>IF(G24="","",SedList*4+AVERAGE(ImpArea,ImpoundUS,Position)*1)</f>
        <v/>
      </c>
      <c r="I24" s="1033" t="str">
        <f>IF(G24="","",AVERAGE((1-DwnFP),Erode,ImpoundDS)*5)</f>
        <v/>
      </c>
      <c r="J24" s="1021" t="str">
        <f>IF(OR(H24="",I24=""),"",I24+H24)</f>
        <v/>
      </c>
      <c r="K24" s="519"/>
    </row>
    <row r="25" spans="1:11" x14ac:dyDescent="0.3">
      <c r="A25" s="1015"/>
      <c r="B25" t="s">
        <v>313</v>
      </c>
      <c r="C25" s="24" t="e">
        <f>Erosion</f>
        <v>#DIV/0!</v>
      </c>
      <c r="D25" s="1022"/>
      <c r="E25" s="1015"/>
      <c r="F25" s="22" t="s">
        <v>17</v>
      </c>
      <c r="G25" s="164" t="str">
        <f>ImpArea</f>
        <v/>
      </c>
      <c r="H25" s="1030"/>
      <c r="I25" s="1030"/>
      <c r="J25" s="1022"/>
      <c r="K25" s="519"/>
    </row>
    <row r="26" spans="1:11" x14ac:dyDescent="0.3">
      <c r="A26" s="1015"/>
      <c r="B26" s="29" t="s">
        <v>130</v>
      </c>
      <c r="C26" s="24" t="e">
        <f>LatMigr</f>
        <v>#DIV/0!</v>
      </c>
      <c r="D26" s="1022"/>
      <c r="E26" s="1015"/>
      <c r="F26" t="s">
        <v>89</v>
      </c>
      <c r="G26" s="24" t="str">
        <f>IF(ImpoundUS="","",ImpoundUS)</f>
        <v/>
      </c>
      <c r="H26" s="1030"/>
      <c r="I26" s="1030"/>
      <c r="J26" s="1022"/>
      <c r="K26" s="519"/>
    </row>
    <row r="27" spans="1:11" x14ac:dyDescent="0.3">
      <c r="A27" s="1015"/>
      <c r="D27" s="1022"/>
      <c r="E27" s="1015"/>
      <c r="F27" s="22" t="s">
        <v>172</v>
      </c>
      <c r="G27" s="24" t="str">
        <f>Position</f>
        <v/>
      </c>
      <c r="H27" s="1030"/>
      <c r="I27" s="1030"/>
      <c r="J27" s="1022"/>
      <c r="K27" s="519"/>
    </row>
    <row r="28" spans="1:11" x14ac:dyDescent="0.3">
      <c r="A28" s="1015"/>
      <c r="B28" s="29"/>
      <c r="D28" s="1022"/>
      <c r="E28" s="1015"/>
      <c r="F28" t="s">
        <v>254</v>
      </c>
      <c r="G28" s="24" t="str">
        <f>IF(DwnFP="","",(1-DwnFP))</f>
        <v/>
      </c>
      <c r="H28" s="1030"/>
      <c r="I28" s="1030"/>
      <c r="J28" s="1022"/>
      <c r="K28" s="519"/>
    </row>
    <row r="29" spans="1:11" x14ac:dyDescent="0.3">
      <c r="A29" s="1015"/>
      <c r="B29" s="29"/>
      <c r="D29" s="1022"/>
      <c r="E29" s="1015"/>
      <c r="F29" s="22" t="s">
        <v>20</v>
      </c>
      <c r="G29" s="24" t="str">
        <f>Erode</f>
        <v/>
      </c>
      <c r="H29" s="1030"/>
      <c r="I29" s="1030"/>
      <c r="J29" s="1022"/>
      <c r="K29" s="519"/>
    </row>
    <row r="30" spans="1:11" x14ac:dyDescent="0.3">
      <c r="A30" s="1015"/>
      <c r="B30" s="29"/>
      <c r="D30" s="1023"/>
      <c r="E30" s="1015"/>
      <c r="F30" s="159" t="s">
        <v>488</v>
      </c>
      <c r="G30" s="31" t="str">
        <f>IF(ImpoundDS="","",ImpoundDS)</f>
        <v/>
      </c>
      <c r="H30" s="1031"/>
      <c r="I30" s="1031"/>
      <c r="J30" s="1023"/>
      <c r="K30" s="519"/>
    </row>
    <row r="31" spans="1:11" ht="15" customHeight="1" x14ac:dyDescent="0.3">
      <c r="A31" s="1014" t="s">
        <v>71</v>
      </c>
      <c r="B31" s="25" t="s">
        <v>48</v>
      </c>
      <c r="C31" s="26" t="e">
        <f>Armor</f>
        <v>#DIV/0!</v>
      </c>
      <c r="D31" s="1021" t="e">
        <f>IF(C31="","",((Armor*3)+(Embed*3)+(BedVar*4)))</f>
        <v>#DIV/0!</v>
      </c>
      <c r="E31" s="1014" t="s">
        <v>71</v>
      </c>
      <c r="F31" s="25" t="s">
        <v>17</v>
      </c>
      <c r="G31" s="26" t="str">
        <f>ImpArea</f>
        <v/>
      </c>
      <c r="H31" s="1033" t="str">
        <f>IF(G31="","",(AVERAGE(ImpArea,ImpoundUS)*5))</f>
        <v/>
      </c>
      <c r="I31" s="1033" t="str">
        <f>IF(G31="","",AVERAGE(SubFeat,MAX(Fish,RarPlant,RarAmRep,RarInvert))*5)</f>
        <v/>
      </c>
      <c r="J31" s="1021" t="str">
        <f>IF(OR(H31="",I31=""),"",I31+H31)</f>
        <v/>
      </c>
      <c r="K31" s="519"/>
    </row>
    <row r="32" spans="1:11" x14ac:dyDescent="0.3">
      <c r="A32" s="1015"/>
      <c r="B32" s="22" t="s">
        <v>154</v>
      </c>
      <c r="C32" s="24" t="e">
        <f>Embed</f>
        <v>#DIV/0!</v>
      </c>
      <c r="D32" s="1022"/>
      <c r="E32" s="1015"/>
      <c r="F32" t="s">
        <v>89</v>
      </c>
      <c r="G32" s="24" t="str">
        <f>IF(ImpoundUS="","",ImpoundUS)</f>
        <v/>
      </c>
      <c r="H32" s="1030"/>
      <c r="I32" s="1030"/>
      <c r="J32" s="1022"/>
      <c r="K32" s="519"/>
    </row>
    <row r="33" spans="1:11" x14ac:dyDescent="0.3">
      <c r="A33" s="1015"/>
      <c r="B33" s="22" t="s">
        <v>49</v>
      </c>
      <c r="C33" s="24" t="e">
        <f>BedVar</f>
        <v>#DIV/0!</v>
      </c>
      <c r="D33" s="1022"/>
      <c r="E33" s="1015"/>
      <c r="F33" t="s">
        <v>428</v>
      </c>
      <c r="G33" s="24" t="str">
        <f>SubFeat</f>
        <v/>
      </c>
      <c r="H33" s="1030"/>
      <c r="I33" s="1030"/>
      <c r="J33" s="1022"/>
      <c r="K33" s="519"/>
    </row>
    <row r="34" spans="1:11" x14ac:dyDescent="0.3">
      <c r="A34" s="1015"/>
      <c r="D34" s="1022"/>
      <c r="E34" s="1015"/>
      <c r="F34" s="22" t="s">
        <v>169</v>
      </c>
      <c r="G34" s="24" t="str">
        <f>Fish</f>
        <v/>
      </c>
      <c r="H34" s="1030"/>
      <c r="I34" s="1030"/>
      <c r="J34" s="1022"/>
      <c r="K34" s="519"/>
    </row>
    <row r="35" spans="1:11" x14ac:dyDescent="0.3">
      <c r="A35" s="1015"/>
      <c r="D35" s="1022"/>
      <c r="E35" s="1015"/>
      <c r="F35" s="22" t="s">
        <v>33</v>
      </c>
      <c r="G35" s="24" t="str">
        <f>RarPlant</f>
        <v/>
      </c>
      <c r="H35" s="1030"/>
      <c r="I35" s="1030"/>
      <c r="J35" s="1022"/>
      <c r="K35" s="519"/>
    </row>
    <row r="36" spans="1:11" x14ac:dyDescent="0.3">
      <c r="A36" s="1015"/>
      <c r="D36" s="1022"/>
      <c r="E36" s="1015"/>
      <c r="F36" s="22" t="s">
        <v>90</v>
      </c>
      <c r="G36" s="24" t="str">
        <f>RarAmRep</f>
        <v/>
      </c>
      <c r="H36" s="1030"/>
      <c r="I36" s="1030"/>
      <c r="J36" s="1022"/>
      <c r="K36" s="519"/>
    </row>
    <row r="37" spans="1:11" x14ac:dyDescent="0.3">
      <c r="A37" s="1015"/>
      <c r="B37" s="28"/>
      <c r="C37" s="32"/>
      <c r="D37" s="1023"/>
      <c r="E37" s="1015"/>
      <c r="F37" s="22" t="s">
        <v>171</v>
      </c>
      <c r="G37" s="24" t="str">
        <f>RarInvert</f>
        <v/>
      </c>
      <c r="H37" s="1031"/>
      <c r="I37" s="1031"/>
      <c r="J37" s="1023"/>
      <c r="K37" s="519"/>
    </row>
    <row r="38" spans="1:11" ht="15" customHeight="1" x14ac:dyDescent="0.3">
      <c r="A38" s="1014" t="s">
        <v>84</v>
      </c>
      <c r="B38" t="s">
        <v>477</v>
      </c>
      <c r="C38" s="24" t="str">
        <f>Barriers</f>
        <v>FALSE</v>
      </c>
      <c r="D38" s="1021" t="e">
        <f>IF(C39="","",(Barriers*AVERAGE(BedVar, Wood,SideChan))*5 + AVERAGE(InvVeg,WoodyVeg,LgTree,WetVeg)*5)</f>
        <v>#DIV/0!</v>
      </c>
      <c r="E38" s="1014" t="s">
        <v>84</v>
      </c>
      <c r="F38" s="25" t="s">
        <v>34</v>
      </c>
      <c r="G38" s="26" t="str">
        <f>Passage</f>
        <v/>
      </c>
      <c r="H38" s="1033" t="str">
        <f>IF(G38="","",AVERAGE(Passage,SurrLand,RipCon)*5)</f>
        <v/>
      </c>
      <c r="I38" s="1033" t="str">
        <f>IF(G38="","",AVERAGE(HabFeat,Protect,MAX(Fish,RarInvert,RarAmRep,Waterbird,RarBdMm,RarPlant))*5)</f>
        <v/>
      </c>
      <c r="J38" s="1021" t="str">
        <f>IF(OR(H38="",I38=""),"",I38+H38)</f>
        <v/>
      </c>
      <c r="K38" s="519"/>
    </row>
    <row r="39" spans="1:11" x14ac:dyDescent="0.3">
      <c r="A39" s="1015"/>
      <c r="B39" s="22" t="s">
        <v>49</v>
      </c>
      <c r="C39" s="24" t="e">
        <f>BedVar</f>
        <v>#DIV/0!</v>
      </c>
      <c r="D39" s="1022"/>
      <c r="E39" s="1015"/>
      <c r="F39" s="29" t="s">
        <v>164</v>
      </c>
      <c r="G39" s="24" t="str">
        <f>SurrLand</f>
        <v/>
      </c>
      <c r="H39" s="1030"/>
      <c r="I39" s="1030"/>
      <c r="J39" s="1022"/>
      <c r="K39" s="519"/>
    </row>
    <row r="40" spans="1:11" x14ac:dyDescent="0.3">
      <c r="A40" s="1015"/>
      <c r="B40" s="22" t="s">
        <v>47</v>
      </c>
      <c r="C40" s="24" t="e">
        <f>Wood</f>
        <v>#DIV/0!</v>
      </c>
      <c r="D40" s="1022"/>
      <c r="E40" s="1015"/>
      <c r="F40" s="29" t="s">
        <v>36</v>
      </c>
      <c r="G40" s="24" t="str">
        <f>RipCon</f>
        <v/>
      </c>
      <c r="H40" s="1030"/>
      <c r="I40" s="1030"/>
      <c r="J40" s="1022"/>
      <c r="K40" s="519"/>
    </row>
    <row r="41" spans="1:11" x14ac:dyDescent="0.3">
      <c r="A41" s="1015"/>
      <c r="B41" s="22" t="s">
        <v>51</v>
      </c>
      <c r="C41" s="24" t="e">
        <f>SideChan</f>
        <v>#DIV/0!</v>
      </c>
      <c r="D41" s="1022"/>
      <c r="E41" s="1015"/>
      <c r="F41" s="29" t="s">
        <v>26</v>
      </c>
      <c r="G41" s="24" t="str">
        <f>HabFeat</f>
        <v/>
      </c>
      <c r="H41" s="1030"/>
      <c r="I41" s="1030"/>
      <c r="J41" s="1022"/>
      <c r="K41" s="519"/>
    </row>
    <row r="42" spans="1:11" x14ac:dyDescent="0.3">
      <c r="A42" s="1015"/>
      <c r="B42" t="s">
        <v>369</v>
      </c>
      <c r="C42" s="24" t="e">
        <f>InvVeg</f>
        <v>#DIV/0!</v>
      </c>
      <c r="D42" s="1022"/>
      <c r="E42" s="1015"/>
      <c r="F42" s="29" t="s">
        <v>163</v>
      </c>
      <c r="G42" s="24" t="str">
        <f>Protect</f>
        <v/>
      </c>
      <c r="H42" s="1030"/>
      <c r="I42" s="1030"/>
      <c r="J42" s="1022"/>
      <c r="K42" s="519"/>
    </row>
    <row r="43" spans="1:11" x14ac:dyDescent="0.3">
      <c r="A43" s="1015"/>
      <c r="B43" s="22" t="s">
        <v>50</v>
      </c>
      <c r="C43" s="24" t="e">
        <f>WoodyVeg</f>
        <v>#DIV/0!</v>
      </c>
      <c r="D43" s="1022"/>
      <c r="E43" s="1015"/>
      <c r="F43" s="29" t="s">
        <v>169</v>
      </c>
      <c r="G43" s="24" t="str">
        <f>Fish</f>
        <v/>
      </c>
      <c r="H43" s="1030"/>
      <c r="I43" s="1030"/>
      <c r="J43" s="1022"/>
      <c r="K43" s="519"/>
    </row>
    <row r="44" spans="1:11" x14ac:dyDescent="0.3">
      <c r="A44" s="1015"/>
      <c r="B44" t="s">
        <v>370</v>
      </c>
      <c r="C44" s="24" t="e">
        <f>LgTree</f>
        <v>#DIV/0!</v>
      </c>
      <c r="D44" s="1022"/>
      <c r="E44" s="1015"/>
      <c r="F44" s="29" t="s">
        <v>28</v>
      </c>
      <c r="G44" s="24" t="str">
        <f>RarInvert</f>
        <v/>
      </c>
      <c r="H44" s="1030"/>
      <c r="I44" s="1030"/>
      <c r="J44" s="1022"/>
      <c r="K44" s="519"/>
    </row>
    <row r="45" spans="1:11" x14ac:dyDescent="0.3">
      <c r="A45" s="1015"/>
      <c r="B45" s="22" t="s">
        <v>143</v>
      </c>
      <c r="C45" s="24" t="str">
        <f>WetVeg</f>
        <v>FALSE</v>
      </c>
      <c r="D45" s="1022"/>
      <c r="E45" s="1015"/>
      <c r="F45" s="29" t="s">
        <v>90</v>
      </c>
      <c r="G45" s="24" t="str">
        <f>RarAmRep</f>
        <v/>
      </c>
      <c r="H45" s="1030"/>
      <c r="I45" s="1030"/>
      <c r="J45" s="1022"/>
      <c r="K45" s="519"/>
    </row>
    <row r="46" spans="1:11" x14ac:dyDescent="0.3">
      <c r="A46" s="1015"/>
      <c r="D46" s="1022"/>
      <c r="E46" s="1015"/>
      <c r="F46" s="29" t="s">
        <v>29</v>
      </c>
      <c r="G46" s="24" t="str">
        <f>Waterbird</f>
        <v/>
      </c>
      <c r="H46" s="1030"/>
      <c r="I46" s="1030"/>
      <c r="J46" s="1022"/>
      <c r="K46" s="519"/>
    </row>
    <row r="47" spans="1:11" x14ac:dyDescent="0.3">
      <c r="A47" s="1015"/>
      <c r="D47" s="1022"/>
      <c r="E47" s="1015"/>
      <c r="F47" s="29" t="s">
        <v>31</v>
      </c>
      <c r="G47" s="24" t="str">
        <f>RarBdMm</f>
        <v/>
      </c>
      <c r="H47" s="1030"/>
      <c r="I47" s="1030"/>
      <c r="J47" s="1022"/>
      <c r="K47" s="519"/>
    </row>
    <row r="48" spans="1:11" x14ac:dyDescent="0.3">
      <c r="A48" s="1015"/>
      <c r="B48" s="28"/>
      <c r="C48" s="32"/>
      <c r="D48" s="1022"/>
      <c r="E48" s="1015"/>
      <c r="F48" s="22" t="s">
        <v>33</v>
      </c>
      <c r="G48" s="24" t="str">
        <f>RarPlant</f>
        <v/>
      </c>
      <c r="H48" s="1030"/>
      <c r="I48" s="1030"/>
      <c r="J48" s="1022"/>
      <c r="K48" s="519"/>
    </row>
    <row r="49" spans="1:11" ht="15" customHeight="1" x14ac:dyDescent="0.3">
      <c r="A49" s="1014" t="s">
        <v>88</v>
      </c>
      <c r="B49" s="22" t="s">
        <v>45</v>
      </c>
      <c r="C49" s="24" t="str">
        <f>Exclusion</f>
        <v>FALSE</v>
      </c>
      <c r="D49" s="1021" t="e">
        <f>IF(C49="","",AVERAGE(Exclusion,WoodyVeg,LgTree)*5 + (Barriers*AVERAGE(Incision,Wood, Embed, BedVar, SideChan))*5)</f>
        <v>#DIV/0!</v>
      </c>
      <c r="E49" s="1014" t="s">
        <v>88</v>
      </c>
      <c r="F49" s="160" t="s">
        <v>256</v>
      </c>
      <c r="G49" s="26" t="str">
        <f>IF(ImpArea="","",(1-ImpArea))</f>
        <v/>
      </c>
      <c r="H49" s="1033" t="str">
        <f>IF(G49="","",AVERAGE((1-ImpArea),ImpoundUS,RipArea, RipCon,MAX(1-NutrImp,1-FlowMod,1-FlowRest))*5)</f>
        <v/>
      </c>
      <c r="I49" s="1033" t="str">
        <f>IF(G49="","",AVERAGE(MAX((1-DwnFP),(1-Zoning)),ImpoundDS,HabFeat)*5)</f>
        <v/>
      </c>
      <c r="J49" s="1021" t="str">
        <f>IF(OR(H49="",I49=""),"",H49+I49)</f>
        <v/>
      </c>
      <c r="K49" s="519"/>
    </row>
    <row r="50" spans="1:11" x14ac:dyDescent="0.3">
      <c r="A50" s="1015"/>
      <c r="B50" s="22" t="s">
        <v>47</v>
      </c>
      <c r="C50" s="24" t="e">
        <f>Wood</f>
        <v>#DIV/0!</v>
      </c>
      <c r="D50" s="1022"/>
      <c r="E50" s="1015"/>
      <c r="F50" t="s">
        <v>89</v>
      </c>
      <c r="G50" s="24" t="str">
        <f>IF(ImpoundUS="","",ImpoundUS)</f>
        <v/>
      </c>
      <c r="H50" s="1030"/>
      <c r="I50" s="1030"/>
      <c r="J50" s="1022"/>
      <c r="K50" s="519"/>
    </row>
    <row r="51" spans="1:11" x14ac:dyDescent="0.3">
      <c r="A51" s="1015"/>
      <c r="B51" s="22" t="s">
        <v>154</v>
      </c>
      <c r="C51" s="24" t="e">
        <f>Embed</f>
        <v>#DIV/0!</v>
      </c>
      <c r="D51" s="1022"/>
      <c r="E51" s="1015"/>
      <c r="F51" s="22" t="s">
        <v>35</v>
      </c>
      <c r="G51" s="24" t="str">
        <f>RipArea</f>
        <v/>
      </c>
      <c r="H51" s="1030"/>
      <c r="I51" s="1030"/>
      <c r="J51" s="1022"/>
      <c r="K51" s="519"/>
    </row>
    <row r="52" spans="1:11" x14ac:dyDescent="0.3">
      <c r="A52" s="1015"/>
      <c r="B52" s="22" t="s">
        <v>49</v>
      </c>
      <c r="C52" s="24" t="e">
        <f>BedVar</f>
        <v>#DIV/0!</v>
      </c>
      <c r="D52" s="1022"/>
      <c r="E52" s="1015"/>
      <c r="F52" s="22" t="s">
        <v>36</v>
      </c>
      <c r="G52" s="24" t="str">
        <f>RipCon</f>
        <v/>
      </c>
      <c r="H52" s="1030"/>
      <c r="I52" s="1030"/>
      <c r="J52" s="1022"/>
      <c r="K52" s="519"/>
    </row>
    <row r="53" spans="1:11" x14ac:dyDescent="0.3">
      <c r="A53" s="1015"/>
      <c r="B53" s="22" t="s">
        <v>50</v>
      </c>
      <c r="C53" s="24" t="e">
        <f>WoodyVeg</f>
        <v>#DIV/0!</v>
      </c>
      <c r="D53" s="1022"/>
      <c r="E53" s="1015"/>
      <c r="F53" t="s">
        <v>251</v>
      </c>
      <c r="G53" s="24" t="str">
        <f>IF(NutrImp="","",(1-NutrImp))</f>
        <v/>
      </c>
      <c r="H53" s="1030"/>
      <c r="I53" s="1030"/>
      <c r="J53" s="1022"/>
      <c r="K53" s="519"/>
    </row>
    <row r="54" spans="1:11" x14ac:dyDescent="0.3">
      <c r="A54" s="1015"/>
      <c r="B54" t="s">
        <v>370</v>
      </c>
      <c r="C54" s="24" t="e">
        <f>LgTree</f>
        <v>#DIV/0!</v>
      </c>
      <c r="D54" s="1022"/>
      <c r="E54" s="1015"/>
      <c r="F54" t="s">
        <v>252</v>
      </c>
      <c r="G54" s="24" t="str">
        <f>IF(FlowMod="","",(1-FlowMod))</f>
        <v/>
      </c>
      <c r="H54" s="1030"/>
      <c r="I54" s="1030"/>
      <c r="J54" s="1022"/>
      <c r="K54" s="519"/>
    </row>
    <row r="55" spans="1:11" x14ac:dyDescent="0.3">
      <c r="A55" s="1015"/>
      <c r="B55" s="22" t="s">
        <v>142</v>
      </c>
      <c r="C55" s="24" t="e">
        <f>Incision</f>
        <v>#DIV/0!</v>
      </c>
      <c r="D55" s="1022"/>
      <c r="E55" s="1015"/>
      <c r="F55" t="s">
        <v>263</v>
      </c>
      <c r="G55" s="24" t="str">
        <f>IF(FlowRest="","",(1-FlowRest))</f>
        <v/>
      </c>
      <c r="H55" s="1030"/>
      <c r="I55" s="1030"/>
      <c r="J55" s="1022"/>
      <c r="K55" s="519"/>
    </row>
    <row r="56" spans="1:11" x14ac:dyDescent="0.3">
      <c r="A56" s="1015"/>
      <c r="B56" s="30" t="s">
        <v>51</v>
      </c>
      <c r="C56" s="24" t="e">
        <f>SideChan</f>
        <v>#DIV/0!</v>
      </c>
      <c r="D56" s="1022"/>
      <c r="E56" s="1015"/>
      <c r="F56" t="s">
        <v>254</v>
      </c>
      <c r="G56" s="24" t="str">
        <f>IF(DwnFP="","",(1-DwnFP))</f>
        <v/>
      </c>
      <c r="H56" s="1030"/>
      <c r="I56" s="1030"/>
      <c r="J56" s="1022"/>
      <c r="K56" s="519"/>
    </row>
    <row r="57" spans="1:11" x14ac:dyDescent="0.3">
      <c r="A57" s="1015"/>
      <c r="B57" t="s">
        <v>477</v>
      </c>
      <c r="C57" s="22" t="str">
        <f>Barriers</f>
        <v>FALSE</v>
      </c>
      <c r="D57" s="1022"/>
      <c r="E57" s="1015"/>
      <c r="F57" t="s">
        <v>255</v>
      </c>
      <c r="G57" s="24" t="str">
        <f>IF(Zoning="","",(1-Zoning))</f>
        <v/>
      </c>
      <c r="H57" s="1030"/>
      <c r="I57" s="1030"/>
      <c r="J57" s="1022"/>
      <c r="K57" s="519"/>
    </row>
    <row r="58" spans="1:11" x14ac:dyDescent="0.3">
      <c r="A58" s="1015"/>
      <c r="B58"/>
      <c r="C58" s="22"/>
      <c r="D58" s="1022"/>
      <c r="E58" s="1015"/>
      <c r="F58" t="s">
        <v>488</v>
      </c>
      <c r="G58" s="24" t="str">
        <f>IF(ImpoundDS="","",ImpoundDS)</f>
        <v/>
      </c>
      <c r="H58" s="1030"/>
      <c r="I58" s="1030"/>
      <c r="J58" s="1022"/>
      <c r="K58" s="519"/>
    </row>
    <row r="59" spans="1:11" x14ac:dyDescent="0.3">
      <c r="A59" s="1015"/>
      <c r="B59" s="30"/>
      <c r="C59" s="31"/>
      <c r="D59" s="1023"/>
      <c r="E59" s="1015"/>
      <c r="F59" t="s">
        <v>26</v>
      </c>
      <c r="G59" s="22" t="str">
        <f>HabFeat</f>
        <v/>
      </c>
      <c r="H59" s="1031"/>
      <c r="I59" s="1031"/>
      <c r="J59" s="1023"/>
      <c r="K59" s="519"/>
    </row>
    <row r="60" spans="1:11" ht="15" customHeight="1" x14ac:dyDescent="0.3">
      <c r="A60" s="1014" t="s">
        <v>85</v>
      </c>
      <c r="B60" s="25" t="s">
        <v>44</v>
      </c>
      <c r="C60" s="26" t="str">
        <f>OBFlow</f>
        <v/>
      </c>
      <c r="D60" s="1021" t="str">
        <f>IF(C60="","",AVERAGE(OBFlow, Cover, InvVeg,WoodyVeg)*7 + WetVeg*3)</f>
        <v/>
      </c>
      <c r="E60" s="1014" t="s">
        <v>85</v>
      </c>
      <c r="F60" s="25" t="s">
        <v>164</v>
      </c>
      <c r="G60" s="26" t="str">
        <f>SurrLand</f>
        <v/>
      </c>
      <c r="H60" s="1033" t="str">
        <f>IF(G60="","",AVERAGE(SurrLand,(1-ImpArea),Passage,RipArea,RipCon,(1-NutrImp),(1-TempImp))*5)</f>
        <v/>
      </c>
      <c r="I60" s="1033" t="str">
        <f>IF(G60="","",AVERAGE(Protect, MAX((1-DwnFP),(1-Zoning)),MAX(Fish,RarInvert,RarAmRep,Waterbird,RarBdMm,RarPlant),HabFeat)*5)</f>
        <v/>
      </c>
      <c r="J60" s="1021" t="str">
        <f>IF(OR(H60="",I60=""),"",H60+I60)</f>
        <v/>
      </c>
      <c r="K60" s="519"/>
    </row>
    <row r="61" spans="1:11" x14ac:dyDescent="0.3">
      <c r="A61" s="1015"/>
      <c r="B61" s="22" t="s">
        <v>129</v>
      </c>
      <c r="C61" s="24" t="e">
        <f>Cover</f>
        <v>#DIV/0!</v>
      </c>
      <c r="D61" s="1022"/>
      <c r="E61" s="1015"/>
      <c r="F61" t="s">
        <v>256</v>
      </c>
      <c r="G61" s="24" t="str">
        <f>IF(ImpArea="","",(1-ImpArea))</f>
        <v/>
      </c>
      <c r="H61" s="1030"/>
      <c r="I61" s="1030"/>
      <c r="J61" s="1022"/>
      <c r="K61" s="519"/>
    </row>
    <row r="62" spans="1:11" x14ac:dyDescent="0.3">
      <c r="A62" s="1015"/>
      <c r="B62" t="s">
        <v>369</v>
      </c>
      <c r="C62" s="24" t="e">
        <f>InvVeg</f>
        <v>#DIV/0!</v>
      </c>
      <c r="D62" s="1022"/>
      <c r="E62" s="1015"/>
      <c r="F62" s="22" t="s">
        <v>34</v>
      </c>
      <c r="G62" s="24" t="str">
        <f>Passage</f>
        <v/>
      </c>
      <c r="H62" s="1030"/>
      <c r="I62" s="1030"/>
      <c r="J62" s="1022"/>
      <c r="K62" s="519"/>
    </row>
    <row r="63" spans="1:11" x14ac:dyDescent="0.3">
      <c r="A63" s="1015"/>
      <c r="B63" s="22" t="s">
        <v>50</v>
      </c>
      <c r="C63" s="24" t="e">
        <f>WoodyVeg</f>
        <v>#DIV/0!</v>
      </c>
      <c r="D63" s="1022"/>
      <c r="E63" s="1015"/>
      <c r="F63" s="22" t="s">
        <v>35</v>
      </c>
      <c r="G63" s="24" t="str">
        <f>RipArea</f>
        <v/>
      </c>
      <c r="H63" s="1030"/>
      <c r="I63" s="1030"/>
      <c r="J63" s="1022"/>
      <c r="K63" s="519"/>
    </row>
    <row r="64" spans="1:11" x14ac:dyDescent="0.3">
      <c r="A64" s="1015"/>
      <c r="B64" s="22" t="s">
        <v>143</v>
      </c>
      <c r="C64" s="24" t="str">
        <f>WetVeg</f>
        <v>FALSE</v>
      </c>
      <c r="D64" s="1022"/>
      <c r="E64" s="1015"/>
      <c r="F64" s="22" t="s">
        <v>36</v>
      </c>
      <c r="G64" s="24" t="str">
        <f>RipCon</f>
        <v/>
      </c>
      <c r="H64" s="1030"/>
      <c r="I64" s="1030"/>
      <c r="J64" s="1022"/>
      <c r="K64" s="519"/>
    </row>
    <row r="65" spans="1:11" x14ac:dyDescent="0.3">
      <c r="A65" s="1015"/>
      <c r="C65" s="22"/>
      <c r="D65" s="1022"/>
      <c r="E65" s="1015"/>
      <c r="F65" t="s">
        <v>251</v>
      </c>
      <c r="G65" s="24" t="str">
        <f>IF(NutrImp="","",(1-NutrImp))</f>
        <v/>
      </c>
      <c r="H65" s="1030"/>
      <c r="I65" s="1030"/>
      <c r="J65" s="1022"/>
      <c r="K65" s="519"/>
    </row>
    <row r="66" spans="1:11" x14ac:dyDescent="0.3">
      <c r="A66" s="1015"/>
      <c r="C66" s="22"/>
      <c r="D66" s="1022"/>
      <c r="E66" s="1015"/>
      <c r="F66" t="s">
        <v>253</v>
      </c>
      <c r="G66" s="24" t="str">
        <f>IF(TempImp="","",(1-TempImp))</f>
        <v/>
      </c>
      <c r="H66" s="1030"/>
      <c r="I66" s="1030"/>
      <c r="J66" s="1022"/>
      <c r="K66" s="519"/>
    </row>
    <row r="67" spans="1:11" x14ac:dyDescent="0.3">
      <c r="A67" s="1015"/>
      <c r="C67" s="22"/>
      <c r="D67" s="1022"/>
      <c r="E67" s="1015"/>
      <c r="F67" s="22" t="s">
        <v>163</v>
      </c>
      <c r="G67" s="24" t="str">
        <f>Protect</f>
        <v/>
      </c>
      <c r="H67" s="1030"/>
      <c r="I67" s="1030"/>
      <c r="J67" s="1022"/>
      <c r="K67" s="519"/>
    </row>
    <row r="68" spans="1:11" x14ac:dyDescent="0.3">
      <c r="A68" s="1015"/>
      <c r="C68" s="22"/>
      <c r="D68" s="1022"/>
      <c r="E68" s="1015"/>
      <c r="F68" t="s">
        <v>254</v>
      </c>
      <c r="G68" s="24" t="str">
        <f>IF(DwnFP="","",(1-DwnFP))</f>
        <v/>
      </c>
      <c r="H68" s="1030"/>
      <c r="I68" s="1030"/>
      <c r="J68" s="1022"/>
      <c r="K68" s="519"/>
    </row>
    <row r="69" spans="1:11" x14ac:dyDescent="0.3">
      <c r="A69" s="1015"/>
      <c r="C69" s="22"/>
      <c r="D69" s="1022"/>
      <c r="E69" s="1015"/>
      <c r="F69" t="s">
        <v>255</v>
      </c>
      <c r="G69" s="24" t="str">
        <f>IF(Zoning="","",(1-Zoning))</f>
        <v/>
      </c>
      <c r="H69" s="1030"/>
      <c r="I69" s="1030"/>
      <c r="J69" s="1022"/>
      <c r="K69" s="519"/>
    </row>
    <row r="70" spans="1:11" x14ac:dyDescent="0.3">
      <c r="A70" s="1015"/>
      <c r="C70" s="22"/>
      <c r="D70" s="1022"/>
      <c r="E70" s="1015"/>
      <c r="F70" s="22" t="s">
        <v>169</v>
      </c>
      <c r="G70" s="24" t="str">
        <f>Fish</f>
        <v/>
      </c>
      <c r="H70" s="1030"/>
      <c r="I70" s="1030"/>
      <c r="J70" s="1022"/>
      <c r="K70" s="519"/>
    </row>
    <row r="71" spans="1:11" x14ac:dyDescent="0.3">
      <c r="A71" s="1015"/>
      <c r="C71" s="22"/>
      <c r="D71" s="1022"/>
      <c r="E71" s="1015"/>
      <c r="F71" s="22" t="s">
        <v>28</v>
      </c>
      <c r="G71" s="24" t="str">
        <f>RarInvert</f>
        <v/>
      </c>
      <c r="H71" s="1030"/>
      <c r="I71" s="1030"/>
      <c r="J71" s="1022"/>
      <c r="K71" s="519"/>
    </row>
    <row r="72" spans="1:11" x14ac:dyDescent="0.3">
      <c r="A72" s="1015"/>
      <c r="C72" s="22"/>
      <c r="D72" s="1022"/>
      <c r="E72" s="1015"/>
      <c r="F72" s="22" t="s">
        <v>90</v>
      </c>
      <c r="G72" s="24" t="str">
        <f>RarAmRep</f>
        <v/>
      </c>
      <c r="H72" s="1030"/>
      <c r="I72" s="1030"/>
      <c r="J72" s="1022"/>
      <c r="K72" s="519"/>
    </row>
    <row r="73" spans="1:11" x14ac:dyDescent="0.3">
      <c r="A73" s="1015"/>
      <c r="C73" s="22"/>
      <c r="D73" s="1022"/>
      <c r="E73" s="1015"/>
      <c r="F73" s="22" t="s">
        <v>29</v>
      </c>
      <c r="G73" s="24" t="str">
        <f>Waterbird</f>
        <v/>
      </c>
      <c r="H73" s="1030"/>
      <c r="I73" s="1030"/>
      <c r="J73" s="1022"/>
      <c r="K73" s="519"/>
    </row>
    <row r="74" spans="1:11" x14ac:dyDescent="0.3">
      <c r="A74" s="1015"/>
      <c r="C74" s="22"/>
      <c r="D74" s="1022"/>
      <c r="E74" s="1015"/>
      <c r="F74" s="22" t="s">
        <v>31</v>
      </c>
      <c r="G74" s="24" t="str">
        <f>RarBdMm</f>
        <v/>
      </c>
      <c r="H74" s="1030"/>
      <c r="I74" s="1030"/>
      <c r="J74" s="1022"/>
      <c r="K74" s="519"/>
    </row>
    <row r="75" spans="1:11" x14ac:dyDescent="0.3">
      <c r="A75" s="1015"/>
      <c r="C75" s="22"/>
      <c r="D75" s="1022"/>
      <c r="E75" s="1015"/>
      <c r="F75" s="22" t="s">
        <v>33</v>
      </c>
      <c r="G75" s="24" t="str">
        <f>RarPlant</f>
        <v/>
      </c>
      <c r="H75" s="1030"/>
      <c r="I75" s="1030"/>
      <c r="J75" s="1022"/>
      <c r="K75" s="519"/>
    </row>
    <row r="76" spans="1:11" x14ac:dyDescent="0.3">
      <c r="A76" s="1020"/>
      <c r="B76" s="28"/>
      <c r="C76" s="28"/>
      <c r="D76" s="1023"/>
      <c r="E76" s="1020"/>
      <c r="F76" s="22" t="s">
        <v>26</v>
      </c>
      <c r="G76" s="24" t="str">
        <f>HabFeat</f>
        <v/>
      </c>
      <c r="H76" s="1031"/>
      <c r="I76" s="1031"/>
      <c r="J76" s="1023"/>
      <c r="K76" s="519"/>
    </row>
    <row r="77" spans="1:11" ht="15" customHeight="1" x14ac:dyDescent="0.3">
      <c r="A77" s="1014" t="s">
        <v>83</v>
      </c>
      <c r="B77" s="25" t="s">
        <v>44</v>
      </c>
      <c r="C77" s="26" t="str">
        <f>OBFlow</f>
        <v/>
      </c>
      <c r="D77" s="1021" t="str">
        <f>IF(C77="","",AVERAGE(OBFlow, BedVar, RipWidth, Cover, WetVeg)*10)</f>
        <v/>
      </c>
      <c r="E77" s="1014" t="s">
        <v>83</v>
      </c>
      <c r="F77" s="25" t="s">
        <v>38</v>
      </c>
      <c r="G77" s="26" t="str">
        <f>NutrImp</f>
        <v/>
      </c>
      <c r="H77" s="1033" t="str">
        <f>IF(G77="","",(NutrImp*4+AVERAGE(ImpArea,(1-RipArea),(1-RipCon),SedList,Position)*1))</f>
        <v/>
      </c>
      <c r="I77" s="1033" t="str">
        <f>IF(G77="","",AVERAGE(MAX(Fish,RarInvert,RarAmRep),Source)*5)</f>
        <v/>
      </c>
      <c r="J77" s="1021" t="str">
        <f>IF(OR(H77="",I77=""),"",H77+I77)</f>
        <v/>
      </c>
      <c r="K77" s="519"/>
    </row>
    <row r="78" spans="1:11" x14ac:dyDescent="0.3">
      <c r="A78" s="1015"/>
      <c r="B78" s="22" t="s">
        <v>49</v>
      </c>
      <c r="C78" s="24" t="e">
        <f>BedVar</f>
        <v>#DIV/0!</v>
      </c>
      <c r="D78" s="1022"/>
      <c r="E78" s="1015"/>
      <c r="F78" s="22" t="s">
        <v>17</v>
      </c>
      <c r="G78" s="24" t="str">
        <f>ImpArea</f>
        <v/>
      </c>
      <c r="H78" s="1030"/>
      <c r="I78" s="1030"/>
      <c r="J78" s="1022"/>
      <c r="K78" s="519"/>
    </row>
    <row r="79" spans="1:11" x14ac:dyDescent="0.3">
      <c r="A79" s="1015"/>
      <c r="B79" s="22" t="s">
        <v>144</v>
      </c>
      <c r="C79" s="24" t="e">
        <f>RipWidth</f>
        <v>#DIV/0!</v>
      </c>
      <c r="D79" s="1022"/>
      <c r="E79" s="1015"/>
      <c r="F79" t="s">
        <v>257</v>
      </c>
      <c r="G79" s="24" t="str">
        <f>IF(RipArea="","",(1-RipArea))</f>
        <v/>
      </c>
      <c r="H79" s="1030"/>
      <c r="I79" s="1030"/>
      <c r="J79" s="1022"/>
      <c r="K79" s="519"/>
    </row>
    <row r="80" spans="1:11" x14ac:dyDescent="0.3">
      <c r="A80" s="1015"/>
      <c r="B80" s="22" t="s">
        <v>143</v>
      </c>
      <c r="C80" s="24" t="str">
        <f>WetVeg</f>
        <v>FALSE</v>
      </c>
      <c r="D80" s="1022"/>
      <c r="E80" s="1015"/>
      <c r="F80" t="s">
        <v>258</v>
      </c>
      <c r="G80" s="24" t="str">
        <f>IF(RipCon="","",(1-RipCon))</f>
        <v/>
      </c>
      <c r="H80" s="1030"/>
      <c r="I80" s="1030"/>
      <c r="J80" s="1022"/>
      <c r="K80" s="519"/>
    </row>
    <row r="81" spans="1:11" x14ac:dyDescent="0.3">
      <c r="A81" s="1015"/>
      <c r="B81" s="22" t="s">
        <v>129</v>
      </c>
      <c r="C81" s="24" t="e">
        <f>Cover</f>
        <v>#DIV/0!</v>
      </c>
      <c r="D81" s="1022"/>
      <c r="E81" s="1015"/>
      <c r="F81" s="22" t="s">
        <v>22</v>
      </c>
      <c r="G81" s="24" t="str">
        <f>SedList</f>
        <v/>
      </c>
      <c r="H81" s="1030"/>
      <c r="I81" s="1030"/>
      <c r="J81" s="1022"/>
      <c r="K81" s="519"/>
    </row>
    <row r="82" spans="1:11" x14ac:dyDescent="0.3">
      <c r="A82" s="1015"/>
      <c r="D82" s="1022"/>
      <c r="E82" s="1015"/>
      <c r="F82" s="159" t="s">
        <v>162</v>
      </c>
      <c r="G82" s="31" t="str">
        <f>Position</f>
        <v/>
      </c>
      <c r="H82" s="1030"/>
      <c r="I82" s="1030"/>
      <c r="J82" s="1022"/>
      <c r="K82" s="519"/>
    </row>
    <row r="83" spans="1:11" x14ac:dyDescent="0.3">
      <c r="A83" s="1015"/>
      <c r="D83" s="1022"/>
      <c r="E83" s="1015"/>
      <c r="F83" s="22" t="s">
        <v>169</v>
      </c>
      <c r="G83" s="24" t="str">
        <f>Fish</f>
        <v/>
      </c>
      <c r="H83" s="1030"/>
      <c r="I83" s="1030"/>
      <c r="J83" s="1022"/>
      <c r="K83" s="519"/>
    </row>
    <row r="84" spans="1:11" x14ac:dyDescent="0.3">
      <c r="A84" s="1015"/>
      <c r="C84" s="22"/>
      <c r="D84" s="1022"/>
      <c r="E84" s="1015"/>
      <c r="F84" s="22" t="s">
        <v>171</v>
      </c>
      <c r="G84" s="24" t="str">
        <f>RarInvert</f>
        <v/>
      </c>
      <c r="H84" s="1030"/>
      <c r="I84" s="1030"/>
      <c r="J84" s="1022"/>
      <c r="K84" s="519"/>
    </row>
    <row r="85" spans="1:11" x14ac:dyDescent="0.3">
      <c r="A85" s="1015"/>
      <c r="C85" s="22"/>
      <c r="D85" s="1022"/>
      <c r="E85" s="1015"/>
      <c r="F85" s="22" t="s">
        <v>90</v>
      </c>
      <c r="G85" s="24" t="str">
        <f>RarAmRep</f>
        <v/>
      </c>
      <c r="H85" s="1030"/>
      <c r="I85" s="1030"/>
      <c r="J85" s="1022"/>
      <c r="K85" s="519"/>
    </row>
    <row r="86" spans="1:11" x14ac:dyDescent="0.3">
      <c r="A86" s="1020"/>
      <c r="D86" s="1023"/>
      <c r="E86" s="1020"/>
      <c r="F86" s="30" t="s">
        <v>175</v>
      </c>
      <c r="G86" s="31" t="str">
        <f>Source</f>
        <v/>
      </c>
      <c r="H86" s="1031"/>
      <c r="I86" s="1031"/>
      <c r="J86" s="1023"/>
      <c r="K86" s="519"/>
    </row>
    <row r="87" spans="1:11" ht="15" customHeight="1" x14ac:dyDescent="0.3">
      <c r="A87" s="1014" t="s">
        <v>86</v>
      </c>
      <c r="B87" s="25" t="s">
        <v>144</v>
      </c>
      <c r="C87" s="26" t="e">
        <f>RipWidth</f>
        <v>#DIV/0!</v>
      </c>
      <c r="D87" s="1021" t="e">
        <f>IF(C87="","",AVERAGE(RipWidth, BedVar, WetVeg, OBFlow)*10)</f>
        <v>#DIV/0!</v>
      </c>
      <c r="E87" s="1014" t="s">
        <v>86</v>
      </c>
      <c r="F87" s="25" t="s">
        <v>40</v>
      </c>
      <c r="G87" s="26" t="str">
        <f>ToxImp</f>
        <v/>
      </c>
      <c r="H87" s="1033" t="str">
        <f>IF(G87="","",ToxImp*4+AVERAGE(ImpArea,(1-RipArea),(1-RipCon),SedList,Position)*1)</f>
        <v/>
      </c>
      <c r="I87" s="1033" t="str">
        <f>IF(G87="","",AVERAGE(MAX(Fish,RarInvert,RarAmRep,Waterbird,RarBdMm,RarPlant),Source)*5)</f>
        <v/>
      </c>
      <c r="J87" s="1021" t="str">
        <f>IF(OR(H87="",I87=""),"",H87+I87)</f>
        <v/>
      </c>
      <c r="K87" s="519"/>
    </row>
    <row r="88" spans="1:11" x14ac:dyDescent="0.3">
      <c r="A88" s="1015"/>
      <c r="B88" s="22" t="s">
        <v>49</v>
      </c>
      <c r="C88" s="24" t="e">
        <f>BedVar</f>
        <v>#DIV/0!</v>
      </c>
      <c r="D88" s="1022"/>
      <c r="E88" s="1015"/>
      <c r="F88" s="22" t="s">
        <v>17</v>
      </c>
      <c r="G88" s="24" t="str">
        <f>ImpArea</f>
        <v/>
      </c>
      <c r="H88" s="1030"/>
      <c r="I88" s="1030"/>
      <c r="J88" s="1022"/>
      <c r="K88" s="519"/>
    </row>
    <row r="89" spans="1:11" x14ac:dyDescent="0.3">
      <c r="A89" s="1015"/>
      <c r="B89" s="22" t="s">
        <v>143</v>
      </c>
      <c r="C89" s="24" t="str">
        <f>WetVeg</f>
        <v>FALSE</v>
      </c>
      <c r="D89" s="1022"/>
      <c r="E89" s="1015"/>
      <c r="F89" t="s">
        <v>257</v>
      </c>
      <c r="G89" s="24" t="str">
        <f>IF(RipArea="","",(1-RipArea))</f>
        <v/>
      </c>
      <c r="H89" s="1030"/>
      <c r="I89" s="1030"/>
      <c r="J89" s="1022"/>
      <c r="K89" s="519"/>
    </row>
    <row r="90" spans="1:11" x14ac:dyDescent="0.3">
      <c r="A90" s="1015"/>
      <c r="B90" s="22" t="s">
        <v>44</v>
      </c>
      <c r="C90" s="24" t="str">
        <f>OBFlow</f>
        <v/>
      </c>
      <c r="D90" s="1022"/>
      <c r="E90" s="1015"/>
      <c r="F90" t="s">
        <v>258</v>
      </c>
      <c r="G90" s="24" t="str">
        <f>IF(RipCon="","",(1-RipCon))</f>
        <v/>
      </c>
      <c r="H90" s="1030"/>
      <c r="I90" s="1030"/>
      <c r="J90" s="1022"/>
      <c r="K90" s="519"/>
    </row>
    <row r="91" spans="1:11" x14ac:dyDescent="0.3">
      <c r="A91" s="1015"/>
      <c r="D91" s="1022"/>
      <c r="E91" s="1015"/>
      <c r="F91" s="22" t="s">
        <v>22</v>
      </c>
      <c r="G91" s="24" t="str">
        <f>SedList</f>
        <v/>
      </c>
      <c r="H91" s="1030"/>
      <c r="I91" s="1030"/>
      <c r="J91" s="1022"/>
      <c r="K91" s="519"/>
    </row>
    <row r="92" spans="1:11" x14ac:dyDescent="0.3">
      <c r="A92" s="1015"/>
      <c r="D92" s="1022"/>
      <c r="E92" s="1015"/>
      <c r="F92" s="22" t="s">
        <v>162</v>
      </c>
      <c r="G92" s="24" t="str">
        <f>Position</f>
        <v/>
      </c>
      <c r="H92" s="1030"/>
      <c r="I92" s="1030"/>
      <c r="J92" s="1022"/>
      <c r="K92" s="519"/>
    </row>
    <row r="93" spans="1:11" x14ac:dyDescent="0.3">
      <c r="A93" s="1015"/>
      <c r="D93" s="1022"/>
      <c r="E93" s="1015"/>
      <c r="F93" s="22" t="s">
        <v>169</v>
      </c>
      <c r="G93" s="24" t="str">
        <f>Fish</f>
        <v/>
      </c>
      <c r="H93" s="1030"/>
      <c r="I93" s="1030"/>
      <c r="J93" s="1022"/>
      <c r="K93" s="519"/>
    </row>
    <row r="94" spans="1:11" x14ac:dyDescent="0.3">
      <c r="A94" s="1015"/>
      <c r="D94" s="1022"/>
      <c r="E94" s="1015"/>
      <c r="F94" s="22" t="s">
        <v>28</v>
      </c>
      <c r="G94" s="24" t="str">
        <f>RarInvert</f>
        <v/>
      </c>
      <c r="H94" s="1030"/>
      <c r="I94" s="1030"/>
      <c r="J94" s="1022"/>
      <c r="K94" s="519"/>
    </row>
    <row r="95" spans="1:11" x14ac:dyDescent="0.3">
      <c r="A95" s="1015"/>
      <c r="D95" s="1022"/>
      <c r="E95" s="1015"/>
      <c r="F95" s="22" t="s">
        <v>90</v>
      </c>
      <c r="G95" s="24" t="str">
        <f>RarAmRep</f>
        <v/>
      </c>
      <c r="H95" s="1030"/>
      <c r="I95" s="1030"/>
      <c r="J95" s="1022"/>
      <c r="K95" s="519"/>
    </row>
    <row r="96" spans="1:11" x14ac:dyDescent="0.3">
      <c r="A96" s="1015"/>
      <c r="D96" s="1022"/>
      <c r="E96" s="1015"/>
      <c r="F96" s="22" t="s">
        <v>29</v>
      </c>
      <c r="G96" s="24" t="str">
        <f>Waterbird</f>
        <v/>
      </c>
      <c r="H96" s="1030"/>
      <c r="I96" s="1030"/>
      <c r="J96" s="1022"/>
      <c r="K96" s="519"/>
    </row>
    <row r="97" spans="1:11" x14ac:dyDescent="0.3">
      <c r="A97" s="1015"/>
      <c r="D97" s="1022"/>
      <c r="E97" s="1015"/>
      <c r="F97" s="22" t="s">
        <v>31</v>
      </c>
      <c r="G97" s="24" t="str">
        <f>RarBdMm</f>
        <v/>
      </c>
      <c r="H97" s="1030"/>
      <c r="I97" s="1030"/>
      <c r="J97" s="1022"/>
      <c r="K97" s="519"/>
    </row>
    <row r="98" spans="1:11" x14ac:dyDescent="0.3">
      <c r="A98" s="1015"/>
      <c r="D98" s="1022"/>
      <c r="E98" s="1015"/>
      <c r="F98" s="22" t="s">
        <v>33</v>
      </c>
      <c r="G98" s="24" t="str">
        <f>RarPlant</f>
        <v/>
      </c>
      <c r="H98" s="1030"/>
      <c r="I98" s="1030"/>
      <c r="J98" s="1022"/>
      <c r="K98" s="519"/>
    </row>
    <row r="99" spans="1:11" x14ac:dyDescent="0.3">
      <c r="A99" s="1015"/>
      <c r="D99" s="1022"/>
      <c r="E99" s="1015"/>
      <c r="F99" s="22" t="s">
        <v>175</v>
      </c>
      <c r="G99" s="24" t="str">
        <f>Source</f>
        <v/>
      </c>
      <c r="H99" s="1031"/>
      <c r="I99" s="1031"/>
      <c r="J99" s="1023"/>
      <c r="K99" s="519"/>
    </row>
    <row r="100" spans="1:11" ht="15" customHeight="1" x14ac:dyDescent="0.3">
      <c r="A100" s="1014" t="s">
        <v>87</v>
      </c>
      <c r="B100" s="25" t="s">
        <v>129</v>
      </c>
      <c r="C100" s="26" t="e">
        <f>Cover</f>
        <v>#DIV/0!</v>
      </c>
      <c r="D100" s="1017" t="e">
        <f>IF(C100="","",Cover*10)</f>
        <v>#DIV/0!</v>
      </c>
      <c r="E100" s="1014" t="s">
        <v>87</v>
      </c>
      <c r="F100" s="160" t="s">
        <v>253</v>
      </c>
      <c r="G100" s="26" t="str">
        <f>IF(TempImp="","",(1-TempImp))</f>
        <v/>
      </c>
      <c r="H100" s="1033" t="str">
        <f>IF(G100="","",(1-TempImp)*4+AVERAGE(RipArea,RipCon,ImpArea)*1)</f>
        <v/>
      </c>
      <c r="I100" s="1033" t="str">
        <f>IF(G100="","",AVERAGE(ThermFeat,MAX(Fish,RarInvert,RarAmRep))*5)</f>
        <v/>
      </c>
      <c r="J100" s="1021" t="str">
        <f>IF(OR(H100="",I100=""),"",H100+I100)</f>
        <v/>
      </c>
      <c r="K100" s="519"/>
    </row>
    <row r="101" spans="1:11" ht="14.7" customHeight="1" x14ac:dyDescent="0.3">
      <c r="A101" s="1015"/>
      <c r="D101" s="1018"/>
      <c r="E101" s="1015"/>
      <c r="F101" s="22" t="s">
        <v>35</v>
      </c>
      <c r="G101" s="24" t="str">
        <f>RipArea</f>
        <v/>
      </c>
      <c r="H101" s="1030"/>
      <c r="I101" s="1030"/>
      <c r="J101" s="1022"/>
      <c r="K101" s="519"/>
    </row>
    <row r="102" spans="1:11" ht="14.7" customHeight="1" x14ac:dyDescent="0.3">
      <c r="A102" s="1015"/>
      <c r="D102" s="1018"/>
      <c r="E102" s="1015"/>
      <c r="F102" s="22" t="s">
        <v>36</v>
      </c>
      <c r="G102" s="24" t="str">
        <f>RipCon</f>
        <v/>
      </c>
      <c r="H102" s="1030"/>
      <c r="I102" s="1030"/>
      <c r="J102" s="1022"/>
      <c r="K102" s="519"/>
    </row>
    <row r="103" spans="1:11" ht="14.7" customHeight="1" x14ac:dyDescent="0.3">
      <c r="A103" s="1015"/>
      <c r="D103" s="1018"/>
      <c r="E103" s="1015"/>
      <c r="F103" s="22" t="s">
        <v>17</v>
      </c>
      <c r="G103" s="24" t="str">
        <f>ImpArea</f>
        <v/>
      </c>
      <c r="H103" s="1030"/>
      <c r="I103" s="1030"/>
      <c r="J103" s="1022"/>
      <c r="K103" s="519"/>
    </row>
    <row r="104" spans="1:11" ht="14.7" customHeight="1" x14ac:dyDescent="0.3">
      <c r="A104" s="1015"/>
      <c r="D104" s="1018"/>
      <c r="E104" s="1015"/>
      <c r="F104" s="22" t="s">
        <v>169</v>
      </c>
      <c r="G104" s="24" t="str">
        <f>Fish</f>
        <v/>
      </c>
      <c r="H104" s="1030"/>
      <c r="I104" s="1030"/>
      <c r="J104" s="1022"/>
      <c r="K104" s="519"/>
    </row>
    <row r="105" spans="1:11" ht="14.7" customHeight="1" x14ac:dyDescent="0.3">
      <c r="A105" s="1015"/>
      <c r="D105" s="1018"/>
      <c r="E105" s="1015"/>
      <c r="F105" s="22" t="s">
        <v>28</v>
      </c>
      <c r="G105" s="24" t="str">
        <f>RarInvert</f>
        <v/>
      </c>
      <c r="H105" s="1030"/>
      <c r="I105" s="1030"/>
      <c r="J105" s="1022"/>
      <c r="K105" s="519"/>
    </row>
    <row r="106" spans="1:11" ht="15" customHeight="1" x14ac:dyDescent="0.3">
      <c r="A106" s="1015"/>
      <c r="D106" s="1018"/>
      <c r="E106" s="1015"/>
      <c r="F106" s="22" t="s">
        <v>90</v>
      </c>
      <c r="G106" s="24" t="str">
        <f>RarAmRep</f>
        <v/>
      </c>
      <c r="H106" s="1030"/>
      <c r="I106" s="1030"/>
      <c r="J106" s="1022"/>
      <c r="K106" s="519"/>
    </row>
    <row r="107" spans="1:11" ht="15" thickBot="1" x14ac:dyDescent="0.35">
      <c r="A107" s="1016"/>
      <c r="C107" s="544"/>
      <c r="D107" s="1019"/>
      <c r="E107" s="1016"/>
      <c r="F107" s="545" t="s">
        <v>429</v>
      </c>
      <c r="G107" s="33" t="str">
        <f>ThermFeat</f>
        <v/>
      </c>
      <c r="H107" s="1034"/>
      <c r="I107" s="1034"/>
      <c r="J107" s="1035"/>
      <c r="K107" s="546"/>
    </row>
    <row r="108" spans="1:11" ht="15" thickTop="1" x14ac:dyDescent="0.3">
      <c r="B108" s="158"/>
      <c r="D108" s="34"/>
      <c r="H108" s="34"/>
      <c r="I108" s="34"/>
      <c r="J108" s="34"/>
    </row>
  </sheetData>
  <sheetProtection algorithmName="SHA-512" hashValue="RI0IFGZ9zUJ8Th5YGHtwaefdR0oaE3hfUp+7r29zeg1/O5KHNbk8yijGj25BdnR+1cR15YH30ddy0JY64jsAGg==" saltValue="9gdsYt1+FnZZ2uuFFPGZ/Q==" spinCount="100000" sheet="1" objects="1" scenarios="1"/>
  <dataConsolidate/>
  <customSheetViews>
    <customSheetView guid="{6A4D8547-5570-4765-8A78-68572E1AC55E}" scale="60" showPageBreaks="1" view="pageBreakPreview">
      <pane ySplit="2" topLeftCell="A6" activePane="bottomLeft" state="frozen"/>
      <selection pane="bottomLeft" activeCell="C30" sqref="C30"/>
      <pageMargins left="0.7" right="0.7" top="0.75" bottom="0.75" header="0.3" footer="0.3"/>
      <pageSetup orientation="portrait" r:id="rId1"/>
    </customSheetView>
    <customSheetView guid="{76D76C6A-AC69-4DBD-AC07-822026509EDA}" scale="60" showPageBreaks="1" view="pageBreakPreview">
      <pane ySplit="2" topLeftCell="A12" activePane="bottomLeft" state="frozen"/>
      <selection pane="bottomLeft" activeCell="F33" sqref="F33:F46"/>
      <pageMargins left="0.7" right="0.7" top="0.75" bottom="0.75" header="0.3" footer="0.3"/>
      <pageSetup orientation="portrait" r:id="rId2"/>
    </customSheetView>
    <customSheetView guid="{DFF357C0-9B7E-407D-BC84-93A50AD2B553}" scale="60" showPageBreaks="1" view="pageBreakPreview">
      <pane ySplit="2" topLeftCell="A12" activePane="bottomLeft" state="frozen"/>
      <selection pane="bottomLeft" activeCell="K25" sqref="K25"/>
      <pageMargins left="0.7" right="0.7" top="0.75" bottom="0.75" header="0.3" footer="0.3"/>
      <pageSetup orientation="portrait" r:id="rId3"/>
    </customSheetView>
    <customSheetView guid="{D0935927-5E0F-4648-A725-887C75D046FC}" scale="60" showPageBreaks="1" view="pageBreakPreview">
      <pane ySplit="2" topLeftCell="A12" activePane="bottomLeft" state="frozen"/>
      <selection pane="bottomLeft" activeCell="K42" sqref="K42"/>
      <pageMargins left="0.7" right="0.7" top="0.75" bottom="0.75" header="0.3" footer="0.3"/>
      <pageSetup orientation="portrait" r:id="rId4"/>
    </customSheetView>
  </customSheetViews>
  <mergeCells count="68">
    <mergeCell ref="J87:J99"/>
    <mergeCell ref="I87:I99"/>
    <mergeCell ref="H87:H99"/>
    <mergeCell ref="H100:H107"/>
    <mergeCell ref="I100:I107"/>
    <mergeCell ref="J100:J107"/>
    <mergeCell ref="J77:J86"/>
    <mergeCell ref="I77:I86"/>
    <mergeCell ref="H77:H86"/>
    <mergeCell ref="D14:D23"/>
    <mergeCell ref="D24:D30"/>
    <mergeCell ref="D31:D37"/>
    <mergeCell ref="D38:D48"/>
    <mergeCell ref="D49:D59"/>
    <mergeCell ref="H31:H37"/>
    <mergeCell ref="I31:I37"/>
    <mergeCell ref="J31:J37"/>
    <mergeCell ref="J24:J30"/>
    <mergeCell ref="I24:I30"/>
    <mergeCell ref="H24:H30"/>
    <mergeCell ref="J38:J48"/>
    <mergeCell ref="H14:H23"/>
    <mergeCell ref="I14:I23"/>
    <mergeCell ref="J14:J23"/>
    <mergeCell ref="J10:J13"/>
    <mergeCell ref="E60:E76"/>
    <mergeCell ref="J60:J76"/>
    <mergeCell ref="I60:I76"/>
    <mergeCell ref="H60:H76"/>
    <mergeCell ref="I10:I13"/>
    <mergeCell ref="H10:H13"/>
    <mergeCell ref="I38:I48"/>
    <mergeCell ref="H38:H48"/>
    <mergeCell ref="J49:J59"/>
    <mergeCell ref="I49:I59"/>
    <mergeCell ref="H49:H59"/>
    <mergeCell ref="E14:E23"/>
    <mergeCell ref="A14:A23"/>
    <mergeCell ref="E3:E9"/>
    <mergeCell ref="E24:E30"/>
    <mergeCell ref="A24:A30"/>
    <mergeCell ref="D3:D9"/>
    <mergeCell ref="D10:D13"/>
    <mergeCell ref="E1:J1"/>
    <mergeCell ref="A1:D1"/>
    <mergeCell ref="A3:A9"/>
    <mergeCell ref="A10:A13"/>
    <mergeCell ref="E10:E13"/>
    <mergeCell ref="H3:H9"/>
    <mergeCell ref="I3:I9"/>
    <mergeCell ref="J3:J9"/>
    <mergeCell ref="A31:A37"/>
    <mergeCell ref="E31:E37"/>
    <mergeCell ref="E38:E48"/>
    <mergeCell ref="A38:A48"/>
    <mergeCell ref="E49:E59"/>
    <mergeCell ref="A49:A59"/>
    <mergeCell ref="A100:A107"/>
    <mergeCell ref="D100:D107"/>
    <mergeCell ref="E100:E107"/>
    <mergeCell ref="A87:A99"/>
    <mergeCell ref="A60:A76"/>
    <mergeCell ref="A77:A86"/>
    <mergeCell ref="E77:E86"/>
    <mergeCell ref="D60:D76"/>
    <mergeCell ref="D77:D86"/>
    <mergeCell ref="D87:D99"/>
    <mergeCell ref="E87:E99"/>
  </mergeCells>
  <pageMargins left="0.7" right="0.7" top="0.75" bottom="0.75" header="0.3" footer="0.3"/>
  <pageSetup scale="59" orientation="portrait" r:id="rId5"/>
  <rowBreaks count="1" manualBreakCount="1">
    <brk id="48" max="16383" man="1"/>
  </rowBreaks>
  <colBreaks count="1" manualBreakCount="1">
    <brk id="4" max="1048575" man="1"/>
  </colBreaks>
  <customProperties>
    <customPr name="ESRI_SHEET_ID" r:id="rId6"/>
  </customProperties>
  <pictur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WVO30"/>
  <sheetViews>
    <sheetView zoomScaleNormal="100" zoomScaleSheetLayoutView="80" workbookViewId="0">
      <selection activeCell="E1" sqref="E1"/>
    </sheetView>
  </sheetViews>
  <sheetFormatPr defaultColWidth="5" defaultRowHeight="13.2" x14ac:dyDescent="0.25"/>
  <cols>
    <col min="1" max="1" width="35.5546875" style="444" customWidth="1"/>
    <col min="2" max="3" width="13.6640625" style="496" customWidth="1"/>
    <col min="4" max="5" width="13.6640625" style="444" customWidth="1"/>
    <col min="6" max="7" width="4.44140625" style="444" customWidth="1"/>
    <col min="8" max="8" width="4" style="444" customWidth="1"/>
    <col min="9" max="9" width="6.33203125" style="444" bestFit="1" customWidth="1"/>
    <col min="10" max="10" width="6.44140625" style="444" customWidth="1"/>
    <col min="11" max="255" width="5" style="444"/>
    <col min="256" max="256" width="40.44140625" style="444" customWidth="1"/>
    <col min="257" max="257" width="14.88671875" style="444" customWidth="1"/>
    <col min="258" max="258" width="13.44140625" style="444" customWidth="1"/>
    <col min="259" max="259" width="5" style="444" hidden="1" customWidth="1"/>
    <col min="260" max="260" width="28.88671875" style="444" customWidth="1"/>
    <col min="261" max="261" width="15.33203125" style="444" customWidth="1"/>
    <col min="262" max="263" width="5" style="444" hidden="1" customWidth="1"/>
    <col min="264" max="264" width="21.44140625" style="444" customWidth="1"/>
    <col min="265" max="511" width="5" style="444"/>
    <col min="512" max="512" width="40.44140625" style="444" customWidth="1"/>
    <col min="513" max="513" width="14.88671875" style="444" customWidth="1"/>
    <col min="514" max="514" width="13.44140625" style="444" customWidth="1"/>
    <col min="515" max="515" width="5" style="444" hidden="1" customWidth="1"/>
    <col min="516" max="516" width="28.88671875" style="444" customWidth="1"/>
    <col min="517" max="517" width="15.33203125" style="444" customWidth="1"/>
    <col min="518" max="519" width="5" style="444" hidden="1" customWidth="1"/>
    <col min="520" max="520" width="21.44140625" style="444" customWidth="1"/>
    <col min="521" max="767" width="5" style="444"/>
    <col min="768" max="768" width="40.44140625" style="444" customWidth="1"/>
    <col min="769" max="769" width="14.88671875" style="444" customWidth="1"/>
    <col min="770" max="770" width="13.44140625" style="444" customWidth="1"/>
    <col min="771" max="771" width="5" style="444" hidden="1" customWidth="1"/>
    <col min="772" max="772" width="28.88671875" style="444" customWidth="1"/>
    <col min="773" max="773" width="15.33203125" style="444" customWidth="1"/>
    <col min="774" max="775" width="5" style="444" hidden="1" customWidth="1"/>
    <col min="776" max="776" width="21.44140625" style="444" customWidth="1"/>
    <col min="777" max="1023" width="5" style="444"/>
    <col min="1024" max="1024" width="40.44140625" style="444" customWidth="1"/>
    <col min="1025" max="1025" width="14.88671875" style="444" customWidth="1"/>
    <col min="1026" max="1026" width="13.44140625" style="444" customWidth="1"/>
    <col min="1027" max="1027" width="5" style="444" hidden="1" customWidth="1"/>
    <col min="1028" max="1028" width="28.88671875" style="444" customWidth="1"/>
    <col min="1029" max="1029" width="15.33203125" style="444" customWidth="1"/>
    <col min="1030" max="1031" width="5" style="444" hidden="1" customWidth="1"/>
    <col min="1032" max="1032" width="21.44140625" style="444" customWidth="1"/>
    <col min="1033" max="1279" width="5" style="444"/>
    <col min="1280" max="1280" width="40.44140625" style="444" customWidth="1"/>
    <col min="1281" max="1281" width="14.88671875" style="444" customWidth="1"/>
    <col min="1282" max="1282" width="13.44140625" style="444" customWidth="1"/>
    <col min="1283" max="1283" width="5" style="444" hidden="1" customWidth="1"/>
    <col min="1284" max="1284" width="28.88671875" style="444" customWidth="1"/>
    <col min="1285" max="1285" width="15.33203125" style="444" customWidth="1"/>
    <col min="1286" max="1287" width="5" style="444" hidden="1" customWidth="1"/>
    <col min="1288" max="1288" width="21.44140625" style="444" customWidth="1"/>
    <col min="1289" max="1535" width="5" style="444"/>
    <col min="1536" max="1536" width="40.44140625" style="444" customWidth="1"/>
    <col min="1537" max="1537" width="14.88671875" style="444" customWidth="1"/>
    <col min="1538" max="1538" width="13.44140625" style="444" customWidth="1"/>
    <col min="1539" max="1539" width="5" style="444" hidden="1" customWidth="1"/>
    <col min="1540" max="1540" width="28.88671875" style="444" customWidth="1"/>
    <col min="1541" max="1541" width="15.33203125" style="444" customWidth="1"/>
    <col min="1542" max="1543" width="5" style="444" hidden="1" customWidth="1"/>
    <col min="1544" max="1544" width="21.44140625" style="444" customWidth="1"/>
    <col min="1545" max="1791" width="5" style="444"/>
    <col min="1792" max="1792" width="40.44140625" style="444" customWidth="1"/>
    <col min="1793" max="1793" width="14.88671875" style="444" customWidth="1"/>
    <col min="1794" max="1794" width="13.44140625" style="444" customWidth="1"/>
    <col min="1795" max="1795" width="5" style="444" hidden="1" customWidth="1"/>
    <col min="1796" max="1796" width="28.88671875" style="444" customWidth="1"/>
    <col min="1797" max="1797" width="15.33203125" style="444" customWidth="1"/>
    <col min="1798" max="1799" width="5" style="444" hidden="1" customWidth="1"/>
    <col min="1800" max="1800" width="21.44140625" style="444" customWidth="1"/>
    <col min="1801" max="2047" width="5" style="444"/>
    <col min="2048" max="2048" width="40.44140625" style="444" customWidth="1"/>
    <col min="2049" max="2049" width="14.88671875" style="444" customWidth="1"/>
    <col min="2050" max="2050" width="13.44140625" style="444" customWidth="1"/>
    <col min="2051" max="2051" width="5" style="444" hidden="1" customWidth="1"/>
    <col min="2052" max="2052" width="28.88671875" style="444" customWidth="1"/>
    <col min="2053" max="2053" width="15.33203125" style="444" customWidth="1"/>
    <col min="2054" max="2055" width="5" style="444" hidden="1" customWidth="1"/>
    <col min="2056" max="2056" width="21.44140625" style="444" customWidth="1"/>
    <col min="2057" max="2303" width="5" style="444"/>
    <col min="2304" max="2304" width="40.44140625" style="444" customWidth="1"/>
    <col min="2305" max="2305" width="14.88671875" style="444" customWidth="1"/>
    <col min="2306" max="2306" width="13.44140625" style="444" customWidth="1"/>
    <col min="2307" max="2307" width="5" style="444" hidden="1" customWidth="1"/>
    <col min="2308" max="2308" width="28.88671875" style="444" customWidth="1"/>
    <col min="2309" max="2309" width="15.33203125" style="444" customWidth="1"/>
    <col min="2310" max="2311" width="5" style="444" hidden="1" customWidth="1"/>
    <col min="2312" max="2312" width="21.44140625" style="444" customWidth="1"/>
    <col min="2313" max="2559" width="5" style="444"/>
    <col min="2560" max="2560" width="40.44140625" style="444" customWidth="1"/>
    <col min="2561" max="2561" width="14.88671875" style="444" customWidth="1"/>
    <col min="2562" max="2562" width="13.44140625" style="444" customWidth="1"/>
    <col min="2563" max="2563" width="5" style="444" hidden="1" customWidth="1"/>
    <col min="2564" max="2564" width="28.88671875" style="444" customWidth="1"/>
    <col min="2565" max="2565" width="15.33203125" style="444" customWidth="1"/>
    <col min="2566" max="2567" width="5" style="444" hidden="1" customWidth="1"/>
    <col min="2568" max="2568" width="21.44140625" style="444" customWidth="1"/>
    <col min="2569" max="2815" width="5" style="444"/>
    <col min="2816" max="2816" width="40.44140625" style="444" customWidth="1"/>
    <col min="2817" max="2817" width="14.88671875" style="444" customWidth="1"/>
    <col min="2818" max="2818" width="13.44140625" style="444" customWidth="1"/>
    <col min="2819" max="2819" width="5" style="444" hidden="1" customWidth="1"/>
    <col min="2820" max="2820" width="28.88671875" style="444" customWidth="1"/>
    <col min="2821" max="2821" width="15.33203125" style="444" customWidth="1"/>
    <col min="2822" max="2823" width="5" style="444" hidden="1" customWidth="1"/>
    <col min="2824" max="2824" width="21.44140625" style="444" customWidth="1"/>
    <col min="2825" max="3071" width="5" style="444"/>
    <col min="3072" max="3072" width="40.44140625" style="444" customWidth="1"/>
    <col min="3073" max="3073" width="14.88671875" style="444" customWidth="1"/>
    <col min="3074" max="3074" width="13.44140625" style="444" customWidth="1"/>
    <col min="3075" max="3075" width="5" style="444" hidden="1" customWidth="1"/>
    <col min="3076" max="3076" width="28.88671875" style="444" customWidth="1"/>
    <col min="3077" max="3077" width="15.33203125" style="444" customWidth="1"/>
    <col min="3078" max="3079" width="5" style="444" hidden="1" customWidth="1"/>
    <col min="3080" max="3080" width="21.44140625" style="444" customWidth="1"/>
    <col min="3081" max="3327" width="5" style="444"/>
    <col min="3328" max="3328" width="40.44140625" style="444" customWidth="1"/>
    <col min="3329" max="3329" width="14.88671875" style="444" customWidth="1"/>
    <col min="3330" max="3330" width="13.44140625" style="444" customWidth="1"/>
    <col min="3331" max="3331" width="5" style="444" hidden="1" customWidth="1"/>
    <col min="3332" max="3332" width="28.88671875" style="444" customWidth="1"/>
    <col min="3333" max="3333" width="15.33203125" style="444" customWidth="1"/>
    <col min="3334" max="3335" width="5" style="444" hidden="1" customWidth="1"/>
    <col min="3336" max="3336" width="21.44140625" style="444" customWidth="1"/>
    <col min="3337" max="3583" width="5" style="444"/>
    <col min="3584" max="3584" width="40.44140625" style="444" customWidth="1"/>
    <col min="3585" max="3585" width="14.88671875" style="444" customWidth="1"/>
    <col min="3586" max="3586" width="13.44140625" style="444" customWidth="1"/>
    <col min="3587" max="3587" width="5" style="444" hidden="1" customWidth="1"/>
    <col min="3588" max="3588" width="28.88671875" style="444" customWidth="1"/>
    <col min="3589" max="3589" width="15.33203125" style="444" customWidth="1"/>
    <col min="3590" max="3591" width="5" style="444" hidden="1" customWidth="1"/>
    <col min="3592" max="3592" width="21.44140625" style="444" customWidth="1"/>
    <col min="3593" max="3839" width="5" style="444"/>
    <col min="3840" max="3840" width="40.44140625" style="444" customWidth="1"/>
    <col min="3841" max="3841" width="14.88671875" style="444" customWidth="1"/>
    <col min="3842" max="3842" width="13.44140625" style="444" customWidth="1"/>
    <col min="3843" max="3843" width="5" style="444" hidden="1" customWidth="1"/>
    <col min="3844" max="3844" width="28.88671875" style="444" customWidth="1"/>
    <col min="3845" max="3845" width="15.33203125" style="444" customWidth="1"/>
    <col min="3846" max="3847" width="5" style="444" hidden="1" customWidth="1"/>
    <col min="3848" max="3848" width="21.44140625" style="444" customWidth="1"/>
    <col min="3849" max="4095" width="5" style="444"/>
    <col min="4096" max="4096" width="40.44140625" style="444" customWidth="1"/>
    <col min="4097" max="4097" width="14.88671875" style="444" customWidth="1"/>
    <col min="4098" max="4098" width="13.44140625" style="444" customWidth="1"/>
    <col min="4099" max="4099" width="5" style="444" hidden="1" customWidth="1"/>
    <col min="4100" max="4100" width="28.88671875" style="444" customWidth="1"/>
    <col min="4101" max="4101" width="15.33203125" style="444" customWidth="1"/>
    <col min="4102" max="4103" width="5" style="444" hidden="1" customWidth="1"/>
    <col min="4104" max="4104" width="21.44140625" style="444" customWidth="1"/>
    <col min="4105" max="4351" width="5" style="444"/>
    <col min="4352" max="4352" width="40.44140625" style="444" customWidth="1"/>
    <col min="4353" max="4353" width="14.88671875" style="444" customWidth="1"/>
    <col min="4354" max="4354" width="13.44140625" style="444" customWidth="1"/>
    <col min="4355" max="4355" width="5" style="444" hidden="1" customWidth="1"/>
    <col min="4356" max="4356" width="28.88671875" style="444" customWidth="1"/>
    <col min="4357" max="4357" width="15.33203125" style="444" customWidth="1"/>
    <col min="4358" max="4359" width="5" style="444" hidden="1" customWidth="1"/>
    <col min="4360" max="4360" width="21.44140625" style="444" customWidth="1"/>
    <col min="4361" max="4607" width="5" style="444"/>
    <col min="4608" max="4608" width="40.44140625" style="444" customWidth="1"/>
    <col min="4609" max="4609" width="14.88671875" style="444" customWidth="1"/>
    <col min="4610" max="4610" width="13.44140625" style="444" customWidth="1"/>
    <col min="4611" max="4611" width="5" style="444" hidden="1" customWidth="1"/>
    <col min="4612" max="4612" width="28.88671875" style="444" customWidth="1"/>
    <col min="4613" max="4613" width="15.33203125" style="444" customWidth="1"/>
    <col min="4614" max="4615" width="5" style="444" hidden="1" customWidth="1"/>
    <col min="4616" max="4616" width="21.44140625" style="444" customWidth="1"/>
    <col min="4617" max="4863" width="5" style="444"/>
    <col min="4864" max="4864" width="40.44140625" style="444" customWidth="1"/>
    <col min="4865" max="4865" width="14.88671875" style="444" customWidth="1"/>
    <col min="4866" max="4866" width="13.44140625" style="444" customWidth="1"/>
    <col min="4867" max="4867" width="5" style="444" hidden="1" customWidth="1"/>
    <col min="4868" max="4868" width="28.88671875" style="444" customWidth="1"/>
    <col min="4869" max="4869" width="15.33203125" style="444" customWidth="1"/>
    <col min="4870" max="4871" width="5" style="444" hidden="1" customWidth="1"/>
    <col min="4872" max="4872" width="21.44140625" style="444" customWidth="1"/>
    <col min="4873" max="5119" width="5" style="444"/>
    <col min="5120" max="5120" width="40.44140625" style="444" customWidth="1"/>
    <col min="5121" max="5121" width="14.88671875" style="444" customWidth="1"/>
    <col min="5122" max="5122" width="13.44140625" style="444" customWidth="1"/>
    <col min="5123" max="5123" width="5" style="444" hidden="1" customWidth="1"/>
    <col min="5124" max="5124" width="28.88671875" style="444" customWidth="1"/>
    <col min="5125" max="5125" width="15.33203125" style="444" customWidth="1"/>
    <col min="5126" max="5127" width="5" style="444" hidden="1" customWidth="1"/>
    <col min="5128" max="5128" width="21.44140625" style="444" customWidth="1"/>
    <col min="5129" max="5375" width="5" style="444"/>
    <col min="5376" max="5376" width="40.44140625" style="444" customWidth="1"/>
    <col min="5377" max="5377" width="14.88671875" style="444" customWidth="1"/>
    <col min="5378" max="5378" width="13.44140625" style="444" customWidth="1"/>
    <col min="5379" max="5379" width="5" style="444" hidden="1" customWidth="1"/>
    <col min="5380" max="5380" width="28.88671875" style="444" customWidth="1"/>
    <col min="5381" max="5381" width="15.33203125" style="444" customWidth="1"/>
    <col min="5382" max="5383" width="5" style="444" hidden="1" customWidth="1"/>
    <col min="5384" max="5384" width="21.44140625" style="444" customWidth="1"/>
    <col min="5385" max="5631" width="5" style="444"/>
    <col min="5632" max="5632" width="40.44140625" style="444" customWidth="1"/>
    <col min="5633" max="5633" width="14.88671875" style="444" customWidth="1"/>
    <col min="5634" max="5634" width="13.44140625" style="444" customWidth="1"/>
    <col min="5635" max="5635" width="5" style="444" hidden="1" customWidth="1"/>
    <col min="5636" max="5636" width="28.88671875" style="444" customWidth="1"/>
    <col min="5637" max="5637" width="15.33203125" style="444" customWidth="1"/>
    <col min="5638" max="5639" width="5" style="444" hidden="1" customWidth="1"/>
    <col min="5640" max="5640" width="21.44140625" style="444" customWidth="1"/>
    <col min="5641" max="5887" width="5" style="444"/>
    <col min="5888" max="5888" width="40.44140625" style="444" customWidth="1"/>
    <col min="5889" max="5889" width="14.88671875" style="444" customWidth="1"/>
    <col min="5890" max="5890" width="13.44140625" style="444" customWidth="1"/>
    <col min="5891" max="5891" width="5" style="444" hidden="1" customWidth="1"/>
    <col min="5892" max="5892" width="28.88671875" style="444" customWidth="1"/>
    <col min="5893" max="5893" width="15.33203125" style="444" customWidth="1"/>
    <col min="5894" max="5895" width="5" style="444" hidden="1" customWidth="1"/>
    <col min="5896" max="5896" width="21.44140625" style="444" customWidth="1"/>
    <col min="5897" max="6143" width="5" style="444"/>
    <col min="6144" max="6144" width="40.44140625" style="444" customWidth="1"/>
    <col min="6145" max="6145" width="14.88671875" style="444" customWidth="1"/>
    <col min="6146" max="6146" width="13.44140625" style="444" customWidth="1"/>
    <col min="6147" max="6147" width="5" style="444" hidden="1" customWidth="1"/>
    <col min="6148" max="6148" width="28.88671875" style="444" customWidth="1"/>
    <col min="6149" max="6149" width="15.33203125" style="444" customWidth="1"/>
    <col min="6150" max="6151" width="5" style="444" hidden="1" customWidth="1"/>
    <col min="6152" max="6152" width="21.44140625" style="444" customWidth="1"/>
    <col min="6153" max="6399" width="5" style="444"/>
    <col min="6400" max="6400" width="40.44140625" style="444" customWidth="1"/>
    <col min="6401" max="6401" width="14.88671875" style="444" customWidth="1"/>
    <col min="6402" max="6402" width="13.44140625" style="444" customWidth="1"/>
    <col min="6403" max="6403" width="5" style="444" hidden="1" customWidth="1"/>
    <col min="6404" max="6404" width="28.88671875" style="444" customWidth="1"/>
    <col min="6405" max="6405" width="15.33203125" style="444" customWidth="1"/>
    <col min="6406" max="6407" width="5" style="444" hidden="1" customWidth="1"/>
    <col min="6408" max="6408" width="21.44140625" style="444" customWidth="1"/>
    <col min="6409" max="6655" width="5" style="444"/>
    <col min="6656" max="6656" width="40.44140625" style="444" customWidth="1"/>
    <col min="6657" max="6657" width="14.88671875" style="444" customWidth="1"/>
    <col min="6658" max="6658" width="13.44140625" style="444" customWidth="1"/>
    <col min="6659" max="6659" width="5" style="444" hidden="1" customWidth="1"/>
    <col min="6660" max="6660" width="28.88671875" style="444" customWidth="1"/>
    <col min="6661" max="6661" width="15.33203125" style="444" customWidth="1"/>
    <col min="6662" max="6663" width="5" style="444" hidden="1" customWidth="1"/>
    <col min="6664" max="6664" width="21.44140625" style="444" customWidth="1"/>
    <col min="6665" max="6911" width="5" style="444"/>
    <col min="6912" max="6912" width="40.44140625" style="444" customWidth="1"/>
    <col min="6913" max="6913" width="14.88671875" style="444" customWidth="1"/>
    <col min="6914" max="6914" width="13.44140625" style="444" customWidth="1"/>
    <col min="6915" max="6915" width="5" style="444" hidden="1" customWidth="1"/>
    <col min="6916" max="6916" width="28.88671875" style="444" customWidth="1"/>
    <col min="6917" max="6917" width="15.33203125" style="444" customWidth="1"/>
    <col min="6918" max="6919" width="5" style="444" hidden="1" customWidth="1"/>
    <col min="6920" max="6920" width="21.44140625" style="444" customWidth="1"/>
    <col min="6921" max="7167" width="5" style="444"/>
    <col min="7168" max="7168" width="40.44140625" style="444" customWidth="1"/>
    <col min="7169" max="7169" width="14.88671875" style="444" customWidth="1"/>
    <col min="7170" max="7170" width="13.44140625" style="444" customWidth="1"/>
    <col min="7171" max="7171" width="5" style="444" hidden="1" customWidth="1"/>
    <col min="7172" max="7172" width="28.88671875" style="444" customWidth="1"/>
    <col min="7173" max="7173" width="15.33203125" style="444" customWidth="1"/>
    <col min="7174" max="7175" width="5" style="444" hidden="1" customWidth="1"/>
    <col min="7176" max="7176" width="21.44140625" style="444" customWidth="1"/>
    <col min="7177" max="7423" width="5" style="444"/>
    <col min="7424" max="7424" width="40.44140625" style="444" customWidth="1"/>
    <col min="7425" max="7425" width="14.88671875" style="444" customWidth="1"/>
    <col min="7426" max="7426" width="13.44140625" style="444" customWidth="1"/>
    <col min="7427" max="7427" width="5" style="444" hidden="1" customWidth="1"/>
    <col min="7428" max="7428" width="28.88671875" style="444" customWidth="1"/>
    <col min="7429" max="7429" width="15.33203125" style="444" customWidth="1"/>
    <col min="7430" max="7431" width="5" style="444" hidden="1" customWidth="1"/>
    <col min="7432" max="7432" width="21.44140625" style="444" customWidth="1"/>
    <col min="7433" max="7679" width="5" style="444"/>
    <col min="7680" max="7680" width="40.44140625" style="444" customWidth="1"/>
    <col min="7681" max="7681" width="14.88671875" style="444" customWidth="1"/>
    <col min="7682" max="7682" width="13.44140625" style="444" customWidth="1"/>
    <col min="7683" max="7683" width="5" style="444" hidden="1" customWidth="1"/>
    <col min="7684" max="7684" width="28.88671875" style="444" customWidth="1"/>
    <col min="7685" max="7685" width="15.33203125" style="444" customWidth="1"/>
    <col min="7686" max="7687" width="5" style="444" hidden="1" customWidth="1"/>
    <col min="7688" max="7688" width="21.44140625" style="444" customWidth="1"/>
    <col min="7689" max="7935" width="5" style="444"/>
    <col min="7936" max="7936" width="40.44140625" style="444" customWidth="1"/>
    <col min="7937" max="7937" width="14.88671875" style="444" customWidth="1"/>
    <col min="7938" max="7938" width="13.44140625" style="444" customWidth="1"/>
    <col min="7939" max="7939" width="5" style="444" hidden="1" customWidth="1"/>
    <col min="7940" max="7940" width="28.88671875" style="444" customWidth="1"/>
    <col min="7941" max="7941" width="15.33203125" style="444" customWidth="1"/>
    <col min="7942" max="7943" width="5" style="444" hidden="1" customWidth="1"/>
    <col min="7944" max="7944" width="21.44140625" style="444" customWidth="1"/>
    <col min="7945" max="8191" width="5" style="444"/>
    <col min="8192" max="8192" width="40.44140625" style="444" customWidth="1"/>
    <col min="8193" max="8193" width="14.88671875" style="444" customWidth="1"/>
    <col min="8194" max="8194" width="13.44140625" style="444" customWidth="1"/>
    <col min="8195" max="8195" width="5" style="444" hidden="1" customWidth="1"/>
    <col min="8196" max="8196" width="28.88671875" style="444" customWidth="1"/>
    <col min="8197" max="8197" width="15.33203125" style="444" customWidth="1"/>
    <col min="8198" max="8199" width="5" style="444" hidden="1" customWidth="1"/>
    <col min="8200" max="8200" width="21.44140625" style="444" customWidth="1"/>
    <col min="8201" max="8447" width="5" style="444"/>
    <col min="8448" max="8448" width="40.44140625" style="444" customWidth="1"/>
    <col min="8449" max="8449" width="14.88671875" style="444" customWidth="1"/>
    <col min="8450" max="8450" width="13.44140625" style="444" customWidth="1"/>
    <col min="8451" max="8451" width="5" style="444" hidden="1" customWidth="1"/>
    <col min="8452" max="8452" width="28.88671875" style="444" customWidth="1"/>
    <col min="8453" max="8453" width="15.33203125" style="444" customWidth="1"/>
    <col min="8454" max="8455" width="5" style="444" hidden="1" customWidth="1"/>
    <col min="8456" max="8456" width="21.44140625" style="444" customWidth="1"/>
    <col min="8457" max="8703" width="5" style="444"/>
    <col min="8704" max="8704" width="40.44140625" style="444" customWidth="1"/>
    <col min="8705" max="8705" width="14.88671875" style="444" customWidth="1"/>
    <col min="8706" max="8706" width="13.44140625" style="444" customWidth="1"/>
    <col min="8707" max="8707" width="5" style="444" hidden="1" customWidth="1"/>
    <col min="8708" max="8708" width="28.88671875" style="444" customWidth="1"/>
    <col min="8709" max="8709" width="15.33203125" style="444" customWidth="1"/>
    <col min="8710" max="8711" width="5" style="444" hidden="1" customWidth="1"/>
    <col min="8712" max="8712" width="21.44140625" style="444" customWidth="1"/>
    <col min="8713" max="8959" width="5" style="444"/>
    <col min="8960" max="8960" width="40.44140625" style="444" customWidth="1"/>
    <col min="8961" max="8961" width="14.88671875" style="444" customWidth="1"/>
    <col min="8962" max="8962" width="13.44140625" style="444" customWidth="1"/>
    <col min="8963" max="8963" width="5" style="444" hidden="1" customWidth="1"/>
    <col min="8964" max="8964" width="28.88671875" style="444" customWidth="1"/>
    <col min="8965" max="8965" width="15.33203125" style="444" customWidth="1"/>
    <col min="8966" max="8967" width="5" style="444" hidden="1" customWidth="1"/>
    <col min="8968" max="8968" width="21.44140625" style="444" customWidth="1"/>
    <col min="8969" max="9215" width="5" style="444"/>
    <col min="9216" max="9216" width="40.44140625" style="444" customWidth="1"/>
    <col min="9217" max="9217" width="14.88671875" style="444" customWidth="1"/>
    <col min="9218" max="9218" width="13.44140625" style="444" customWidth="1"/>
    <col min="9219" max="9219" width="5" style="444" hidden="1" customWidth="1"/>
    <col min="9220" max="9220" width="28.88671875" style="444" customWidth="1"/>
    <col min="9221" max="9221" width="15.33203125" style="444" customWidth="1"/>
    <col min="9222" max="9223" width="5" style="444" hidden="1" customWidth="1"/>
    <col min="9224" max="9224" width="21.44140625" style="444" customWidth="1"/>
    <col min="9225" max="9471" width="5" style="444"/>
    <col min="9472" max="9472" width="40.44140625" style="444" customWidth="1"/>
    <col min="9473" max="9473" width="14.88671875" style="444" customWidth="1"/>
    <col min="9474" max="9474" width="13.44140625" style="444" customWidth="1"/>
    <col min="9475" max="9475" width="5" style="444" hidden="1" customWidth="1"/>
    <col min="9476" max="9476" width="28.88671875" style="444" customWidth="1"/>
    <col min="9477" max="9477" width="15.33203125" style="444" customWidth="1"/>
    <col min="9478" max="9479" width="5" style="444" hidden="1" customWidth="1"/>
    <col min="9480" max="9480" width="21.44140625" style="444" customWidth="1"/>
    <col min="9481" max="9727" width="5" style="444"/>
    <col min="9728" max="9728" width="40.44140625" style="444" customWidth="1"/>
    <col min="9729" max="9729" width="14.88671875" style="444" customWidth="1"/>
    <col min="9730" max="9730" width="13.44140625" style="444" customWidth="1"/>
    <col min="9731" max="9731" width="5" style="444" hidden="1" customWidth="1"/>
    <col min="9732" max="9732" width="28.88671875" style="444" customWidth="1"/>
    <col min="9733" max="9733" width="15.33203125" style="444" customWidth="1"/>
    <col min="9734" max="9735" width="5" style="444" hidden="1" customWidth="1"/>
    <col min="9736" max="9736" width="21.44140625" style="444" customWidth="1"/>
    <col min="9737" max="9983" width="5" style="444"/>
    <col min="9984" max="9984" width="40.44140625" style="444" customWidth="1"/>
    <col min="9985" max="9985" width="14.88671875" style="444" customWidth="1"/>
    <col min="9986" max="9986" width="13.44140625" style="444" customWidth="1"/>
    <col min="9987" max="9987" width="5" style="444" hidden="1" customWidth="1"/>
    <col min="9988" max="9988" width="28.88671875" style="444" customWidth="1"/>
    <col min="9989" max="9989" width="15.33203125" style="444" customWidth="1"/>
    <col min="9990" max="9991" width="5" style="444" hidden="1" customWidth="1"/>
    <col min="9992" max="9992" width="21.44140625" style="444" customWidth="1"/>
    <col min="9993" max="10239" width="5" style="444"/>
    <col min="10240" max="10240" width="40.44140625" style="444" customWidth="1"/>
    <col min="10241" max="10241" width="14.88671875" style="444" customWidth="1"/>
    <col min="10242" max="10242" width="13.44140625" style="444" customWidth="1"/>
    <col min="10243" max="10243" width="5" style="444" hidden="1" customWidth="1"/>
    <col min="10244" max="10244" width="28.88671875" style="444" customWidth="1"/>
    <col min="10245" max="10245" width="15.33203125" style="444" customWidth="1"/>
    <col min="10246" max="10247" width="5" style="444" hidden="1" customWidth="1"/>
    <col min="10248" max="10248" width="21.44140625" style="444" customWidth="1"/>
    <col min="10249" max="10495" width="5" style="444"/>
    <col min="10496" max="10496" width="40.44140625" style="444" customWidth="1"/>
    <col min="10497" max="10497" width="14.88671875" style="444" customWidth="1"/>
    <col min="10498" max="10498" width="13.44140625" style="444" customWidth="1"/>
    <col min="10499" max="10499" width="5" style="444" hidden="1" customWidth="1"/>
    <col min="10500" max="10500" width="28.88671875" style="444" customWidth="1"/>
    <col min="10501" max="10501" width="15.33203125" style="444" customWidth="1"/>
    <col min="10502" max="10503" width="5" style="444" hidden="1" customWidth="1"/>
    <col min="10504" max="10504" width="21.44140625" style="444" customWidth="1"/>
    <col min="10505" max="10751" width="5" style="444"/>
    <col min="10752" max="10752" width="40.44140625" style="444" customWidth="1"/>
    <col min="10753" max="10753" width="14.88671875" style="444" customWidth="1"/>
    <col min="10754" max="10754" width="13.44140625" style="444" customWidth="1"/>
    <col min="10755" max="10755" width="5" style="444" hidden="1" customWidth="1"/>
    <col min="10756" max="10756" width="28.88671875" style="444" customWidth="1"/>
    <col min="10757" max="10757" width="15.33203125" style="444" customWidth="1"/>
    <col min="10758" max="10759" width="5" style="444" hidden="1" customWidth="1"/>
    <col min="10760" max="10760" width="21.44140625" style="444" customWidth="1"/>
    <col min="10761" max="11007" width="5" style="444"/>
    <col min="11008" max="11008" width="40.44140625" style="444" customWidth="1"/>
    <col min="11009" max="11009" width="14.88671875" style="444" customWidth="1"/>
    <col min="11010" max="11010" width="13.44140625" style="444" customWidth="1"/>
    <col min="11011" max="11011" width="5" style="444" hidden="1" customWidth="1"/>
    <col min="11012" max="11012" width="28.88671875" style="444" customWidth="1"/>
    <col min="11013" max="11013" width="15.33203125" style="444" customWidth="1"/>
    <col min="11014" max="11015" width="5" style="444" hidden="1" customWidth="1"/>
    <col min="11016" max="11016" width="21.44140625" style="444" customWidth="1"/>
    <col min="11017" max="11263" width="5" style="444"/>
    <col min="11264" max="11264" width="40.44140625" style="444" customWidth="1"/>
    <col min="11265" max="11265" width="14.88671875" style="444" customWidth="1"/>
    <col min="11266" max="11266" width="13.44140625" style="444" customWidth="1"/>
    <col min="11267" max="11267" width="5" style="444" hidden="1" customWidth="1"/>
    <col min="11268" max="11268" width="28.88671875" style="444" customWidth="1"/>
    <col min="11269" max="11269" width="15.33203125" style="444" customWidth="1"/>
    <col min="11270" max="11271" width="5" style="444" hidden="1" customWidth="1"/>
    <col min="11272" max="11272" width="21.44140625" style="444" customWidth="1"/>
    <col min="11273" max="11519" width="5" style="444"/>
    <col min="11520" max="11520" width="40.44140625" style="444" customWidth="1"/>
    <col min="11521" max="11521" width="14.88671875" style="444" customWidth="1"/>
    <col min="11522" max="11522" width="13.44140625" style="444" customWidth="1"/>
    <col min="11523" max="11523" width="5" style="444" hidden="1" customWidth="1"/>
    <col min="11524" max="11524" width="28.88671875" style="444" customWidth="1"/>
    <col min="11525" max="11525" width="15.33203125" style="444" customWidth="1"/>
    <col min="11526" max="11527" width="5" style="444" hidden="1" customWidth="1"/>
    <col min="11528" max="11528" width="21.44140625" style="444" customWidth="1"/>
    <col min="11529" max="11775" width="5" style="444"/>
    <col min="11776" max="11776" width="40.44140625" style="444" customWidth="1"/>
    <col min="11777" max="11777" width="14.88671875" style="444" customWidth="1"/>
    <col min="11778" max="11778" width="13.44140625" style="444" customWidth="1"/>
    <col min="11779" max="11779" width="5" style="444" hidden="1" customWidth="1"/>
    <col min="11780" max="11780" width="28.88671875" style="444" customWidth="1"/>
    <col min="11781" max="11781" width="15.33203125" style="444" customWidth="1"/>
    <col min="11782" max="11783" width="5" style="444" hidden="1" customWidth="1"/>
    <col min="11784" max="11784" width="21.44140625" style="444" customWidth="1"/>
    <col min="11785" max="12031" width="5" style="444"/>
    <col min="12032" max="12032" width="40.44140625" style="444" customWidth="1"/>
    <col min="12033" max="12033" width="14.88671875" style="444" customWidth="1"/>
    <col min="12034" max="12034" width="13.44140625" style="444" customWidth="1"/>
    <col min="12035" max="12035" width="5" style="444" hidden="1" customWidth="1"/>
    <col min="12036" max="12036" width="28.88671875" style="444" customWidth="1"/>
    <col min="12037" max="12037" width="15.33203125" style="444" customWidth="1"/>
    <col min="12038" max="12039" width="5" style="444" hidden="1" customWidth="1"/>
    <col min="12040" max="12040" width="21.44140625" style="444" customWidth="1"/>
    <col min="12041" max="12287" width="5" style="444"/>
    <col min="12288" max="12288" width="40.44140625" style="444" customWidth="1"/>
    <col min="12289" max="12289" width="14.88671875" style="444" customWidth="1"/>
    <col min="12290" max="12290" width="13.44140625" style="444" customWidth="1"/>
    <col min="12291" max="12291" width="5" style="444" hidden="1" customWidth="1"/>
    <col min="12292" max="12292" width="28.88671875" style="444" customWidth="1"/>
    <col min="12293" max="12293" width="15.33203125" style="444" customWidth="1"/>
    <col min="12294" max="12295" width="5" style="444" hidden="1" customWidth="1"/>
    <col min="12296" max="12296" width="21.44140625" style="444" customWidth="1"/>
    <col min="12297" max="12543" width="5" style="444"/>
    <col min="12544" max="12544" width="40.44140625" style="444" customWidth="1"/>
    <col min="12545" max="12545" width="14.88671875" style="444" customWidth="1"/>
    <col min="12546" max="12546" width="13.44140625" style="444" customWidth="1"/>
    <col min="12547" max="12547" width="5" style="444" hidden="1" customWidth="1"/>
    <col min="12548" max="12548" width="28.88671875" style="444" customWidth="1"/>
    <col min="12549" max="12549" width="15.33203125" style="444" customWidth="1"/>
    <col min="12550" max="12551" width="5" style="444" hidden="1" customWidth="1"/>
    <col min="12552" max="12552" width="21.44140625" style="444" customWidth="1"/>
    <col min="12553" max="12799" width="5" style="444"/>
    <col min="12800" max="12800" width="40.44140625" style="444" customWidth="1"/>
    <col min="12801" max="12801" width="14.88671875" style="444" customWidth="1"/>
    <col min="12802" max="12802" width="13.44140625" style="444" customWidth="1"/>
    <col min="12803" max="12803" width="5" style="444" hidden="1" customWidth="1"/>
    <col min="12804" max="12804" width="28.88671875" style="444" customWidth="1"/>
    <col min="12805" max="12805" width="15.33203125" style="444" customWidth="1"/>
    <col min="12806" max="12807" width="5" style="444" hidden="1" customWidth="1"/>
    <col min="12808" max="12808" width="21.44140625" style="444" customWidth="1"/>
    <col min="12809" max="13055" width="5" style="444"/>
    <col min="13056" max="13056" width="40.44140625" style="444" customWidth="1"/>
    <col min="13057" max="13057" width="14.88671875" style="444" customWidth="1"/>
    <col min="13058" max="13058" width="13.44140625" style="444" customWidth="1"/>
    <col min="13059" max="13059" width="5" style="444" hidden="1" customWidth="1"/>
    <col min="13060" max="13060" width="28.88671875" style="444" customWidth="1"/>
    <col min="13061" max="13061" width="15.33203125" style="444" customWidth="1"/>
    <col min="13062" max="13063" width="5" style="444" hidden="1" customWidth="1"/>
    <col min="13064" max="13064" width="21.44140625" style="444" customWidth="1"/>
    <col min="13065" max="13311" width="5" style="444"/>
    <col min="13312" max="13312" width="40.44140625" style="444" customWidth="1"/>
    <col min="13313" max="13313" width="14.88671875" style="444" customWidth="1"/>
    <col min="13314" max="13314" width="13.44140625" style="444" customWidth="1"/>
    <col min="13315" max="13315" width="5" style="444" hidden="1" customWidth="1"/>
    <col min="13316" max="13316" width="28.88671875" style="444" customWidth="1"/>
    <col min="13317" max="13317" width="15.33203125" style="444" customWidth="1"/>
    <col min="13318" max="13319" width="5" style="444" hidden="1" customWidth="1"/>
    <col min="13320" max="13320" width="21.44140625" style="444" customWidth="1"/>
    <col min="13321" max="13567" width="5" style="444"/>
    <col min="13568" max="13568" width="40.44140625" style="444" customWidth="1"/>
    <col min="13569" max="13569" width="14.88671875" style="444" customWidth="1"/>
    <col min="13570" max="13570" width="13.44140625" style="444" customWidth="1"/>
    <col min="13571" max="13571" width="5" style="444" hidden="1" customWidth="1"/>
    <col min="13572" max="13572" width="28.88671875" style="444" customWidth="1"/>
    <col min="13573" max="13573" width="15.33203125" style="444" customWidth="1"/>
    <col min="13574" max="13575" width="5" style="444" hidden="1" customWidth="1"/>
    <col min="13576" max="13576" width="21.44140625" style="444" customWidth="1"/>
    <col min="13577" max="13823" width="5" style="444"/>
    <col min="13824" max="13824" width="40.44140625" style="444" customWidth="1"/>
    <col min="13825" max="13825" width="14.88671875" style="444" customWidth="1"/>
    <col min="13826" max="13826" width="13.44140625" style="444" customWidth="1"/>
    <col min="13827" max="13827" width="5" style="444" hidden="1" customWidth="1"/>
    <col min="13828" max="13828" width="28.88671875" style="444" customWidth="1"/>
    <col min="13829" max="13829" width="15.33203125" style="444" customWidth="1"/>
    <col min="13830" max="13831" width="5" style="444" hidden="1" customWidth="1"/>
    <col min="13832" max="13832" width="21.44140625" style="444" customWidth="1"/>
    <col min="13833" max="14079" width="5" style="444"/>
    <col min="14080" max="14080" width="40.44140625" style="444" customWidth="1"/>
    <col min="14081" max="14081" width="14.88671875" style="444" customWidth="1"/>
    <col min="14082" max="14082" width="13.44140625" style="444" customWidth="1"/>
    <col min="14083" max="14083" width="5" style="444" hidden="1" customWidth="1"/>
    <col min="14084" max="14084" width="28.88671875" style="444" customWidth="1"/>
    <col min="14085" max="14085" width="15.33203125" style="444" customWidth="1"/>
    <col min="14086" max="14087" width="5" style="444" hidden="1" customWidth="1"/>
    <col min="14088" max="14088" width="21.44140625" style="444" customWidth="1"/>
    <col min="14089" max="14335" width="5" style="444"/>
    <col min="14336" max="14336" width="40.44140625" style="444" customWidth="1"/>
    <col min="14337" max="14337" width="14.88671875" style="444" customWidth="1"/>
    <col min="14338" max="14338" width="13.44140625" style="444" customWidth="1"/>
    <col min="14339" max="14339" width="5" style="444" hidden="1" customWidth="1"/>
    <col min="14340" max="14340" width="28.88671875" style="444" customWidth="1"/>
    <col min="14341" max="14341" width="15.33203125" style="444" customWidth="1"/>
    <col min="14342" max="14343" width="5" style="444" hidden="1" customWidth="1"/>
    <col min="14344" max="14344" width="21.44140625" style="444" customWidth="1"/>
    <col min="14345" max="14591" width="5" style="444"/>
    <col min="14592" max="14592" width="40.44140625" style="444" customWidth="1"/>
    <col min="14593" max="14593" width="14.88671875" style="444" customWidth="1"/>
    <col min="14594" max="14594" width="13.44140625" style="444" customWidth="1"/>
    <col min="14595" max="14595" width="5" style="444" hidden="1" customWidth="1"/>
    <col min="14596" max="14596" width="28.88671875" style="444" customWidth="1"/>
    <col min="14597" max="14597" width="15.33203125" style="444" customWidth="1"/>
    <col min="14598" max="14599" width="5" style="444" hidden="1" customWidth="1"/>
    <col min="14600" max="14600" width="21.44140625" style="444" customWidth="1"/>
    <col min="14601" max="14847" width="5" style="444"/>
    <col min="14848" max="14848" width="40.44140625" style="444" customWidth="1"/>
    <col min="14849" max="14849" width="14.88671875" style="444" customWidth="1"/>
    <col min="14850" max="14850" width="13.44140625" style="444" customWidth="1"/>
    <col min="14851" max="14851" width="5" style="444" hidden="1" customWidth="1"/>
    <col min="14852" max="14852" width="28.88671875" style="444" customWidth="1"/>
    <col min="14853" max="14853" width="15.33203125" style="444" customWidth="1"/>
    <col min="14854" max="14855" width="5" style="444" hidden="1" customWidth="1"/>
    <col min="14856" max="14856" width="21.44140625" style="444" customWidth="1"/>
    <col min="14857" max="15103" width="5" style="444"/>
    <col min="15104" max="15104" width="40.44140625" style="444" customWidth="1"/>
    <col min="15105" max="15105" width="14.88671875" style="444" customWidth="1"/>
    <col min="15106" max="15106" width="13.44140625" style="444" customWidth="1"/>
    <col min="15107" max="15107" width="5" style="444" hidden="1" customWidth="1"/>
    <col min="15108" max="15108" width="28.88671875" style="444" customWidth="1"/>
    <col min="15109" max="15109" width="15.33203125" style="444" customWidth="1"/>
    <col min="15110" max="15111" width="5" style="444" hidden="1" customWidth="1"/>
    <col min="15112" max="15112" width="21.44140625" style="444" customWidth="1"/>
    <col min="15113" max="15359" width="5" style="444"/>
    <col min="15360" max="15360" width="40.44140625" style="444" customWidth="1"/>
    <col min="15361" max="15361" width="14.88671875" style="444" customWidth="1"/>
    <col min="15362" max="15362" width="13.44140625" style="444" customWidth="1"/>
    <col min="15363" max="15363" width="5" style="444" hidden="1" customWidth="1"/>
    <col min="15364" max="15364" width="28.88671875" style="444" customWidth="1"/>
    <col min="15365" max="15365" width="15.33203125" style="444" customWidth="1"/>
    <col min="15366" max="15367" width="5" style="444" hidden="1" customWidth="1"/>
    <col min="15368" max="15368" width="21.44140625" style="444" customWidth="1"/>
    <col min="15369" max="15615" width="5" style="444"/>
    <col min="15616" max="15616" width="40.44140625" style="444" customWidth="1"/>
    <col min="15617" max="15617" width="14.88671875" style="444" customWidth="1"/>
    <col min="15618" max="15618" width="13.44140625" style="444" customWidth="1"/>
    <col min="15619" max="15619" width="5" style="444" hidden="1" customWidth="1"/>
    <col min="15620" max="15620" width="28.88671875" style="444" customWidth="1"/>
    <col min="15621" max="15621" width="15.33203125" style="444" customWidth="1"/>
    <col min="15622" max="15623" width="5" style="444" hidden="1" customWidth="1"/>
    <col min="15624" max="15624" width="21.44140625" style="444" customWidth="1"/>
    <col min="15625" max="15871" width="5" style="444"/>
    <col min="15872" max="15872" width="40.44140625" style="444" customWidth="1"/>
    <col min="15873" max="15873" width="14.88671875" style="444" customWidth="1"/>
    <col min="15874" max="15874" width="13.44140625" style="444" customWidth="1"/>
    <col min="15875" max="15875" width="5" style="444" hidden="1" customWidth="1"/>
    <col min="15876" max="15876" width="28.88671875" style="444" customWidth="1"/>
    <col min="15877" max="15877" width="15.33203125" style="444" customWidth="1"/>
    <col min="15878" max="15879" width="5" style="444" hidden="1" customWidth="1"/>
    <col min="15880" max="15880" width="21.44140625" style="444" customWidth="1"/>
    <col min="15881" max="16127" width="5" style="444"/>
    <col min="16128" max="16128" width="40.44140625" style="444" customWidth="1"/>
    <col min="16129" max="16129" width="14.88671875" style="444" customWidth="1"/>
    <col min="16130" max="16130" width="13.44140625" style="444" customWidth="1"/>
    <col min="16131" max="16131" width="5" style="444" hidden="1" customWidth="1"/>
    <col min="16132" max="16132" width="28.88671875" style="444" customWidth="1"/>
    <col min="16133" max="16133" width="15.33203125" style="444" customWidth="1"/>
    <col min="16134" max="16135" width="5" style="444" hidden="1" customWidth="1"/>
    <col min="16136" max="16136" width="21.44140625" style="444" customWidth="1"/>
    <col min="16137" max="16384" width="5" style="444"/>
  </cols>
  <sheetData>
    <row r="1" spans="1:11" ht="15.6" x14ac:dyDescent="0.3">
      <c r="A1" s="658" t="s">
        <v>63</v>
      </c>
      <c r="B1" s="658" t="s">
        <v>546</v>
      </c>
      <c r="C1" s="658" t="s">
        <v>544</v>
      </c>
      <c r="D1" s="658"/>
      <c r="E1" s="443" t="str">
        <f>IF('Cover Page'!B9="","",'Cover Page'!B9)</f>
        <v/>
      </c>
    </row>
    <row r="2" spans="1:11" ht="11.7" customHeight="1" thickBot="1" x14ac:dyDescent="0.35">
      <c r="A2" s="445"/>
      <c r="B2" s="446"/>
      <c r="C2" s="446"/>
      <c r="D2" s="446"/>
      <c r="E2" s="447"/>
    </row>
    <row r="3" spans="1:11" ht="14.4" x14ac:dyDescent="0.3">
      <c r="A3" s="448" t="s">
        <v>135</v>
      </c>
      <c r="B3" s="1044" t="str">
        <f>IF('Cover Page'!B4:C4="","",'Cover Page'!B4)</f>
        <v/>
      </c>
      <c r="C3" s="1045"/>
      <c r="D3" s="1045"/>
      <c r="E3" s="1046"/>
      <c r="F3" s="449"/>
      <c r="G3" s="449"/>
      <c r="H3" s="449"/>
    </row>
    <row r="4" spans="1:11" ht="14.4" x14ac:dyDescent="0.3">
      <c r="A4" s="450" t="s">
        <v>117</v>
      </c>
      <c r="B4" s="1047" t="str">
        <f>IF('Cover Page'!B5:C5="","",'Cover Page'!B5:C5)</f>
        <v/>
      </c>
      <c r="C4" s="1048"/>
      <c r="D4" s="1048"/>
      <c r="E4" s="1049"/>
      <c r="F4" s="449"/>
      <c r="G4" s="449"/>
      <c r="H4" s="449"/>
    </row>
    <row r="5" spans="1:11" ht="14.4" x14ac:dyDescent="0.3">
      <c r="A5" s="450" t="s">
        <v>118</v>
      </c>
      <c r="B5" s="1050" t="str">
        <f>IF('Cover Page'!E4="","",'Cover Page'!E4)</f>
        <v/>
      </c>
      <c r="C5" s="1051"/>
      <c r="D5" s="1051"/>
      <c r="E5" s="1052"/>
      <c r="F5" s="451"/>
      <c r="G5" s="451"/>
      <c r="H5" s="451"/>
    </row>
    <row r="6" spans="1:11" ht="15" thickBot="1" x14ac:dyDescent="0.35">
      <c r="A6" s="452" t="s">
        <v>119</v>
      </c>
      <c r="B6" s="168" t="str">
        <f>IF('Cover Page'!G4="","",'Cover Page'!G4)</f>
        <v/>
      </c>
      <c r="C6" s="1042" t="s">
        <v>120</v>
      </c>
      <c r="D6" s="1043"/>
      <c r="E6" s="427" t="str">
        <f>IF('Cover Page'!G5="","",'Cover Page'!G5)</f>
        <v/>
      </c>
      <c r="G6" s="453"/>
    </row>
    <row r="7" spans="1:11" ht="6.75" customHeight="1" thickBot="1" x14ac:dyDescent="0.35">
      <c r="A7" s="4"/>
      <c r="B7" s="454"/>
      <c r="C7" s="455"/>
      <c r="D7" s="456"/>
      <c r="E7" s="457"/>
      <c r="G7" s="453"/>
    </row>
    <row r="8" spans="1:11" ht="31.2" customHeight="1" thickBot="1" x14ac:dyDescent="0.3">
      <c r="A8" s="458" t="s">
        <v>200</v>
      </c>
      <c r="B8" s="459" t="s">
        <v>265</v>
      </c>
      <c r="C8" s="460" t="s">
        <v>168</v>
      </c>
      <c r="D8" s="461" t="s">
        <v>266</v>
      </c>
      <c r="E8" s="462" t="s">
        <v>267</v>
      </c>
      <c r="F8" s="463"/>
      <c r="G8" s="464" t="s">
        <v>138</v>
      </c>
      <c r="H8" s="465" t="s">
        <v>259</v>
      </c>
      <c r="I8" s="465" t="s">
        <v>260</v>
      </c>
      <c r="J8" s="465" t="s">
        <v>409</v>
      </c>
      <c r="K8" s="466"/>
    </row>
    <row r="9" spans="1:11" ht="14.4" x14ac:dyDescent="0.3">
      <c r="A9" s="532" t="s">
        <v>509</v>
      </c>
      <c r="B9" s="527" t="str">
        <f>Subscores!D3</f>
        <v/>
      </c>
      <c r="C9" s="468" t="str">
        <f>IF(B9="","",IF(B9&lt;3,"Lower",IF(AND(B9&gt;=3,B9&lt;=7),"Moderate",IF(B9&gt;7,"Higher"))))</f>
        <v/>
      </c>
      <c r="D9" s="469" t="str">
        <f>Subscores!J3</f>
        <v/>
      </c>
      <c r="E9" s="470" t="str">
        <f>IF(D9="","",IF(D9&lt;3,"Lower",IF(AND(D9&gt;=3,D9&lt;=7),"Moderate",IF(D9&gt;7,"Higher"))))</f>
        <v/>
      </c>
      <c r="G9" s="471" t="str">
        <f>IF(C9="","",IF(C9="Higher", 7, IF(C9="Moderate",4,IF(C9="Lower",1))))</f>
        <v/>
      </c>
      <c r="H9" s="471" t="str">
        <f>IF(E9="","",IF(E9="Higher", 3, IF(E9="Moderate",2,IF(E9="Lower",1))))</f>
        <v/>
      </c>
      <c r="I9" s="472" t="str">
        <f>IF(OR(G9="",H9=""),"",G9+H9)</f>
        <v/>
      </c>
      <c r="J9" s="538" t="str">
        <f>IF(I9="","",I9+B9)</f>
        <v/>
      </c>
    </row>
    <row r="10" spans="1:11" ht="14.4" x14ac:dyDescent="0.3">
      <c r="A10" s="533" t="s">
        <v>53</v>
      </c>
      <c r="B10" s="528" t="str">
        <f>Subscores!D10</f>
        <v/>
      </c>
      <c r="C10" s="474" t="str">
        <f t="shared" ref="C10:C19" si="0">IF(B10="","",IF(B10&lt;3,"Lower",IF(AND(B10&gt;=3,B10&lt;=7),"Moderate",IF(B10&gt;7,"Higher"))))</f>
        <v/>
      </c>
      <c r="D10" s="475" t="str">
        <f>Subscores!J10</f>
        <v/>
      </c>
      <c r="E10" s="476" t="str">
        <f t="shared" ref="E10:E19" si="1">IF(D10="","",IF(D10&lt;3,"Lower",IF(AND(D10&gt;=3,D10&lt;=7),"Moderate",IF(D10&gt;7,"Higher"))))</f>
        <v/>
      </c>
      <c r="G10" s="471" t="str">
        <f t="shared" ref="G10:G19" si="2">IF(C10="","",IF(C10="Higher", 7, IF(C10="Moderate",4,IF(C10="Lower",1))))</f>
        <v/>
      </c>
      <c r="H10" s="471" t="str">
        <f t="shared" ref="H10:H19" si="3">IF(E10="","",IF(E10="Higher", 3, IF(E10="Moderate",2,IF(E10="Lower",1))))</f>
        <v/>
      </c>
      <c r="I10" s="472" t="str">
        <f t="shared" ref="I10:I19" si="4">IF(OR(G10="",H10=""),"",G10+H10)</f>
        <v/>
      </c>
      <c r="J10" s="538" t="str">
        <f t="shared" ref="J10:J19" si="5">IF(I10="","",I10+B10)</f>
        <v/>
      </c>
    </row>
    <row r="11" spans="1:11" ht="15" thickBot="1" x14ac:dyDescent="0.35">
      <c r="A11" s="534" t="s">
        <v>54</v>
      </c>
      <c r="B11" s="529" t="e">
        <f>Subscores!D14</f>
        <v>#DIV/0!</v>
      </c>
      <c r="C11" s="477" t="e">
        <f t="shared" si="0"/>
        <v>#DIV/0!</v>
      </c>
      <c r="D11" s="478" t="str">
        <f>Subscores!J14</f>
        <v/>
      </c>
      <c r="E11" s="479" t="str">
        <f t="shared" si="1"/>
        <v/>
      </c>
      <c r="G11" s="471" t="e">
        <f t="shared" si="2"/>
        <v>#DIV/0!</v>
      </c>
      <c r="H11" s="471" t="str">
        <f t="shared" si="3"/>
        <v/>
      </c>
      <c r="I11" s="472" t="e">
        <f t="shared" si="4"/>
        <v>#DIV/0!</v>
      </c>
      <c r="J11" s="538" t="e">
        <f t="shared" si="5"/>
        <v>#DIV/0!</v>
      </c>
    </row>
    <row r="12" spans="1:11" ht="14.4" x14ac:dyDescent="0.3">
      <c r="A12" s="532" t="s">
        <v>55</v>
      </c>
      <c r="B12" s="530" t="e">
        <f>Subscores!D24</f>
        <v>#DIV/0!</v>
      </c>
      <c r="C12" s="480" t="e">
        <f t="shared" si="0"/>
        <v>#DIV/0!</v>
      </c>
      <c r="D12" s="469" t="str">
        <f>Subscores!J24</f>
        <v/>
      </c>
      <c r="E12" s="470" t="str">
        <f t="shared" si="1"/>
        <v/>
      </c>
      <c r="G12" s="471" t="e">
        <f t="shared" si="2"/>
        <v>#DIV/0!</v>
      </c>
      <c r="H12" s="471" t="str">
        <f t="shared" si="3"/>
        <v/>
      </c>
      <c r="I12" s="472" t="e">
        <f t="shared" si="4"/>
        <v>#DIV/0!</v>
      </c>
      <c r="J12" s="538" t="e">
        <f t="shared" si="5"/>
        <v>#DIV/0!</v>
      </c>
    </row>
    <row r="13" spans="1:11" ht="15" thickBot="1" x14ac:dyDescent="0.35">
      <c r="A13" s="535" t="s">
        <v>56</v>
      </c>
      <c r="B13" s="529" t="e">
        <f>Subscores!D31</f>
        <v>#DIV/0!</v>
      </c>
      <c r="C13" s="481" t="e">
        <f t="shared" si="0"/>
        <v>#DIV/0!</v>
      </c>
      <c r="D13" s="478" t="str">
        <f>Subscores!J31</f>
        <v/>
      </c>
      <c r="E13" s="482" t="str">
        <f t="shared" si="1"/>
        <v/>
      </c>
      <c r="G13" s="471" t="e">
        <f t="shared" si="2"/>
        <v>#DIV/0!</v>
      </c>
      <c r="H13" s="471" t="str">
        <f t="shared" si="3"/>
        <v/>
      </c>
      <c r="I13" s="472" t="e">
        <f t="shared" si="4"/>
        <v>#DIV/0!</v>
      </c>
      <c r="J13" s="538" t="e">
        <f t="shared" si="5"/>
        <v>#DIV/0!</v>
      </c>
    </row>
    <row r="14" spans="1:11" ht="14.4" x14ac:dyDescent="0.3">
      <c r="A14" s="532" t="s">
        <v>57</v>
      </c>
      <c r="B14" s="530" t="e">
        <f>Subscores!D38</f>
        <v>#DIV/0!</v>
      </c>
      <c r="C14" s="468" t="e">
        <f t="shared" si="0"/>
        <v>#DIV/0!</v>
      </c>
      <c r="D14" s="469" t="str">
        <f>Subscores!J38</f>
        <v/>
      </c>
      <c r="E14" s="483" t="str">
        <f t="shared" si="1"/>
        <v/>
      </c>
      <c r="G14" s="471" t="e">
        <f t="shared" si="2"/>
        <v>#DIV/0!</v>
      </c>
      <c r="H14" s="471" t="str">
        <f t="shared" si="3"/>
        <v/>
      </c>
      <c r="I14" s="472" t="e">
        <f t="shared" si="4"/>
        <v>#DIV/0!</v>
      </c>
      <c r="J14" s="538" t="e">
        <f t="shared" si="5"/>
        <v>#DIV/0!</v>
      </c>
    </row>
    <row r="15" spans="1:11" ht="14.4" x14ac:dyDescent="0.3">
      <c r="A15" s="536" t="s">
        <v>58</v>
      </c>
      <c r="B15" s="528" t="e">
        <f>Subscores!D49</f>
        <v>#DIV/0!</v>
      </c>
      <c r="C15" s="474" t="e">
        <f t="shared" si="0"/>
        <v>#DIV/0!</v>
      </c>
      <c r="D15" s="475" t="str">
        <f>Subscores!J49</f>
        <v/>
      </c>
      <c r="E15" s="476" t="str">
        <f t="shared" si="1"/>
        <v/>
      </c>
      <c r="G15" s="471" t="e">
        <f t="shared" si="2"/>
        <v>#DIV/0!</v>
      </c>
      <c r="H15" s="471" t="str">
        <f t="shared" si="3"/>
        <v/>
      </c>
      <c r="I15" s="472" t="e">
        <f t="shared" si="4"/>
        <v>#DIV/0!</v>
      </c>
      <c r="J15" s="538" t="e">
        <f t="shared" si="5"/>
        <v>#DIV/0!</v>
      </c>
    </row>
    <row r="16" spans="1:11" ht="15" thickBot="1" x14ac:dyDescent="0.35">
      <c r="A16" s="535" t="s">
        <v>59</v>
      </c>
      <c r="B16" s="529" t="str">
        <f>Subscores!D60</f>
        <v/>
      </c>
      <c r="C16" s="477" t="str">
        <f t="shared" si="0"/>
        <v/>
      </c>
      <c r="D16" s="484" t="str">
        <f>Subscores!J60</f>
        <v/>
      </c>
      <c r="E16" s="482" t="str">
        <f t="shared" si="1"/>
        <v/>
      </c>
      <c r="G16" s="471" t="str">
        <f t="shared" si="2"/>
        <v/>
      </c>
      <c r="H16" s="471" t="str">
        <f t="shared" si="3"/>
        <v/>
      </c>
      <c r="I16" s="472" t="str">
        <f t="shared" si="4"/>
        <v/>
      </c>
      <c r="J16" s="538" t="str">
        <f t="shared" si="5"/>
        <v/>
      </c>
    </row>
    <row r="17" spans="1:10" ht="14.4" x14ac:dyDescent="0.3">
      <c r="A17" s="532" t="s">
        <v>60</v>
      </c>
      <c r="B17" s="530" t="str">
        <f>Subscores!D77</f>
        <v/>
      </c>
      <c r="C17" s="480" t="str">
        <f t="shared" si="0"/>
        <v/>
      </c>
      <c r="D17" s="485" t="str">
        <f>Subscores!J77</f>
        <v/>
      </c>
      <c r="E17" s="483" t="str">
        <f t="shared" si="1"/>
        <v/>
      </c>
      <c r="G17" s="471" t="str">
        <f t="shared" si="2"/>
        <v/>
      </c>
      <c r="H17" s="471" t="str">
        <f t="shared" si="3"/>
        <v/>
      </c>
      <c r="I17" s="472" t="str">
        <f t="shared" si="4"/>
        <v/>
      </c>
      <c r="J17" s="538" t="str">
        <f t="shared" si="5"/>
        <v/>
      </c>
    </row>
    <row r="18" spans="1:10" ht="14.4" x14ac:dyDescent="0.3">
      <c r="A18" s="536" t="s">
        <v>61</v>
      </c>
      <c r="B18" s="528" t="e">
        <f>Subscores!D87</f>
        <v>#DIV/0!</v>
      </c>
      <c r="C18" s="474" t="e">
        <f t="shared" si="0"/>
        <v>#DIV/0!</v>
      </c>
      <c r="D18" s="475" t="str">
        <f>Subscores!J87</f>
        <v/>
      </c>
      <c r="E18" s="476" t="str">
        <f t="shared" si="1"/>
        <v/>
      </c>
      <c r="G18" s="471" t="e">
        <f t="shared" si="2"/>
        <v>#DIV/0!</v>
      </c>
      <c r="H18" s="471" t="str">
        <f t="shared" si="3"/>
        <v/>
      </c>
      <c r="I18" s="472" t="e">
        <f t="shared" si="4"/>
        <v>#DIV/0!</v>
      </c>
      <c r="J18" s="538" t="e">
        <f t="shared" si="5"/>
        <v>#DIV/0!</v>
      </c>
    </row>
    <row r="19" spans="1:10" ht="15" thickBot="1" x14ac:dyDescent="0.35">
      <c r="A19" s="537" t="s">
        <v>62</v>
      </c>
      <c r="B19" s="531" t="e">
        <f>Subscores!D100</f>
        <v>#DIV/0!</v>
      </c>
      <c r="C19" s="481" t="e">
        <f t="shared" si="0"/>
        <v>#DIV/0!</v>
      </c>
      <c r="D19" s="484" t="str">
        <f>Subscores!J100</f>
        <v/>
      </c>
      <c r="E19" s="479" t="str">
        <f t="shared" si="1"/>
        <v/>
      </c>
      <c r="G19" s="471" t="e">
        <f t="shared" si="2"/>
        <v>#DIV/0!</v>
      </c>
      <c r="H19" s="471" t="str">
        <f t="shared" si="3"/>
        <v/>
      </c>
      <c r="I19" s="472" t="e">
        <f t="shared" si="4"/>
        <v>#DIV/0!</v>
      </c>
      <c r="J19" s="538" t="e">
        <f t="shared" si="5"/>
        <v>#DIV/0!</v>
      </c>
    </row>
    <row r="20" spans="1:10" ht="10.95" customHeight="1" thickBot="1" x14ac:dyDescent="0.35">
      <c r="A20" s="487"/>
      <c r="B20" s="488"/>
      <c r="C20" s="488"/>
      <c r="D20" s="489"/>
      <c r="E20" s="489"/>
    </row>
    <row r="21" spans="1:10" ht="44.25" customHeight="1" thickBot="1" x14ac:dyDescent="0.35">
      <c r="A21" s="458" t="s">
        <v>52</v>
      </c>
      <c r="B21" s="1053" t="s">
        <v>408</v>
      </c>
      <c r="C21" s="1054"/>
      <c r="D21" s="521" t="s">
        <v>406</v>
      </c>
      <c r="E21" s="462" t="s">
        <v>407</v>
      </c>
    </row>
    <row r="22" spans="1:10" ht="15.75" customHeight="1" x14ac:dyDescent="0.3">
      <c r="A22" s="524" t="s">
        <v>201</v>
      </c>
      <c r="B22" s="1055" t="str">
        <f>IFERROR(INDEX(A9:A11,MATCH(MAX(J9:J11),J9:J11,0)),"")</f>
        <v/>
      </c>
      <c r="C22" s="1056"/>
      <c r="D22" s="467" t="str">
        <f>IFERROR(INDEX(C9:C11,MATCH(MAX(J9:J11),J9:J11,0)),"")</f>
        <v/>
      </c>
      <c r="E22" s="522" t="str">
        <f>IFERROR(INDEX(E9:E11,MATCH(MAX(J9:J11),J9:J11,0)),"")</f>
        <v/>
      </c>
      <c r="F22" s="523"/>
    </row>
    <row r="23" spans="1:10" ht="15.75" customHeight="1" x14ac:dyDescent="0.3">
      <c r="A23" s="525" t="s">
        <v>202</v>
      </c>
      <c r="B23" s="1057" t="str">
        <f>IFERROR(INDEX(A12:A13,MATCH(MAX(J12:J13),J12:J13,0)),"")</f>
        <v/>
      </c>
      <c r="C23" s="1058"/>
      <c r="D23" s="473" t="str">
        <f>IFERROR(INDEX(C12:C13,MATCH(MAX(J12:J13),J12:J13,0)),"")</f>
        <v/>
      </c>
      <c r="E23" s="490" t="str">
        <f>IFERROR(INDEX(E12:E13,MATCH(MAX(J12:J13),J12:J13,0)),"")</f>
        <v/>
      </c>
    </row>
    <row r="24" spans="1:10" ht="15.75" customHeight="1" x14ac:dyDescent="0.3">
      <c r="A24" s="525" t="s">
        <v>203</v>
      </c>
      <c r="B24" s="1057" t="str">
        <f>IFERROR(INDEX(A14:A16,MATCH(MAX(J14:J16),J14:J16,0)),"")</f>
        <v/>
      </c>
      <c r="C24" s="1058"/>
      <c r="D24" s="473" t="str">
        <f>IFERROR(INDEX(C14:C16,MATCH(MAX(J14:J16),J14:J16,0)),"")</f>
        <v/>
      </c>
      <c r="E24" s="490" t="str">
        <f>IFERROR(INDEX(E14:E16,MATCH(MAX(J14:J16),J14:J16,0)),"")</f>
        <v/>
      </c>
    </row>
    <row r="25" spans="1:10" ht="15.75" customHeight="1" thickBot="1" x14ac:dyDescent="0.35">
      <c r="A25" s="526" t="s">
        <v>204</v>
      </c>
      <c r="B25" s="1059" t="str">
        <f>IFERROR(INDEX(A17:A19,MATCH(MAX(J17:J19),J17:J19,0)),"")</f>
        <v/>
      </c>
      <c r="C25" s="1060"/>
      <c r="D25" s="486" t="str">
        <f>IFERROR(INDEX(C17:C19,MATCH(MAX(J17:J19),J17:J19,0)),"")</f>
        <v/>
      </c>
      <c r="E25" s="491" t="str">
        <f>IFERROR(INDEX(E17:E19,MATCH(MAX(J17:J19),J17:J19,0)),"")</f>
        <v/>
      </c>
    </row>
    <row r="26" spans="1:10" ht="13.8" x14ac:dyDescent="0.3">
      <c r="A26" s="492"/>
      <c r="B26" s="493"/>
      <c r="C26" s="493"/>
      <c r="D26" s="492"/>
      <c r="E26" s="492"/>
    </row>
    <row r="27" spans="1:10" x14ac:dyDescent="0.3">
      <c r="A27" s="1036" t="s">
        <v>510</v>
      </c>
      <c r="B27" s="1037"/>
      <c r="C27" s="1037"/>
      <c r="D27" s="1037"/>
      <c r="E27" s="1038"/>
      <c r="F27" s="494"/>
      <c r="G27" s="494"/>
      <c r="H27" s="494"/>
    </row>
    <row r="28" spans="1:10" ht="262.2" customHeight="1" x14ac:dyDescent="0.3">
      <c r="A28" s="1039"/>
      <c r="B28" s="1040"/>
      <c r="C28" s="1040"/>
      <c r="D28" s="1040"/>
      <c r="E28" s="1041"/>
      <c r="F28" s="495"/>
      <c r="G28" s="495"/>
      <c r="H28" s="495"/>
    </row>
    <row r="29" spans="1:10" x14ac:dyDescent="0.25">
      <c r="E29" s="494"/>
      <c r="F29" s="494"/>
      <c r="G29" s="494"/>
      <c r="H29" s="494"/>
    </row>
    <row r="30" spans="1:10" ht="14.4" x14ac:dyDescent="0.25">
      <c r="E30" s="494"/>
      <c r="F30" s="495"/>
      <c r="G30" s="495"/>
      <c r="H30" s="495"/>
    </row>
  </sheetData>
  <sheetProtection algorithmName="SHA-512" hashValue="Rif2BfOWsSo6Pq7wPP1NhsneYxjH15XsE3OB7G8/B2eOX/DQZznAp2r0nx3YQM+Z27G/MZQp+eElYTVyBkfAcw==" saltValue="kH2Qj2J9IafmpGuVYEYdJQ==" spinCount="100000" sheet="1" objects="1" scenarios="1"/>
  <customSheetViews>
    <customSheetView guid="{6A4D8547-5570-4765-8A78-68572E1AC55E}" hiddenColumns="1">
      <selection activeCell="E12" sqref="E12"/>
      <pageMargins left="0.7" right="0.7" top="0.75" bottom="0.75" header="0.3" footer="0.3"/>
      <pageSetup scale="67" orientation="portrait" r:id="rId1"/>
    </customSheetView>
    <customSheetView guid="{76D76C6A-AC69-4DBD-AC07-822026509EDA}" showPageBreaks="1" printArea="1" hiddenColumns="1">
      <selection activeCell="E12" sqref="E12"/>
      <pageMargins left="0.7" right="0.7" top="0.75" bottom="0.75" header="0.3" footer="0.3"/>
      <pageSetup scale="67" orientation="portrait" r:id="rId2"/>
    </customSheetView>
    <customSheetView guid="{DFF357C0-9B7E-407D-BC84-93A50AD2B553}" showPageBreaks="1" printArea="1" hiddenColumns="1">
      <selection activeCell="E12" sqref="E12"/>
      <pageMargins left="0.7" right="0.7" top="0.75" bottom="0.75" header="0.3" footer="0.3"/>
      <pageSetup scale="67" orientation="portrait" r:id="rId3"/>
    </customSheetView>
    <customSheetView guid="{D0935927-5E0F-4648-A725-887C75D046FC}" showPageBreaks="1" printArea="1" hiddenColumns="1">
      <selection activeCell="E12" sqref="E12"/>
      <pageMargins left="0.7" right="0.7" top="0.75" bottom="0.75" header="0.3" footer="0.3"/>
      <pageSetup scale="67" orientation="portrait" r:id="rId4"/>
    </customSheetView>
  </customSheetViews>
  <mergeCells count="10">
    <mergeCell ref="A27:E28"/>
    <mergeCell ref="C6:D6"/>
    <mergeCell ref="B3:E3"/>
    <mergeCell ref="B4:E4"/>
    <mergeCell ref="B5:E5"/>
    <mergeCell ref="B21:C21"/>
    <mergeCell ref="B22:C22"/>
    <mergeCell ref="B23:C23"/>
    <mergeCell ref="B24:C24"/>
    <mergeCell ref="B25:C25"/>
  </mergeCells>
  <pageMargins left="0.7" right="0.7" top="0.75" bottom="0.75" header="0.3" footer="0.3"/>
  <pageSetup scale="98"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S76"/>
  <sheetViews>
    <sheetView zoomScaleNormal="100" zoomScaleSheetLayoutView="80" workbookViewId="0">
      <selection sqref="A1:D1"/>
    </sheetView>
  </sheetViews>
  <sheetFormatPr defaultColWidth="8.88671875" defaultRowHeight="13.2" x14ac:dyDescent="0.25"/>
  <cols>
    <col min="1" max="4" width="8.6640625" style="170" customWidth="1"/>
    <col min="5" max="5" width="11.88671875" style="170" customWidth="1"/>
    <col min="6" max="6" width="6.5546875" style="170" customWidth="1"/>
    <col min="7" max="7" width="9.5546875" style="170" customWidth="1"/>
    <col min="8" max="19" width="8.6640625" style="170" customWidth="1"/>
    <col min="20" max="16384" width="8.88671875" style="170"/>
  </cols>
  <sheetData>
    <row r="1" spans="1:14" ht="14.25" customHeight="1" x14ac:dyDescent="0.3">
      <c r="A1" s="1110" t="s">
        <v>276</v>
      </c>
      <c r="B1" s="1111"/>
      <c r="C1" s="1111"/>
      <c r="D1" s="1111"/>
      <c r="E1" s="1110" t="s">
        <v>546</v>
      </c>
      <c r="F1" s="1111"/>
      <c r="G1" s="1112" t="s">
        <v>544</v>
      </c>
      <c r="H1" s="1113"/>
      <c r="I1" s="1113"/>
      <c r="J1" s="661" t="str">
        <f>IF('Cover Page'!B9="","",'Cover Page'!B9)</f>
        <v/>
      </c>
      <c r="K1" s="20"/>
      <c r="L1" s="659"/>
      <c r="M1" s="169"/>
      <c r="N1" s="169"/>
    </row>
    <row r="2" spans="1:14" ht="7.5" customHeight="1" x14ac:dyDescent="0.3">
      <c r="A2" s="660"/>
      <c r="B2" s="660"/>
      <c r="C2" s="660"/>
      <c r="D2" s="660"/>
      <c r="E2" s="660"/>
      <c r="F2" s="660"/>
      <c r="G2" s="660"/>
      <c r="H2" s="660"/>
      <c r="I2" s="660"/>
      <c r="J2" s="660"/>
      <c r="K2" s="660"/>
      <c r="L2" s="660"/>
      <c r="M2" s="171"/>
      <c r="N2" s="171"/>
    </row>
    <row r="3" spans="1:14" ht="24" customHeight="1" x14ac:dyDescent="0.25">
      <c r="A3" s="1102" t="s">
        <v>135</v>
      </c>
      <c r="B3" s="1102"/>
      <c r="C3" s="1103" t="str">
        <f>IF('Cover Page'!B4="","",'Cover Page'!B4)</f>
        <v/>
      </c>
      <c r="D3" s="1104"/>
      <c r="E3" s="1105"/>
      <c r="F3" s="301" t="s">
        <v>321</v>
      </c>
      <c r="G3" s="669" t="str">
        <f>IF('Cover Page'!E4="","",'Cover Page'!E4)</f>
        <v/>
      </c>
      <c r="H3" s="300" t="s">
        <v>322</v>
      </c>
      <c r="I3" s="1106" t="str">
        <f>IF('Cover Page'!B5="","",'Cover Page'!B5)</f>
        <v/>
      </c>
      <c r="J3" s="1106"/>
      <c r="K3" s="1106"/>
      <c r="L3" s="1106"/>
      <c r="M3" s="172"/>
      <c r="N3" s="172"/>
    </row>
    <row r="4" spans="1:14" ht="7.5" customHeight="1" x14ac:dyDescent="0.3">
      <c r="A4" s="173"/>
      <c r="B4" s="174"/>
      <c r="C4" s="297"/>
      <c r="D4" s="297"/>
      <c r="E4" s="298"/>
      <c r="F4" s="175"/>
      <c r="G4" s="297"/>
      <c r="H4" s="173"/>
      <c r="I4" s="299"/>
      <c r="J4" s="174"/>
      <c r="K4" s="297"/>
      <c r="L4" s="175"/>
      <c r="M4" s="175"/>
      <c r="N4" s="175"/>
    </row>
    <row r="5" spans="1:14" ht="14.25" customHeight="1" x14ac:dyDescent="0.25">
      <c r="A5" s="1114" t="s">
        <v>357</v>
      </c>
      <c r="B5" s="1114"/>
      <c r="C5" s="1114"/>
      <c r="D5" s="1114"/>
      <c r="E5" s="1114"/>
      <c r="F5" s="1114"/>
      <c r="G5" s="1114"/>
      <c r="H5" s="1114"/>
      <c r="I5" s="1114"/>
      <c r="J5" s="1114"/>
      <c r="K5" s="1114"/>
      <c r="L5" s="1114"/>
      <c r="M5" s="176"/>
      <c r="N5" s="176"/>
    </row>
    <row r="6" spans="1:14" ht="21.75" customHeight="1" x14ac:dyDescent="0.25">
      <c r="A6" s="1114"/>
      <c r="B6" s="1114"/>
      <c r="C6" s="1114"/>
      <c r="D6" s="1114"/>
      <c r="E6" s="1114"/>
      <c r="F6" s="1114"/>
      <c r="G6" s="1114"/>
      <c r="H6" s="1114"/>
      <c r="I6" s="1114"/>
      <c r="J6" s="1114"/>
      <c r="K6" s="1114"/>
      <c r="L6" s="1114"/>
      <c r="M6" s="176"/>
      <c r="N6" s="176"/>
    </row>
    <row r="7" spans="1:14" ht="12" customHeight="1" thickBot="1" x14ac:dyDescent="0.3">
      <c r="A7" s="177"/>
      <c r="B7" s="239"/>
      <c r="C7" s="177"/>
      <c r="D7" s="239"/>
      <c r="E7" s="177"/>
      <c r="F7" s="239"/>
      <c r="G7" s="238"/>
      <c r="H7" s="238"/>
      <c r="I7" s="177"/>
      <c r="J7" s="239"/>
      <c r="K7" s="238"/>
      <c r="L7" s="177"/>
      <c r="M7" s="176"/>
      <c r="N7" s="176"/>
    </row>
    <row r="8" spans="1:14" ht="14.25" customHeight="1" x14ac:dyDescent="0.3">
      <c r="A8" s="1115" t="s">
        <v>362</v>
      </c>
      <c r="B8" s="1116"/>
      <c r="C8" s="1116"/>
      <c r="D8" s="1116"/>
      <c r="E8" s="1116"/>
      <c r="F8" s="1116"/>
      <c r="G8" s="1116"/>
      <c r="H8" s="1116"/>
      <c r="I8" s="1116"/>
      <c r="J8" s="1116"/>
      <c r="K8" s="1116"/>
      <c r="L8" s="1117"/>
      <c r="M8" s="178"/>
      <c r="N8" s="178"/>
    </row>
    <row r="9" spans="1:14" ht="14.25" customHeight="1" x14ac:dyDescent="0.3">
      <c r="A9" s="1093"/>
      <c r="B9" s="1094"/>
      <c r="C9" s="1094"/>
      <c r="D9" s="1094"/>
      <c r="E9" s="1094"/>
      <c r="F9" s="1094"/>
      <c r="G9" s="1094"/>
      <c r="H9" s="1094"/>
      <c r="I9" s="1094"/>
      <c r="J9" s="1094"/>
      <c r="K9" s="1094"/>
      <c r="L9" s="1095"/>
      <c r="M9" s="169"/>
      <c r="N9" s="169"/>
    </row>
    <row r="10" spans="1:14" ht="14.25" customHeight="1" x14ac:dyDescent="0.3">
      <c r="A10" s="1096"/>
      <c r="B10" s="1097"/>
      <c r="C10" s="1097"/>
      <c r="D10" s="1097"/>
      <c r="E10" s="1097"/>
      <c r="F10" s="1097"/>
      <c r="G10" s="1097"/>
      <c r="H10" s="1097"/>
      <c r="I10" s="1097"/>
      <c r="J10" s="1097"/>
      <c r="K10" s="1097"/>
      <c r="L10" s="1098"/>
      <c r="M10" s="169"/>
      <c r="N10" s="169"/>
    </row>
    <row r="11" spans="1:14" ht="14.25" customHeight="1" x14ac:dyDescent="0.3">
      <c r="A11" s="1099"/>
      <c r="B11" s="1100"/>
      <c r="C11" s="1100"/>
      <c r="D11" s="1100"/>
      <c r="E11" s="1100"/>
      <c r="F11" s="1100"/>
      <c r="G11" s="1100"/>
      <c r="H11" s="1100"/>
      <c r="I11" s="1100"/>
      <c r="J11" s="1100"/>
      <c r="K11" s="1100"/>
      <c r="L11" s="1101"/>
      <c r="M11" s="169"/>
      <c r="N11" s="169"/>
    </row>
    <row r="12" spans="1:14" ht="14.25" customHeight="1" x14ac:dyDescent="0.3">
      <c r="A12" s="1107" t="s">
        <v>363</v>
      </c>
      <c r="B12" s="1108"/>
      <c r="C12" s="1108"/>
      <c r="D12" s="1108"/>
      <c r="E12" s="1108"/>
      <c r="F12" s="1108"/>
      <c r="G12" s="1108"/>
      <c r="H12" s="1108"/>
      <c r="I12" s="1108"/>
      <c r="J12" s="1108"/>
      <c r="K12" s="1108"/>
      <c r="L12" s="1109"/>
      <c r="M12" s="178"/>
      <c r="N12" s="178"/>
    </row>
    <row r="13" spans="1:14" ht="22.5" customHeight="1" thickBot="1" x14ac:dyDescent="0.35">
      <c r="A13" s="1089"/>
      <c r="B13" s="1090"/>
      <c r="C13" s="1090"/>
      <c r="D13" s="1090"/>
      <c r="E13" s="1090"/>
      <c r="F13" s="1090"/>
      <c r="G13" s="1090"/>
      <c r="H13" s="1090"/>
      <c r="I13" s="1090"/>
      <c r="J13" s="1090"/>
      <c r="K13" s="1090"/>
      <c r="L13" s="1091"/>
      <c r="M13" s="179"/>
      <c r="N13" s="179"/>
    </row>
    <row r="14" spans="1:14" ht="12" customHeight="1" thickBot="1" x14ac:dyDescent="0.35">
      <c r="A14" s="180"/>
      <c r="B14" s="240"/>
      <c r="C14" s="240"/>
      <c r="D14" s="240"/>
      <c r="E14" s="240"/>
      <c r="F14" s="240"/>
      <c r="G14" s="240"/>
      <c r="H14" s="240"/>
      <c r="I14" s="240"/>
      <c r="J14" s="241"/>
      <c r="K14" s="180"/>
      <c r="L14" s="240"/>
      <c r="M14" s="180"/>
      <c r="N14" s="180"/>
    </row>
    <row r="15" spans="1:14" ht="118.5" customHeight="1" x14ac:dyDescent="0.3">
      <c r="A15" s="1084" t="s">
        <v>358</v>
      </c>
      <c r="B15" s="1085"/>
      <c r="C15" s="1085"/>
      <c r="D15" s="1085"/>
      <c r="E15" s="1085"/>
      <c r="F15" s="1085"/>
      <c r="G15" s="1085"/>
      <c r="H15" s="1085"/>
      <c r="I15" s="1085"/>
      <c r="J15" s="1085"/>
      <c r="K15" s="1085"/>
      <c r="L15" s="1086"/>
      <c r="M15" s="180"/>
      <c r="N15" s="180"/>
    </row>
    <row r="16" spans="1:14" ht="12" customHeight="1" x14ac:dyDescent="0.3">
      <c r="A16" s="181"/>
      <c r="B16" s="254"/>
      <c r="C16" s="256"/>
      <c r="D16" s="255"/>
      <c r="E16" s="180"/>
      <c r="F16" s="256"/>
      <c r="G16" s="255"/>
      <c r="H16" s="180"/>
      <c r="I16" s="254"/>
      <c r="J16" s="256"/>
      <c r="K16" s="262"/>
      <c r="L16" s="263"/>
      <c r="M16" s="180"/>
      <c r="N16" s="180"/>
    </row>
    <row r="17" spans="1:19" ht="14.25" customHeight="1" x14ac:dyDescent="0.3">
      <c r="A17" s="243"/>
      <c r="B17" s="1075" t="s">
        <v>277</v>
      </c>
      <c r="C17" s="1076"/>
      <c r="D17" s="1076"/>
      <c r="E17" s="1076"/>
      <c r="F17" s="1076"/>
      <c r="G17" s="1076"/>
      <c r="H17" s="1077"/>
      <c r="I17" s="1092"/>
      <c r="J17" s="1092"/>
      <c r="K17" s="261"/>
      <c r="L17" s="260"/>
      <c r="M17" s="1079"/>
      <c r="N17" s="1079"/>
      <c r="O17" s="1079"/>
      <c r="P17" s="1079"/>
      <c r="Q17" s="1079"/>
      <c r="R17" s="1080"/>
      <c r="S17" s="1080"/>
    </row>
    <row r="18" spans="1:19" ht="14.4" x14ac:dyDescent="0.3">
      <c r="A18" s="182"/>
      <c r="B18" s="1075" t="s">
        <v>278</v>
      </c>
      <c r="C18" s="1076"/>
      <c r="D18" s="1076"/>
      <c r="E18" s="1076"/>
      <c r="F18" s="1076"/>
      <c r="G18" s="1076"/>
      <c r="H18" s="1077"/>
      <c r="I18" s="1088"/>
      <c r="J18" s="1088"/>
      <c r="K18" s="257"/>
      <c r="L18" s="185"/>
      <c r="M18" s="1079"/>
      <c r="N18" s="1079"/>
      <c r="O18" s="1079"/>
      <c r="P18" s="1079"/>
      <c r="Q18" s="1079"/>
      <c r="R18" s="1080"/>
      <c r="S18" s="1080"/>
    </row>
    <row r="19" spans="1:19" ht="14.4" x14ac:dyDescent="0.3">
      <c r="A19" s="242"/>
      <c r="B19" s="1075" t="s">
        <v>549</v>
      </c>
      <c r="C19" s="1076"/>
      <c r="D19" s="1076"/>
      <c r="E19" s="1076"/>
      <c r="F19" s="1076"/>
      <c r="G19" s="1076"/>
      <c r="H19" s="1077"/>
      <c r="I19" s="1088"/>
      <c r="J19" s="1088"/>
      <c r="K19" s="258"/>
      <c r="L19" s="259"/>
      <c r="M19" s="1079"/>
      <c r="N19" s="1079"/>
      <c r="O19" s="1079"/>
      <c r="P19" s="1079"/>
      <c r="Q19" s="1079"/>
      <c r="R19" s="1080"/>
      <c r="S19" s="1080"/>
    </row>
    <row r="20" spans="1:19" ht="12" customHeight="1" x14ac:dyDescent="0.3">
      <c r="A20" s="244"/>
      <c r="B20" s="247"/>
      <c r="C20" s="246"/>
      <c r="D20" s="246"/>
      <c r="E20" s="247"/>
      <c r="F20" s="180"/>
      <c r="G20" s="267"/>
      <c r="H20" s="1081"/>
      <c r="I20" s="1081"/>
      <c r="J20" s="1081"/>
      <c r="K20" s="1082"/>
      <c r="L20" s="259"/>
    </row>
    <row r="21" spans="1:19" ht="14.25" customHeight="1" x14ac:dyDescent="0.3">
      <c r="A21" s="182"/>
      <c r="B21" s="1074" t="s">
        <v>279</v>
      </c>
      <c r="C21" s="1074"/>
      <c r="D21" s="1074"/>
      <c r="E21" s="1074"/>
      <c r="F21" s="248"/>
      <c r="G21" s="268"/>
      <c r="H21" s="1074" t="s">
        <v>280</v>
      </c>
      <c r="I21" s="1074"/>
      <c r="J21" s="1074" t="s">
        <v>281</v>
      </c>
      <c r="K21" s="1074"/>
      <c r="L21" s="265"/>
    </row>
    <row r="22" spans="1:19" ht="14.25" customHeight="1" x14ac:dyDescent="0.3">
      <c r="A22" s="243"/>
      <c r="B22" s="186" t="s">
        <v>282</v>
      </c>
      <c r="C22" s="186" t="s">
        <v>283</v>
      </c>
      <c r="D22" s="186" t="s">
        <v>284</v>
      </c>
      <c r="E22" s="187" t="s">
        <v>285</v>
      </c>
      <c r="F22" s="249"/>
      <c r="G22" s="188" t="s">
        <v>286</v>
      </c>
      <c r="H22" s="1062"/>
      <c r="I22" s="1063"/>
      <c r="J22" s="1062"/>
      <c r="K22" s="1063"/>
      <c r="L22" s="185"/>
    </row>
    <row r="23" spans="1:19" ht="14.25" customHeight="1" x14ac:dyDescent="0.3">
      <c r="A23" s="243"/>
      <c r="B23" s="187" t="s">
        <v>287</v>
      </c>
      <c r="C23" s="296"/>
      <c r="D23" s="302"/>
      <c r="E23" s="1087"/>
      <c r="F23" s="250"/>
      <c r="G23" s="188" t="s">
        <v>288</v>
      </c>
      <c r="H23" s="1062"/>
      <c r="I23" s="1063"/>
      <c r="J23" s="1062"/>
      <c r="K23" s="1063"/>
      <c r="L23" s="264"/>
    </row>
    <row r="24" spans="1:19" ht="14.25" customHeight="1" x14ac:dyDescent="0.3">
      <c r="A24" s="243"/>
      <c r="B24" s="187" t="s">
        <v>289</v>
      </c>
      <c r="C24" s="296"/>
      <c r="D24" s="302"/>
      <c r="E24" s="1087"/>
      <c r="F24" s="180"/>
      <c r="G24" s="188" t="s">
        <v>290</v>
      </c>
      <c r="H24" s="1062"/>
      <c r="I24" s="1063"/>
      <c r="J24" s="1062"/>
      <c r="K24" s="1063"/>
      <c r="L24" s="265"/>
    </row>
    <row r="25" spans="1:19" ht="14.25" customHeight="1" x14ac:dyDescent="0.3">
      <c r="A25" s="181"/>
      <c r="B25" s="187" t="s">
        <v>291</v>
      </c>
      <c r="C25" s="296"/>
      <c r="D25" s="302"/>
      <c r="E25" s="1087"/>
      <c r="F25" s="249"/>
      <c r="G25" s="188" t="s">
        <v>292</v>
      </c>
      <c r="H25" s="1062"/>
      <c r="I25" s="1063"/>
      <c r="J25" s="1062"/>
      <c r="K25" s="1063"/>
      <c r="L25" s="184"/>
      <c r="M25" s="180"/>
      <c r="N25" s="180"/>
    </row>
    <row r="26" spans="1:19" ht="9" customHeight="1" thickBot="1" x14ac:dyDescent="0.35">
      <c r="A26" s="245"/>
      <c r="B26" s="253"/>
      <c r="C26" s="190"/>
      <c r="D26" s="252"/>
      <c r="E26" s="191"/>
      <c r="F26" s="251"/>
      <c r="G26" s="272"/>
      <c r="H26" s="253"/>
      <c r="I26" s="253"/>
      <c r="J26" s="190"/>
      <c r="K26" s="253"/>
      <c r="L26" s="266"/>
      <c r="M26" s="180"/>
      <c r="N26" s="180"/>
    </row>
    <row r="27" spans="1:19" ht="12" customHeight="1" thickBot="1" x14ac:dyDescent="0.35">
      <c r="A27" s="192"/>
      <c r="B27" s="269"/>
      <c r="C27" s="271"/>
      <c r="D27" s="175"/>
      <c r="E27" s="270"/>
      <c r="F27" s="270"/>
      <c r="G27" s="240"/>
      <c r="H27" s="273"/>
      <c r="I27" s="273"/>
      <c r="J27" s="273"/>
      <c r="K27" s="273"/>
      <c r="L27" s="273"/>
      <c r="M27" s="193"/>
      <c r="N27" s="193"/>
    </row>
    <row r="28" spans="1:19" ht="98.25" customHeight="1" x14ac:dyDescent="0.25">
      <c r="A28" s="1084" t="s">
        <v>359</v>
      </c>
      <c r="B28" s="1085"/>
      <c r="C28" s="1085"/>
      <c r="D28" s="1085"/>
      <c r="E28" s="1085"/>
      <c r="F28" s="1085"/>
      <c r="G28" s="1085"/>
      <c r="H28" s="1085"/>
      <c r="I28" s="1085"/>
      <c r="J28" s="1085"/>
      <c r="K28" s="1085"/>
      <c r="L28" s="1086"/>
      <c r="M28" s="193"/>
      <c r="N28" s="193"/>
    </row>
    <row r="29" spans="1:19" ht="12" customHeight="1" x14ac:dyDescent="0.3">
      <c r="A29" s="181"/>
      <c r="B29" s="256"/>
      <c r="C29" s="256"/>
      <c r="D29" s="256"/>
      <c r="E29" s="180"/>
      <c r="F29" s="256"/>
      <c r="G29" s="285"/>
      <c r="H29" s="286"/>
      <c r="I29" s="286"/>
      <c r="J29" s="286"/>
      <c r="K29" s="276"/>
      <c r="L29" s="184"/>
      <c r="M29" s="180"/>
      <c r="N29" s="180"/>
    </row>
    <row r="30" spans="1:19" ht="14.25" customHeight="1" x14ac:dyDescent="0.3">
      <c r="A30" s="242"/>
      <c r="B30" s="1083" t="s">
        <v>293</v>
      </c>
      <c r="C30" s="1083"/>
      <c r="D30" s="1083"/>
      <c r="E30" s="1083"/>
      <c r="F30" s="1083"/>
      <c r="G30" s="1083"/>
      <c r="H30" s="1083"/>
      <c r="I30" s="1078"/>
      <c r="J30" s="1078"/>
      <c r="K30" s="258"/>
      <c r="L30" s="274"/>
      <c r="M30" s="180"/>
      <c r="N30" s="180"/>
    </row>
    <row r="31" spans="1:19" ht="15" customHeight="1" x14ac:dyDescent="0.3">
      <c r="A31" s="242"/>
      <c r="B31" s="194" t="s">
        <v>294</v>
      </c>
      <c r="C31" s="194"/>
      <c r="D31" s="194"/>
      <c r="E31" s="194"/>
      <c r="F31" s="194"/>
      <c r="G31" s="667"/>
      <c r="H31" s="668"/>
      <c r="I31" s="1078"/>
      <c r="J31" s="1078"/>
      <c r="K31" s="257"/>
      <c r="L31" s="274"/>
      <c r="N31" s="1061"/>
      <c r="O31" s="1061"/>
      <c r="P31" s="1061"/>
      <c r="Q31" s="1061"/>
      <c r="R31" s="1061"/>
      <c r="S31" s="1061"/>
    </row>
    <row r="32" spans="1:19" ht="14.25" customHeight="1" x14ac:dyDescent="0.3">
      <c r="A32" s="242"/>
      <c r="B32" s="1075" t="s">
        <v>295</v>
      </c>
      <c r="C32" s="1076"/>
      <c r="D32" s="1076"/>
      <c r="E32" s="1076"/>
      <c r="F32" s="1076"/>
      <c r="G32" s="1076"/>
      <c r="H32" s="1077"/>
      <c r="I32" s="1078"/>
      <c r="J32" s="1078"/>
      <c r="K32" s="277"/>
      <c r="L32" s="185"/>
      <c r="N32" s="192"/>
      <c r="O32" s="192"/>
      <c r="P32" s="1061"/>
      <c r="Q32" s="1061"/>
      <c r="R32" s="1061"/>
      <c r="S32" s="1061"/>
    </row>
    <row r="33" spans="1:19" ht="12" customHeight="1" x14ac:dyDescent="0.3">
      <c r="A33" s="244"/>
      <c r="B33" s="291"/>
      <c r="C33" s="292"/>
      <c r="D33" s="195"/>
      <c r="E33" s="291"/>
      <c r="F33" s="293"/>
      <c r="G33" s="281"/>
      <c r="H33" s="280"/>
      <c r="I33" s="279"/>
      <c r="J33" s="279"/>
      <c r="K33" s="278"/>
      <c r="L33" s="259"/>
      <c r="N33" s="192"/>
      <c r="O33" s="192"/>
      <c r="P33" s="175"/>
      <c r="Q33" s="175"/>
      <c r="R33" s="175"/>
      <c r="S33" s="175"/>
    </row>
    <row r="34" spans="1:19" ht="14.25" customHeight="1" x14ac:dyDescent="0.3">
      <c r="A34" s="181"/>
      <c r="B34" s="1064"/>
      <c r="C34" s="1065"/>
      <c r="D34" s="1065"/>
      <c r="E34" s="1066"/>
      <c r="F34" s="282"/>
      <c r="G34" s="268"/>
      <c r="H34" s="1073" t="s">
        <v>280</v>
      </c>
      <c r="I34" s="1073"/>
      <c r="J34" s="1073" t="s">
        <v>281</v>
      </c>
      <c r="K34" s="1074"/>
      <c r="L34" s="265"/>
      <c r="N34" s="192"/>
      <c r="O34" s="192"/>
      <c r="P34" s="1061"/>
      <c r="Q34" s="1061"/>
      <c r="R34" s="1061"/>
      <c r="S34" s="1061"/>
    </row>
    <row r="35" spans="1:19" ht="14.25" customHeight="1" x14ac:dyDescent="0.3">
      <c r="A35" s="242"/>
      <c r="B35" s="1067"/>
      <c r="C35" s="1068"/>
      <c r="D35" s="1068"/>
      <c r="E35" s="1069"/>
      <c r="F35" s="283"/>
      <c r="G35" s="188" t="s">
        <v>286</v>
      </c>
      <c r="H35" s="1062"/>
      <c r="I35" s="1063"/>
      <c r="J35" s="1062"/>
      <c r="K35" s="1063"/>
      <c r="L35" s="185"/>
      <c r="N35" s="180"/>
      <c r="O35" s="180"/>
      <c r="P35" s="1061"/>
      <c r="Q35" s="1061"/>
      <c r="R35" s="1061"/>
      <c r="S35" s="1061"/>
    </row>
    <row r="36" spans="1:19" ht="14.25" customHeight="1" x14ac:dyDescent="0.3">
      <c r="A36" s="242"/>
      <c r="B36" s="1067"/>
      <c r="C36" s="1068"/>
      <c r="D36" s="1068"/>
      <c r="E36" s="1069"/>
      <c r="F36" s="283"/>
      <c r="G36" s="188" t="s">
        <v>288</v>
      </c>
      <c r="H36" s="1062"/>
      <c r="I36" s="1063"/>
      <c r="J36" s="1062"/>
      <c r="K36" s="1063"/>
      <c r="L36" s="275"/>
      <c r="N36" s="180"/>
      <c r="O36" s="180"/>
      <c r="P36" s="1061"/>
      <c r="Q36" s="1061"/>
      <c r="R36" s="1061"/>
      <c r="S36" s="1061"/>
    </row>
    <row r="37" spans="1:19" ht="14.25" customHeight="1" x14ac:dyDescent="0.3">
      <c r="A37" s="242"/>
      <c r="B37" s="1067"/>
      <c r="C37" s="1068"/>
      <c r="D37" s="1068"/>
      <c r="E37" s="1069"/>
      <c r="G37" s="188" t="s">
        <v>290</v>
      </c>
      <c r="H37" s="1062"/>
      <c r="I37" s="1063"/>
      <c r="J37" s="1062"/>
      <c r="K37" s="1063"/>
      <c r="L37" s="184"/>
      <c r="M37" s="180"/>
      <c r="N37" s="180"/>
    </row>
    <row r="38" spans="1:19" ht="14.25" customHeight="1" x14ac:dyDescent="0.3">
      <c r="A38" s="243"/>
      <c r="B38" s="1070"/>
      <c r="C38" s="1071"/>
      <c r="D38" s="1071"/>
      <c r="E38" s="1072"/>
      <c r="F38" s="284"/>
      <c r="G38" s="188" t="s">
        <v>292</v>
      </c>
      <c r="H38" s="1062"/>
      <c r="I38" s="1063"/>
      <c r="J38" s="1062"/>
      <c r="K38" s="1063"/>
      <c r="L38" s="275"/>
    </row>
    <row r="39" spans="1:19" ht="12" customHeight="1" thickBot="1" x14ac:dyDescent="0.3">
      <c r="A39" s="196"/>
      <c r="B39" s="290"/>
      <c r="C39" s="295"/>
      <c r="D39" s="197"/>
      <c r="E39" s="290"/>
      <c r="F39" s="294"/>
      <c r="G39" s="290"/>
      <c r="H39" s="289"/>
      <c r="I39" s="289"/>
      <c r="J39" s="289"/>
      <c r="K39" s="287"/>
      <c r="L39" s="288"/>
    </row>
    <row r="40" spans="1:19" ht="14.25" customHeight="1" x14ac:dyDescent="0.25">
      <c r="H40" s="183"/>
      <c r="I40" s="183"/>
      <c r="J40" s="183"/>
      <c r="K40" s="183"/>
      <c r="L40" s="183"/>
    </row>
    <row r="41" spans="1:19" ht="14.25" customHeight="1" x14ac:dyDescent="0.25">
      <c r="H41" s="183"/>
      <c r="I41" s="183"/>
      <c r="J41" s="183"/>
      <c r="K41" s="183"/>
      <c r="L41" s="183"/>
    </row>
    <row r="42" spans="1:19" ht="14.25" customHeight="1" x14ac:dyDescent="0.25">
      <c r="H42" s="183"/>
      <c r="I42" s="183"/>
      <c r="J42" s="183"/>
      <c r="K42" s="183"/>
      <c r="L42" s="183"/>
    </row>
    <row r="43" spans="1:19" ht="14.25" customHeight="1" x14ac:dyDescent="0.25">
      <c r="H43" s="183"/>
      <c r="I43" s="183"/>
      <c r="J43" s="183"/>
      <c r="K43" s="183"/>
      <c r="L43" s="183"/>
    </row>
    <row r="44" spans="1:19" ht="14.25" customHeight="1" x14ac:dyDescent="0.25">
      <c r="H44" s="183"/>
      <c r="I44" s="183"/>
      <c r="J44" s="183"/>
      <c r="K44" s="183"/>
      <c r="L44" s="183"/>
    </row>
    <row r="45" spans="1:19" ht="14.25" customHeight="1" x14ac:dyDescent="0.25">
      <c r="H45" s="183"/>
      <c r="I45" s="183"/>
      <c r="J45" s="183"/>
      <c r="K45" s="183"/>
      <c r="L45" s="183"/>
    </row>
    <row r="46" spans="1:19" ht="14.25" customHeight="1" x14ac:dyDescent="0.25"/>
    <row r="47" spans="1:19" ht="14.25" customHeight="1" x14ac:dyDescent="0.25"/>
    <row r="48" spans="1: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sheetData>
  <sheetProtection algorithmName="SHA-512" hashValue="OWzjEvm6DtKaVhGmTJsf0e2lXbIkdA2NYTvWAn565KMTps5aamiBv+pZ12TnGNHqJSTgRRTCxW0wVUAckq3c3g==" saltValue="yIw1OVAFIShVXM+6t2zZPQ==" spinCount="100000" sheet="1" objects="1" scenarios="1"/>
  <mergeCells count="65">
    <mergeCell ref="A1:D1"/>
    <mergeCell ref="E1:F1"/>
    <mergeCell ref="G1:I1"/>
    <mergeCell ref="A5:L6"/>
    <mergeCell ref="A8:L8"/>
    <mergeCell ref="A9:L11"/>
    <mergeCell ref="A3:B3"/>
    <mergeCell ref="C3:E3"/>
    <mergeCell ref="I3:L3"/>
    <mergeCell ref="A12:L12"/>
    <mergeCell ref="A13:L13"/>
    <mergeCell ref="B17:H17"/>
    <mergeCell ref="I17:J17"/>
    <mergeCell ref="A15:L15"/>
    <mergeCell ref="B21:E21"/>
    <mergeCell ref="H21:I21"/>
    <mergeCell ref="J21:K21"/>
    <mergeCell ref="B19:H19"/>
    <mergeCell ref="I19:J19"/>
    <mergeCell ref="M17:Q17"/>
    <mergeCell ref="R17:S17"/>
    <mergeCell ref="B18:H18"/>
    <mergeCell ref="I18:J18"/>
    <mergeCell ref="M18:Q18"/>
    <mergeCell ref="R18:S18"/>
    <mergeCell ref="M19:Q19"/>
    <mergeCell ref="R19:S19"/>
    <mergeCell ref="H20:K20"/>
    <mergeCell ref="B30:H30"/>
    <mergeCell ref="I30:J30"/>
    <mergeCell ref="A28:L28"/>
    <mergeCell ref="H22:I22"/>
    <mergeCell ref="J22:K22"/>
    <mergeCell ref="E23:E25"/>
    <mergeCell ref="H23:I23"/>
    <mergeCell ref="J23:K23"/>
    <mergeCell ref="H24:I24"/>
    <mergeCell ref="J24:K24"/>
    <mergeCell ref="H25:I25"/>
    <mergeCell ref="J25:K25"/>
    <mergeCell ref="P31:Q31"/>
    <mergeCell ref="R31:S31"/>
    <mergeCell ref="B32:H32"/>
    <mergeCell ref="I32:J32"/>
    <mergeCell ref="P32:Q32"/>
    <mergeCell ref="R32:S32"/>
    <mergeCell ref="N31:O31"/>
    <mergeCell ref="I31:J31"/>
    <mergeCell ref="P34:Q34"/>
    <mergeCell ref="R34:S34"/>
    <mergeCell ref="H35:I35"/>
    <mergeCell ref="J35:K35"/>
    <mergeCell ref="P35:Q35"/>
    <mergeCell ref="R35:S35"/>
    <mergeCell ref="B34:E38"/>
    <mergeCell ref="H34:I34"/>
    <mergeCell ref="J34:K34"/>
    <mergeCell ref="H36:I36"/>
    <mergeCell ref="J36:K36"/>
    <mergeCell ref="P36:Q36"/>
    <mergeCell ref="R36:S36"/>
    <mergeCell ref="H37:I37"/>
    <mergeCell ref="J37:K37"/>
    <mergeCell ref="H38:I38"/>
    <mergeCell ref="J38:K38"/>
  </mergeCells>
  <dataValidations count="2">
    <dataValidation type="decimal" allowBlank="1" showInputMessage="1" showErrorMessage="1" error="The PAA must be at least 50 feet " promptTitle="Minimum 50 feet" sqref="I17:J17" xr:uid="{93BB05A0-F66F-4A61-8F3D-F7908F5756FB}">
      <formula1>50</formula1>
      <formula2>5000</formula2>
    </dataValidation>
    <dataValidation type="whole" allowBlank="1" showInputMessage="1" showErrorMessage="1" error="The PAA lateral boundary must be at least 50 feet from the stream edge." promptTitle="Minimum 50 feet" sqref="I19:J19" xr:uid="{8E048DB8-7EB9-435E-8283-95F47783BE66}">
      <formula1>50</formula1>
      <formula2>1000</formula2>
    </dataValidation>
  </dataValidations>
  <pageMargins left="0.45" right="0.45" top="0.5" bottom="0.5" header="0.3" footer="0.3"/>
  <pageSetup scale="90" orientation="portrait" horizontalDpi="300" verticalDpi="300" r:id="rId1"/>
  <headerFooter alignWithMargins="0">
    <oddFooter>&amp;C&amp;"-,Regular"SFAM Field Data Form (1 of 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I51"/>
  <sheetViews>
    <sheetView zoomScale="98" zoomScaleNormal="98" zoomScaleSheetLayoutView="80" workbookViewId="0">
      <selection activeCell="D10" sqref="D10"/>
    </sheetView>
  </sheetViews>
  <sheetFormatPr defaultColWidth="9.109375" defaultRowHeight="13.2" x14ac:dyDescent="0.25"/>
  <cols>
    <col min="1" max="1" width="9.109375" style="198" customWidth="1"/>
    <col min="2" max="16" width="7.6640625" style="198" customWidth="1"/>
    <col min="17" max="17" width="7.6640625" style="215" customWidth="1"/>
    <col min="18" max="19" width="7.6640625" style="198" customWidth="1"/>
    <col min="20" max="20" width="4.33203125" style="198" customWidth="1"/>
    <col min="21" max="21" width="13.6640625" style="198" customWidth="1"/>
    <col min="22" max="22" width="22.5546875" style="198" customWidth="1"/>
    <col min="23" max="23" width="5" style="198" customWidth="1"/>
    <col min="24" max="25" width="15.6640625" style="198" customWidth="1"/>
    <col min="26" max="16384" width="9.109375" style="198"/>
  </cols>
  <sheetData>
    <row r="1" spans="1:26" ht="15.75" customHeight="1" x14ac:dyDescent="0.3">
      <c r="A1" s="1154" t="s">
        <v>296</v>
      </c>
      <c r="B1" s="1154"/>
      <c r="C1" s="1154"/>
      <c r="D1" s="1154"/>
      <c r="E1" s="1154"/>
      <c r="F1" s="1154"/>
      <c r="G1" s="1154"/>
      <c r="H1" s="1154" t="s">
        <v>546</v>
      </c>
      <c r="I1" s="1154"/>
      <c r="J1" s="169"/>
      <c r="K1" s="1155" t="s">
        <v>544</v>
      </c>
      <c r="L1" s="1155"/>
      <c r="M1" s="1155"/>
      <c r="N1" s="1156" t="str">
        <f>IF('Cover Page'!B9="","",'Cover Page'!B9)</f>
        <v/>
      </c>
      <c r="O1" s="1156"/>
      <c r="P1" s="1156"/>
      <c r="Q1" s="169"/>
      <c r="R1" s="169"/>
      <c r="S1" s="169"/>
      <c r="T1" s="324"/>
      <c r="U1" s="1124" t="s">
        <v>297</v>
      </c>
      <c r="V1" s="1125"/>
      <c r="X1" s="1118" t="s">
        <v>526</v>
      </c>
      <c r="Y1" s="1119"/>
    </row>
    <row r="2" spans="1:26" ht="18.75" customHeight="1" x14ac:dyDescent="0.3">
      <c r="A2" s="1159" t="s">
        <v>135</v>
      </c>
      <c r="B2" s="1159"/>
      <c r="C2" s="1160" t="str">
        <f>IF('Cover Page'!B4="","",'Cover Page'!B4)</f>
        <v/>
      </c>
      <c r="D2" s="1161"/>
      <c r="E2" s="1161"/>
      <c r="F2" s="1161"/>
      <c r="G2" s="1162"/>
      <c r="H2" s="307" t="s">
        <v>321</v>
      </c>
      <c r="I2" s="1163" t="str">
        <f>IF('Cover Page'!E4="","",'Cover Page'!E4)</f>
        <v/>
      </c>
      <c r="J2" s="1163"/>
      <c r="K2" s="1164"/>
      <c r="L2" s="306" t="s">
        <v>322</v>
      </c>
      <c r="M2" s="1161" t="str">
        <f>IF('Cover Page'!B5="","",'Cover Page'!B5)</f>
        <v/>
      </c>
      <c r="N2" s="1161"/>
      <c r="O2" s="1161"/>
      <c r="P2" s="1161"/>
      <c r="Q2" s="1161"/>
      <c r="R2" s="1161"/>
      <c r="S2" s="1161"/>
      <c r="U2" s="1124"/>
      <c r="V2" s="1125"/>
      <c r="X2" s="1118"/>
      <c r="Y2" s="1119"/>
    </row>
    <row r="3" spans="1:26" ht="5.25" customHeight="1" x14ac:dyDescent="0.3">
      <c r="A3" s="235"/>
      <c r="B3" s="234"/>
      <c r="C3" s="304"/>
      <c r="D3" s="304"/>
      <c r="E3" s="305"/>
      <c r="F3" s="180"/>
      <c r="G3" s="304"/>
      <c r="H3" s="236"/>
      <c r="I3" s="180"/>
      <c r="J3" s="303"/>
      <c r="K3" s="304"/>
      <c r="L3" s="234"/>
      <c r="M3" s="308"/>
      <c r="N3" s="180"/>
      <c r="O3" s="304"/>
      <c r="P3" s="304"/>
      <c r="Q3" s="297"/>
      <c r="R3" s="304"/>
      <c r="S3" s="303"/>
      <c r="T3" s="319"/>
      <c r="U3" s="577"/>
      <c r="V3" s="578"/>
      <c r="X3" s="1118"/>
      <c r="Y3" s="1119"/>
    </row>
    <row r="4" spans="1:26" ht="28.95" customHeight="1" x14ac:dyDescent="0.3">
      <c r="A4" s="1144" t="s">
        <v>514</v>
      </c>
      <c r="B4" s="1144"/>
      <c r="C4" s="1144"/>
      <c r="D4" s="1144"/>
      <c r="E4" s="1144"/>
      <c r="F4" s="1144"/>
      <c r="G4" s="1144"/>
      <c r="H4" s="1144"/>
      <c r="I4" s="1144"/>
      <c r="J4" s="1144"/>
      <c r="K4" s="1144"/>
      <c r="L4" s="1144"/>
      <c r="M4" s="1144"/>
      <c r="N4" s="1144"/>
      <c r="O4" s="1144"/>
      <c r="P4" s="1144"/>
      <c r="Q4" s="1144"/>
      <c r="R4" s="1144"/>
      <c r="S4" s="1144"/>
      <c r="T4" s="319"/>
      <c r="U4" s="1124"/>
      <c r="V4" s="1125"/>
      <c r="W4" s="353"/>
      <c r="X4" s="1118"/>
      <c r="Y4" s="1119"/>
      <c r="Z4" s="352"/>
    </row>
    <row r="5" spans="1:26" ht="7.95" customHeight="1" thickBot="1" x14ac:dyDescent="0.35">
      <c r="A5" s="180"/>
      <c r="B5" s="304"/>
      <c r="C5" s="304"/>
      <c r="D5" s="304"/>
      <c r="E5" s="180"/>
      <c r="F5" s="304"/>
      <c r="G5" s="304"/>
      <c r="H5" s="180"/>
      <c r="I5" s="304"/>
      <c r="J5" s="180"/>
      <c r="K5" s="304"/>
      <c r="L5" s="304"/>
      <c r="M5" s="304"/>
      <c r="N5" s="304"/>
      <c r="O5" s="304"/>
      <c r="P5" s="304"/>
      <c r="Q5" s="174"/>
      <c r="R5" s="309"/>
      <c r="S5" s="309"/>
      <c r="T5" s="316"/>
      <c r="U5" s="199"/>
      <c r="V5" s="200"/>
      <c r="W5" s="180"/>
      <c r="X5" s="1118"/>
      <c r="Y5" s="1119"/>
      <c r="Z5" s="181"/>
    </row>
    <row r="6" spans="1:26" ht="13.95" customHeight="1" thickBot="1" x14ac:dyDescent="0.35">
      <c r="A6" s="1236" t="s">
        <v>450</v>
      </c>
      <c r="B6" s="1237"/>
      <c r="C6" s="1242" t="s">
        <v>418</v>
      </c>
      <c r="D6" s="1203"/>
      <c r="E6" s="1203"/>
      <c r="F6" s="1203"/>
      <c r="G6" s="1153" t="s">
        <v>449</v>
      </c>
      <c r="H6" s="1246" t="s">
        <v>448</v>
      </c>
      <c r="I6" s="1246"/>
      <c r="J6" s="1246"/>
      <c r="K6" s="1247"/>
      <c r="L6" s="1126" t="s">
        <v>489</v>
      </c>
      <c r="M6" s="1127"/>
      <c r="N6" s="1127"/>
      <c r="O6" s="1128"/>
      <c r="P6" s="1252" t="s">
        <v>490</v>
      </c>
      <c r="Q6" s="1246"/>
      <c r="R6" s="1246"/>
      <c r="S6" s="1253"/>
      <c r="T6" s="316"/>
      <c r="U6" s="1145" t="s">
        <v>420</v>
      </c>
      <c r="V6" s="1146"/>
      <c r="W6" s="354"/>
      <c r="X6" s="1147" t="s">
        <v>421</v>
      </c>
      <c r="Y6" s="1148"/>
      <c r="Z6" s="181"/>
    </row>
    <row r="7" spans="1:26" ht="13.95" customHeight="1" thickTop="1" thickBot="1" x14ac:dyDescent="0.35">
      <c r="A7" s="1238"/>
      <c r="B7" s="1239"/>
      <c r="C7" s="1243"/>
      <c r="D7" s="1206"/>
      <c r="E7" s="1206"/>
      <c r="F7" s="1206"/>
      <c r="G7" s="1153"/>
      <c r="H7" s="1248"/>
      <c r="I7" s="1248"/>
      <c r="J7" s="1248"/>
      <c r="K7" s="1249"/>
      <c r="L7" s="1129"/>
      <c r="M7" s="1130"/>
      <c r="N7" s="1130"/>
      <c r="O7" s="1131"/>
      <c r="P7" s="1254"/>
      <c r="Q7" s="1248"/>
      <c r="R7" s="1248"/>
      <c r="S7" s="1255"/>
      <c r="T7" s="316"/>
      <c r="U7" s="201" t="s">
        <v>323</v>
      </c>
      <c r="V7" s="202" t="s">
        <v>298</v>
      </c>
      <c r="W7" s="175"/>
      <c r="X7" s="1149" t="e">
        <f>ROUND(V8,0)</f>
        <v>#DIV/0!</v>
      </c>
      <c r="Y7" s="1150"/>
      <c r="Z7" s="181"/>
    </row>
    <row r="8" spans="1:26" ht="13.95" customHeight="1" thickTop="1" thickBot="1" x14ac:dyDescent="0.35">
      <c r="A8" s="1240"/>
      <c r="B8" s="1241"/>
      <c r="C8" s="1244"/>
      <c r="D8" s="1245"/>
      <c r="E8" s="1245"/>
      <c r="F8" s="1245"/>
      <c r="G8" s="1153"/>
      <c r="H8" s="1250"/>
      <c r="I8" s="1250"/>
      <c r="J8" s="1250"/>
      <c r="K8" s="1251"/>
      <c r="L8" s="1132"/>
      <c r="M8" s="1133"/>
      <c r="N8" s="1133"/>
      <c r="O8" s="1134"/>
      <c r="P8" s="1256"/>
      <c r="Q8" s="1250"/>
      <c r="R8" s="1250"/>
      <c r="S8" s="1257"/>
      <c r="T8" s="316"/>
      <c r="U8" s="203" t="e">
        <f>AVERAGE(D10:F11)</f>
        <v>#DIV/0!</v>
      </c>
      <c r="V8" s="204" t="e">
        <f>(U8/17)*100</f>
        <v>#DIV/0!</v>
      </c>
      <c r="W8" s="180"/>
      <c r="X8" s="1151"/>
      <c r="Y8" s="1152"/>
      <c r="Z8" s="181"/>
    </row>
    <row r="9" spans="1:26" ht="14.25" customHeight="1" thickBot="1" x14ac:dyDescent="0.35">
      <c r="A9" s="1232"/>
      <c r="B9" s="1233"/>
      <c r="C9" s="211"/>
      <c r="D9" s="568" t="s">
        <v>287</v>
      </c>
      <c r="E9" s="568" t="s">
        <v>289</v>
      </c>
      <c r="F9" s="569" t="s">
        <v>291</v>
      </c>
      <c r="G9" s="1153"/>
      <c r="H9" s="571"/>
      <c r="I9" s="568" t="s">
        <v>287</v>
      </c>
      <c r="J9" s="568" t="s">
        <v>289</v>
      </c>
      <c r="K9" s="570" t="s">
        <v>291</v>
      </c>
      <c r="L9" s="1135"/>
      <c r="M9" s="1136"/>
      <c r="N9" s="1136"/>
      <c r="O9" s="1137"/>
      <c r="P9" s="1258"/>
      <c r="Q9" s="1259"/>
      <c r="R9" s="1259"/>
      <c r="S9" s="1260"/>
      <c r="T9" s="575"/>
      <c r="U9" s="199"/>
      <c r="V9" s="200"/>
      <c r="W9" s="180"/>
      <c r="X9" s="1192" t="s">
        <v>422</v>
      </c>
      <c r="Y9" s="1193"/>
      <c r="Z9" s="181"/>
    </row>
    <row r="10" spans="1:26" ht="14.25" customHeight="1" thickTop="1" thickBot="1" x14ac:dyDescent="0.35">
      <c r="A10" s="1232"/>
      <c r="B10" s="1233"/>
      <c r="C10" s="206" t="s">
        <v>299</v>
      </c>
      <c r="D10" s="344"/>
      <c r="E10" s="344"/>
      <c r="F10" s="561"/>
      <c r="G10" s="1153"/>
      <c r="H10" s="572" t="s">
        <v>299</v>
      </c>
      <c r="I10" s="344"/>
      <c r="J10" s="344"/>
      <c r="K10" s="563"/>
      <c r="L10" s="1138"/>
      <c r="M10" s="1139"/>
      <c r="N10" s="1139"/>
      <c r="O10" s="1140"/>
      <c r="P10" s="1261"/>
      <c r="Q10" s="1262"/>
      <c r="R10" s="1262"/>
      <c r="S10" s="1263"/>
      <c r="T10" s="575"/>
      <c r="U10" s="434" t="s">
        <v>144</v>
      </c>
      <c r="V10" s="356"/>
      <c r="W10" s="354"/>
      <c r="X10" s="1120" t="e">
        <f>ROUND(U12,0)</f>
        <v>#DIV/0!</v>
      </c>
      <c r="Y10" s="1121"/>
      <c r="Z10" s="181"/>
    </row>
    <row r="11" spans="1:26" ht="14.25" customHeight="1" thickTop="1" thickBot="1" x14ac:dyDescent="0.35">
      <c r="A11" s="1234"/>
      <c r="B11" s="1235"/>
      <c r="C11" s="207" t="s">
        <v>300</v>
      </c>
      <c r="D11" s="348"/>
      <c r="E11" s="348"/>
      <c r="F11" s="562"/>
      <c r="G11" s="1153"/>
      <c r="H11" s="573" t="s">
        <v>300</v>
      </c>
      <c r="I11" s="348"/>
      <c r="J11" s="348"/>
      <c r="K11" s="564"/>
      <c r="L11" s="1141"/>
      <c r="M11" s="1142"/>
      <c r="N11" s="1142"/>
      <c r="O11" s="1143"/>
      <c r="P11" s="1264"/>
      <c r="Q11" s="1265"/>
      <c r="R11" s="1265"/>
      <c r="S11" s="1266"/>
      <c r="T11" s="576"/>
      <c r="U11" s="201" t="s">
        <v>301</v>
      </c>
      <c r="V11" s="357"/>
      <c r="W11" s="180"/>
      <c r="X11" s="1122"/>
      <c r="Y11" s="1123"/>
      <c r="Z11" s="181"/>
    </row>
    <row r="12" spans="1:26" ht="12" customHeight="1" thickBot="1" x14ac:dyDescent="0.35">
      <c r="A12" s="208"/>
      <c r="B12" s="312"/>
      <c r="C12" s="313"/>
      <c r="D12" s="311"/>
      <c r="E12" s="310"/>
      <c r="F12" s="311"/>
      <c r="G12" s="574"/>
      <c r="H12" s="312"/>
      <c r="I12" s="565"/>
      <c r="J12" s="566"/>
      <c r="K12" s="180"/>
      <c r="L12" s="237"/>
      <c r="M12" s="237"/>
      <c r="N12" s="368"/>
      <c r="O12" s="368"/>
      <c r="P12" s="180"/>
      <c r="Q12" s="567"/>
      <c r="R12" s="180"/>
      <c r="S12" s="240"/>
      <c r="T12" s="323"/>
      <c r="U12" s="203" t="e">
        <f>AVERAGE(I10:K11)</f>
        <v>#DIV/0!</v>
      </c>
      <c r="V12" s="357"/>
      <c r="W12" s="180"/>
      <c r="X12" s="1218" t="s">
        <v>491</v>
      </c>
      <c r="Y12" s="1219"/>
      <c r="Z12" s="181"/>
    </row>
    <row r="13" spans="1:26" ht="30.75" customHeight="1" thickBot="1" x14ac:dyDescent="0.35">
      <c r="A13" s="1229" t="s">
        <v>419</v>
      </c>
      <c r="B13" s="1230"/>
      <c r="C13" s="1230"/>
      <c r="D13" s="1230"/>
      <c r="E13" s="1230"/>
      <c r="F13" s="1230"/>
      <c r="G13" s="1230"/>
      <c r="H13" s="1230"/>
      <c r="I13" s="1230"/>
      <c r="J13" s="1230"/>
      <c r="K13" s="1230"/>
      <c r="L13" s="1230"/>
      <c r="M13" s="1230"/>
      <c r="N13" s="1230"/>
      <c r="O13" s="1230"/>
      <c r="P13" s="1230"/>
      <c r="Q13" s="1230"/>
      <c r="R13" s="1230"/>
      <c r="S13" s="1231"/>
      <c r="U13" s="199"/>
      <c r="V13" s="200"/>
      <c r="W13" s="180"/>
      <c r="X13" s="1267" t="str">
        <f>IF(L9= "", "",L9)</f>
        <v/>
      </c>
      <c r="Y13" s="1268"/>
      <c r="Z13" s="181"/>
    </row>
    <row r="14" spans="1:26" ht="13.2" customHeight="1" thickBot="1" x14ac:dyDescent="0.35">
      <c r="A14" s="634"/>
      <c r="B14" s="506"/>
      <c r="D14" s="507"/>
      <c r="E14" s="505"/>
      <c r="F14" s="504"/>
      <c r="G14" s="498"/>
      <c r="H14" s="501"/>
      <c r="I14" s="510"/>
      <c r="J14" s="510"/>
      <c r="K14" s="510"/>
      <c r="L14" s="511"/>
      <c r="M14" s="512"/>
      <c r="N14" s="509"/>
      <c r="O14" s="513"/>
      <c r="P14" s="513"/>
      <c r="Q14" s="513"/>
      <c r="R14" s="513"/>
      <c r="S14" s="514"/>
      <c r="T14" s="316"/>
      <c r="U14" s="209"/>
      <c r="V14" s="200"/>
      <c r="W14" s="180"/>
      <c r="X14" s="1218" t="s">
        <v>492</v>
      </c>
      <c r="Y14" s="1219"/>
      <c r="Z14" s="181"/>
    </row>
    <row r="15" spans="1:26" ht="16.2" customHeight="1" x14ac:dyDescent="0.3">
      <c r="A15" s="1211" t="s">
        <v>400</v>
      </c>
      <c r="B15" s="1212"/>
      <c r="C15" s="1212"/>
      <c r="D15" s="1212"/>
      <c r="E15" s="1213"/>
      <c r="F15" s="1213"/>
      <c r="G15" s="500"/>
      <c r="H15" s="1212" t="s">
        <v>399</v>
      </c>
      <c r="I15" s="1212"/>
      <c r="J15" s="1212"/>
      <c r="K15" s="1212"/>
      <c r="L15" s="1212"/>
      <c r="M15" s="1212"/>
      <c r="N15" s="1212"/>
      <c r="O15" s="1212"/>
      <c r="P15" s="1212"/>
      <c r="Q15" s="1212"/>
      <c r="R15" s="1227"/>
      <c r="S15" s="1228"/>
      <c r="T15" s="499"/>
      <c r="U15" s="1221" t="s">
        <v>518</v>
      </c>
      <c r="V15" s="1222"/>
      <c r="W15" s="355"/>
      <c r="X15" s="1214" t="str">
        <f>IF(P9="","",P9)</f>
        <v/>
      </c>
      <c r="Y15" s="1215"/>
      <c r="Z15" s="181"/>
    </row>
    <row r="16" spans="1:26" ht="21.75" customHeight="1" thickBot="1" x14ac:dyDescent="0.35">
      <c r="A16" s="1211"/>
      <c r="B16" s="1212"/>
      <c r="C16" s="1212"/>
      <c r="D16" s="1212"/>
      <c r="E16" s="1213"/>
      <c r="F16" s="1213"/>
      <c r="G16" s="500"/>
      <c r="H16" s="1212"/>
      <c r="I16" s="1212"/>
      <c r="J16" s="1212"/>
      <c r="K16" s="1212"/>
      <c r="L16" s="1212"/>
      <c r="M16" s="1212"/>
      <c r="N16" s="1212"/>
      <c r="O16" s="1212"/>
      <c r="P16" s="1212"/>
      <c r="Q16" s="1212"/>
      <c r="R16" s="1227"/>
      <c r="S16" s="1228"/>
      <c r="T16" s="316"/>
      <c r="U16" s="1223"/>
      <c r="V16" s="1224"/>
      <c r="W16" s="355"/>
      <c r="X16" s="1216"/>
      <c r="Y16" s="1217"/>
      <c r="Z16" s="181"/>
    </row>
    <row r="17" spans="1:35" ht="6.75" customHeight="1" thickBot="1" x14ac:dyDescent="0.35">
      <c r="A17" s="508"/>
      <c r="B17" s="506"/>
      <c r="D17" s="507"/>
      <c r="E17" s="507"/>
      <c r="G17" s="503"/>
      <c r="H17" s="502"/>
      <c r="I17" s="507"/>
      <c r="J17" s="256"/>
      <c r="K17" s="516"/>
      <c r="L17" s="516"/>
      <c r="M17" s="516"/>
      <c r="N17" s="370"/>
      <c r="O17" s="516"/>
      <c r="P17" s="516"/>
      <c r="Q17" s="516"/>
      <c r="R17" s="516"/>
      <c r="S17" s="515"/>
      <c r="T17" s="316"/>
      <c r="U17" s="1225"/>
      <c r="V17" s="1226"/>
      <c r="W17" s="355"/>
      <c r="X17" s="199"/>
      <c r="Y17" s="360"/>
      <c r="Z17" s="181"/>
    </row>
    <row r="18" spans="1:35" s="215" customFormat="1" ht="14.25" customHeight="1" thickTop="1" thickBot="1" x14ac:dyDescent="0.35">
      <c r="A18" s="210" t="s">
        <v>282</v>
      </c>
      <c r="B18" s="1220" t="s">
        <v>310</v>
      </c>
      <c r="C18" s="1220"/>
      <c r="D18" s="588" t="s">
        <v>308</v>
      </c>
      <c r="E18" s="588" t="s">
        <v>309</v>
      </c>
      <c r="F18" s="588" t="s">
        <v>308</v>
      </c>
      <c r="G18" s="588" t="s">
        <v>309</v>
      </c>
      <c r="H18" s="588" t="s">
        <v>308</v>
      </c>
      <c r="I18" s="588" t="s">
        <v>309</v>
      </c>
      <c r="J18" s="588" t="s">
        <v>308</v>
      </c>
      <c r="K18" s="588" t="s">
        <v>309</v>
      </c>
      <c r="L18" s="588" t="s">
        <v>308</v>
      </c>
      <c r="M18" s="588" t="s">
        <v>309</v>
      </c>
      <c r="N18" s="588" t="s">
        <v>308</v>
      </c>
      <c r="O18" s="588" t="s">
        <v>309</v>
      </c>
      <c r="P18" s="588" t="s">
        <v>308</v>
      </c>
      <c r="Q18" s="588" t="s">
        <v>309</v>
      </c>
      <c r="R18" s="588" t="s">
        <v>308</v>
      </c>
      <c r="S18" s="205" t="s">
        <v>309</v>
      </c>
      <c r="T18" s="631"/>
      <c r="U18" s="211" t="s">
        <v>311</v>
      </c>
      <c r="V18" s="212" t="s">
        <v>312</v>
      </c>
      <c r="W18" s="175"/>
      <c r="X18" s="358"/>
      <c r="Y18" s="213"/>
      <c r="Z18" s="214"/>
    </row>
    <row r="19" spans="1:35" ht="14.25" customHeight="1" thickTop="1" x14ac:dyDescent="0.3">
      <c r="A19" s="1166" t="s">
        <v>302</v>
      </c>
      <c r="B19" s="1168" t="s">
        <v>369</v>
      </c>
      <c r="C19" s="1169"/>
      <c r="D19" s="344"/>
      <c r="E19" s="344"/>
      <c r="F19" s="344"/>
      <c r="G19" s="344"/>
      <c r="H19" s="344"/>
      <c r="I19" s="344"/>
      <c r="J19" s="344"/>
      <c r="K19" s="344"/>
      <c r="L19" s="344"/>
      <c r="M19" s="344"/>
      <c r="N19" s="344"/>
      <c r="O19" s="344"/>
      <c r="P19" s="344"/>
      <c r="Q19" s="344"/>
      <c r="R19" s="344"/>
      <c r="S19" s="345"/>
      <c r="T19" s="419"/>
      <c r="U19" s="217">
        <f>IF(((E19-D19)+(G19-F19)+(I19-H19)+(K19-J19)+(M19-L19)+(O19-N19)+(Q19-P19)+(S19-R19))&gt;$E$15,"ERROR",(E19-D19)+(G19-F19)+(I19-H19)+(K19-J19)+(M19-L19)+(O19-N19)+(Q19-P19)+(S19-R19))</f>
        <v>0</v>
      </c>
      <c r="V19" s="518" t="e">
        <f>IF(R15="Right","",100*(U19/E15))</f>
        <v>#DIV/0!</v>
      </c>
      <c r="W19" s="180"/>
      <c r="X19" s="1192" t="s">
        <v>423</v>
      </c>
      <c r="Y19" s="1193"/>
      <c r="Z19" s="181"/>
    </row>
    <row r="20" spans="1:35" ht="14.25" customHeight="1" x14ac:dyDescent="0.3">
      <c r="A20" s="1166"/>
      <c r="B20" s="1170" t="s">
        <v>417</v>
      </c>
      <c r="C20" s="1171"/>
      <c r="D20" s="344"/>
      <c r="E20" s="344"/>
      <c r="F20" s="296"/>
      <c r="G20" s="344"/>
      <c r="H20" s="296"/>
      <c r="I20" s="344"/>
      <c r="J20" s="296"/>
      <c r="K20" s="344"/>
      <c r="L20" s="296"/>
      <c r="M20" s="344"/>
      <c r="N20" s="296"/>
      <c r="O20" s="344"/>
      <c r="P20" s="296"/>
      <c r="Q20" s="344"/>
      <c r="R20" s="296"/>
      <c r="S20" s="345"/>
      <c r="T20" s="216"/>
      <c r="U20" s="217">
        <f>IF(((E20-D20)+(G20-F20)+(I20-H20)+(K20-J20)+(M20-L20)+(O20-N20)+(Q20-P20)+(S20-R20))&gt;$E$15,"ERROR",(E20-D20)+(G20-F20)+(I20-H20)+(K20-J20)+(M20-L20)+(O20-N20)+(Q20-P20)+(S20-R20))</f>
        <v>0</v>
      </c>
      <c r="V20" s="518" t="e">
        <f>IF(R15="Right","",100*(U20/E15))</f>
        <v>#DIV/0!</v>
      </c>
      <c r="W20" s="180"/>
      <c r="X20" s="1120" t="e">
        <f>ROUND(AVERAGE(V19,V22,V25,V28,V31,V34),0)</f>
        <v>#DIV/0!</v>
      </c>
      <c r="Y20" s="1121"/>
      <c r="Z20" s="181"/>
      <c r="AA20" s="593"/>
    </row>
    <row r="21" spans="1:35" ht="14.25" customHeight="1" thickBot="1" x14ac:dyDescent="0.35">
      <c r="A21" s="1167"/>
      <c r="B21" s="1172" t="s">
        <v>370</v>
      </c>
      <c r="C21" s="1173"/>
      <c r="D21" s="348"/>
      <c r="E21" s="348"/>
      <c r="F21" s="348"/>
      <c r="G21" s="348"/>
      <c r="H21" s="348"/>
      <c r="I21" s="348"/>
      <c r="J21" s="348"/>
      <c r="K21" s="348"/>
      <c r="L21" s="346"/>
      <c r="M21" s="348"/>
      <c r="N21" s="346"/>
      <c r="O21" s="348"/>
      <c r="P21" s="346"/>
      <c r="Q21" s="348"/>
      <c r="R21" s="346"/>
      <c r="S21" s="349"/>
      <c r="T21" s="419"/>
      <c r="U21" s="217">
        <f t="shared" ref="U21:U36" si="0">IF(((E21-D21)+(G21-F21)+(I21-H21)+(K21-J21)+(M21-L21)+(O21-N21)+(Q21-P21)+(S21-R21))&gt;$E$15,"ERROR",(E21-D21)+(G21-F21)+(I21-H21)+(K21-J21)+(M21-L21)+(O21-N21)+(Q21-P21)+(S21-R21))</f>
        <v>0</v>
      </c>
      <c r="V21" s="518" t="e">
        <f>IF(R15="Right","",100*(U21/E15))</f>
        <v>#DIV/0!</v>
      </c>
      <c r="W21" s="180"/>
      <c r="X21" s="1122"/>
      <c r="Y21" s="1123"/>
      <c r="Z21" s="218"/>
      <c r="AA21" s="219"/>
      <c r="AB21" s="219"/>
      <c r="AC21" s="219"/>
      <c r="AD21" s="219"/>
      <c r="AE21" s="219"/>
      <c r="AF21" s="219"/>
      <c r="AG21" s="219"/>
      <c r="AH21" s="219"/>
      <c r="AI21" s="219"/>
    </row>
    <row r="22" spans="1:35" ht="14.25" customHeight="1" thickBot="1" x14ac:dyDescent="0.35">
      <c r="A22" s="1165" t="s">
        <v>303</v>
      </c>
      <c r="B22" s="1168" t="s">
        <v>369</v>
      </c>
      <c r="C22" s="1169"/>
      <c r="D22" s="344"/>
      <c r="E22" s="344"/>
      <c r="F22" s="344"/>
      <c r="G22" s="344"/>
      <c r="H22" s="344"/>
      <c r="I22" s="344"/>
      <c r="J22" s="344"/>
      <c r="K22" s="344"/>
      <c r="L22" s="347"/>
      <c r="M22" s="344"/>
      <c r="N22" s="347"/>
      <c r="O22" s="344"/>
      <c r="P22" s="347"/>
      <c r="Q22" s="344"/>
      <c r="R22" s="347"/>
      <c r="S22" s="345"/>
      <c r="T22" s="419"/>
      <c r="U22" s="217">
        <f t="shared" si="0"/>
        <v>0</v>
      </c>
      <c r="V22" s="518" t="e">
        <f>IF(R15="Left","",100*(U22/E15))</f>
        <v>#DIV/0!</v>
      </c>
      <c r="W22" s="180"/>
      <c r="X22" s="199"/>
      <c r="Y22" s="200"/>
      <c r="Z22" s="218"/>
      <c r="AA22" s="219"/>
      <c r="AB22" s="219"/>
      <c r="AC22" s="219"/>
      <c r="AD22" s="219"/>
      <c r="AE22" s="219"/>
      <c r="AF22" s="219"/>
      <c r="AG22" s="219"/>
      <c r="AH22" s="219"/>
      <c r="AI22" s="219"/>
    </row>
    <row r="23" spans="1:35" ht="14.25" customHeight="1" x14ac:dyDescent="0.3">
      <c r="A23" s="1166"/>
      <c r="B23" s="1170" t="s">
        <v>417</v>
      </c>
      <c r="C23" s="1171"/>
      <c r="D23" s="344"/>
      <c r="E23" s="344"/>
      <c r="F23" s="296"/>
      <c r="G23" s="344"/>
      <c r="H23" s="296"/>
      <c r="I23" s="344"/>
      <c r="J23" s="296"/>
      <c r="K23" s="344"/>
      <c r="L23" s="296"/>
      <c r="M23" s="344"/>
      <c r="N23" s="296"/>
      <c r="O23" s="344"/>
      <c r="P23" s="296"/>
      <c r="Q23" s="344"/>
      <c r="R23" s="296"/>
      <c r="S23" s="345"/>
      <c r="T23" s="419"/>
      <c r="U23" s="217">
        <f t="shared" si="0"/>
        <v>0</v>
      </c>
      <c r="V23" s="518" t="e">
        <f>IF(R15="Left","",100*(U23/E15))</f>
        <v>#DIV/0!</v>
      </c>
      <c r="W23" s="180"/>
      <c r="X23" s="1192" t="s">
        <v>424</v>
      </c>
      <c r="Y23" s="1193"/>
      <c r="Z23" s="218"/>
      <c r="AA23" s="219"/>
      <c r="AB23" s="219"/>
      <c r="AC23" s="219"/>
      <c r="AD23" s="219"/>
      <c r="AE23" s="219"/>
      <c r="AF23" s="219"/>
      <c r="AG23" s="219"/>
      <c r="AH23" s="219"/>
      <c r="AI23" s="219"/>
    </row>
    <row r="24" spans="1:35" ht="14.25" customHeight="1" thickBot="1" x14ac:dyDescent="0.35">
      <c r="A24" s="1167"/>
      <c r="B24" s="1172" t="s">
        <v>370</v>
      </c>
      <c r="C24" s="1173"/>
      <c r="D24" s="348"/>
      <c r="E24" s="348"/>
      <c r="F24" s="348"/>
      <c r="G24" s="348"/>
      <c r="H24" s="348"/>
      <c r="I24" s="348"/>
      <c r="J24" s="348"/>
      <c r="K24" s="348"/>
      <c r="L24" s="348"/>
      <c r="M24" s="348"/>
      <c r="N24" s="348"/>
      <c r="O24" s="348"/>
      <c r="P24" s="348"/>
      <c r="Q24" s="348"/>
      <c r="R24" s="348"/>
      <c r="S24" s="349"/>
      <c r="T24" s="419"/>
      <c r="U24" s="217">
        <f t="shared" si="0"/>
        <v>0</v>
      </c>
      <c r="V24" s="518" t="e">
        <f>IF(R15="Left","",100*(U24/E15))</f>
        <v>#DIV/0!</v>
      </c>
      <c r="W24" s="180"/>
      <c r="X24" s="1120" t="e">
        <f>ROUND(AVERAGE(V20,V23,V26,V29,V32,V35),0)</f>
        <v>#DIV/0!</v>
      </c>
      <c r="Y24" s="1121"/>
      <c r="Z24" s="181"/>
    </row>
    <row r="25" spans="1:35" ht="14.25" customHeight="1" thickBot="1" x14ac:dyDescent="0.35">
      <c r="A25" s="1165" t="s">
        <v>304</v>
      </c>
      <c r="B25" s="1168" t="s">
        <v>369</v>
      </c>
      <c r="C25" s="1169"/>
      <c r="D25" s="344"/>
      <c r="E25" s="344"/>
      <c r="F25" s="344"/>
      <c r="G25" s="344"/>
      <c r="H25" s="344"/>
      <c r="I25" s="344"/>
      <c r="J25" s="344"/>
      <c r="K25" s="344"/>
      <c r="L25" s="344"/>
      <c r="M25" s="344"/>
      <c r="N25" s="344"/>
      <c r="O25" s="344"/>
      <c r="P25" s="344"/>
      <c r="Q25" s="344"/>
      <c r="R25" s="344"/>
      <c r="S25" s="345"/>
      <c r="T25" s="632"/>
      <c r="U25" s="217">
        <f t="shared" si="0"/>
        <v>0</v>
      </c>
      <c r="V25" s="518" t="e">
        <f>IF(R15="Right","",100*(U25/E15))</f>
        <v>#DIV/0!</v>
      </c>
      <c r="W25" s="180"/>
      <c r="X25" s="1122"/>
      <c r="Y25" s="1123"/>
      <c r="Z25" s="181"/>
    </row>
    <row r="26" spans="1:35" ht="14.25" customHeight="1" thickBot="1" x14ac:dyDescent="0.35">
      <c r="A26" s="1166"/>
      <c r="B26" s="1170" t="s">
        <v>417</v>
      </c>
      <c r="C26" s="1171"/>
      <c r="D26" s="344"/>
      <c r="E26" s="344"/>
      <c r="F26" s="296"/>
      <c r="G26" s="344"/>
      <c r="H26" s="296"/>
      <c r="I26" s="344"/>
      <c r="J26" s="296"/>
      <c r="K26" s="344"/>
      <c r="L26" s="296"/>
      <c r="M26" s="344"/>
      <c r="N26" s="296"/>
      <c r="O26" s="344"/>
      <c r="P26" s="296"/>
      <c r="Q26" s="344"/>
      <c r="R26" s="296"/>
      <c r="S26" s="345"/>
      <c r="T26" s="633"/>
      <c r="U26" s="217">
        <f t="shared" si="0"/>
        <v>0</v>
      </c>
      <c r="V26" s="518" t="e">
        <f>IF(R15="Right","",100*(U26/E15))</f>
        <v>#DIV/0!</v>
      </c>
      <c r="W26" s="180"/>
      <c r="X26" s="199"/>
      <c r="Y26" s="200"/>
      <c r="Z26" s="181"/>
    </row>
    <row r="27" spans="1:35" ht="14.25" customHeight="1" thickBot="1" x14ac:dyDescent="0.35">
      <c r="A27" s="1167"/>
      <c r="B27" s="1172" t="s">
        <v>370</v>
      </c>
      <c r="C27" s="1173"/>
      <c r="D27" s="348"/>
      <c r="E27" s="348"/>
      <c r="F27" s="348"/>
      <c r="G27" s="348"/>
      <c r="H27" s="348"/>
      <c r="I27" s="348"/>
      <c r="J27" s="348"/>
      <c r="K27" s="348"/>
      <c r="L27" s="296"/>
      <c r="M27" s="348"/>
      <c r="N27" s="296"/>
      <c r="O27" s="348"/>
      <c r="P27" s="296"/>
      <c r="Q27" s="348"/>
      <c r="R27" s="296"/>
      <c r="S27" s="349"/>
      <c r="T27" s="216"/>
      <c r="U27" s="217">
        <f t="shared" si="0"/>
        <v>0</v>
      </c>
      <c r="V27" s="518" t="e">
        <f>IF(R15="Right","",100*(U27/E15))</f>
        <v>#DIV/0!</v>
      </c>
      <c r="W27" s="180"/>
      <c r="X27" s="1192" t="s">
        <v>425</v>
      </c>
      <c r="Y27" s="1193"/>
      <c r="Z27" s="181"/>
    </row>
    <row r="28" spans="1:35" ht="14.25" customHeight="1" x14ac:dyDescent="0.3">
      <c r="A28" s="1165" t="s">
        <v>305</v>
      </c>
      <c r="B28" s="1168" t="s">
        <v>369</v>
      </c>
      <c r="C28" s="1169"/>
      <c r="D28" s="344"/>
      <c r="E28" s="344"/>
      <c r="F28" s="344"/>
      <c r="G28" s="344"/>
      <c r="H28" s="344"/>
      <c r="I28" s="344"/>
      <c r="J28" s="344"/>
      <c r="K28" s="344"/>
      <c r="L28" s="347"/>
      <c r="M28" s="344"/>
      <c r="N28" s="347"/>
      <c r="O28" s="344"/>
      <c r="P28" s="347"/>
      <c r="Q28" s="344"/>
      <c r="R28" s="347"/>
      <c r="S28" s="345"/>
      <c r="T28" s="419"/>
      <c r="U28" s="217">
        <f t="shared" si="0"/>
        <v>0</v>
      </c>
      <c r="V28" s="518" t="e">
        <f>IF(R15="Left","",100*(U28/E15))</f>
        <v>#DIV/0!</v>
      </c>
      <c r="W28" s="180"/>
      <c r="X28" s="1120" t="e">
        <f>ROUND(AVERAGE(V21,V24,V27,V30,V33,V36),0)</f>
        <v>#DIV/0!</v>
      </c>
      <c r="Y28" s="1121"/>
      <c r="Z28" s="181"/>
    </row>
    <row r="29" spans="1:35" ht="14.25" customHeight="1" thickBot="1" x14ac:dyDescent="0.35">
      <c r="A29" s="1166"/>
      <c r="B29" s="1170" t="s">
        <v>417</v>
      </c>
      <c r="C29" s="1171"/>
      <c r="D29" s="344"/>
      <c r="E29" s="344"/>
      <c r="F29" s="296"/>
      <c r="G29" s="344"/>
      <c r="H29" s="296"/>
      <c r="I29" s="344"/>
      <c r="J29" s="296"/>
      <c r="K29" s="344"/>
      <c r="L29" s="296"/>
      <c r="M29" s="344"/>
      <c r="N29" s="296"/>
      <c r="O29" s="344"/>
      <c r="P29" s="296"/>
      <c r="Q29" s="344"/>
      <c r="R29" s="296"/>
      <c r="S29" s="345"/>
      <c r="T29" s="419"/>
      <c r="U29" s="217">
        <f t="shared" si="0"/>
        <v>0</v>
      </c>
      <c r="V29" s="518" t="e">
        <f>IF(R15="Left","",100*(U29/E15))</f>
        <v>#DIV/0!</v>
      </c>
      <c r="W29" s="180"/>
      <c r="X29" s="1122"/>
      <c r="Y29" s="1123"/>
      <c r="Z29" s="181"/>
    </row>
    <row r="30" spans="1:35" ht="14.25" customHeight="1" thickBot="1" x14ac:dyDescent="0.35">
      <c r="A30" s="1167"/>
      <c r="B30" s="1172" t="s">
        <v>370</v>
      </c>
      <c r="C30" s="1173"/>
      <c r="D30" s="348"/>
      <c r="E30" s="348"/>
      <c r="F30" s="348"/>
      <c r="G30" s="348"/>
      <c r="H30" s="348"/>
      <c r="I30" s="348"/>
      <c r="J30" s="348"/>
      <c r="K30" s="348"/>
      <c r="L30" s="296"/>
      <c r="M30" s="348"/>
      <c r="N30" s="296"/>
      <c r="O30" s="348"/>
      <c r="P30" s="296"/>
      <c r="Q30" s="348"/>
      <c r="R30" s="296"/>
      <c r="S30" s="349"/>
      <c r="T30" s="419"/>
      <c r="U30" s="217">
        <f t="shared" si="0"/>
        <v>0</v>
      </c>
      <c r="V30" s="518" t="e">
        <f>IF(R15="Left","",100*(U30/E15))</f>
        <v>#DIV/0!</v>
      </c>
      <c r="W30" s="180"/>
      <c r="X30" s="199"/>
      <c r="Y30" s="200"/>
      <c r="Z30" s="181"/>
    </row>
    <row r="31" spans="1:35" ht="14.25" customHeight="1" x14ac:dyDescent="0.3">
      <c r="A31" s="1165" t="s">
        <v>306</v>
      </c>
      <c r="B31" s="1168" t="s">
        <v>369</v>
      </c>
      <c r="C31" s="1169"/>
      <c r="D31" s="344"/>
      <c r="E31" s="344"/>
      <c r="F31" s="344"/>
      <c r="G31" s="344"/>
      <c r="H31" s="344"/>
      <c r="I31" s="344"/>
      <c r="J31" s="344"/>
      <c r="K31" s="344"/>
      <c r="L31" s="347"/>
      <c r="M31" s="344"/>
      <c r="N31" s="347"/>
      <c r="O31" s="344"/>
      <c r="P31" s="347"/>
      <c r="Q31" s="344"/>
      <c r="R31" s="347"/>
      <c r="S31" s="345"/>
      <c r="T31" s="419"/>
      <c r="U31" s="217">
        <f t="shared" si="0"/>
        <v>0</v>
      </c>
      <c r="V31" s="518" t="e">
        <f>IF(R15="Right","",100*(U31/E15))</f>
        <v>#DIV/0!</v>
      </c>
      <c r="W31" s="180"/>
      <c r="X31" s="1218" t="s">
        <v>482</v>
      </c>
      <c r="Y31" s="1219"/>
      <c r="Z31" s="181"/>
    </row>
    <row r="32" spans="1:35" ht="14.25" customHeight="1" x14ac:dyDescent="0.3">
      <c r="A32" s="1166"/>
      <c r="B32" s="1170" t="s">
        <v>417</v>
      </c>
      <c r="C32" s="1171"/>
      <c r="D32" s="344"/>
      <c r="E32" s="344"/>
      <c r="F32" s="296"/>
      <c r="G32" s="344"/>
      <c r="H32" s="296"/>
      <c r="I32" s="344"/>
      <c r="J32" s="296"/>
      <c r="K32" s="344"/>
      <c r="L32" s="296"/>
      <c r="M32" s="344"/>
      <c r="N32" s="296"/>
      <c r="O32" s="344"/>
      <c r="P32" s="296"/>
      <c r="Q32" s="344"/>
      <c r="R32" s="296"/>
      <c r="S32" s="345"/>
      <c r="T32" s="419"/>
      <c r="U32" s="217">
        <f t="shared" si="0"/>
        <v>0</v>
      </c>
      <c r="V32" s="518" t="e">
        <f>IF(R15="Right","",100*(U32/E15))</f>
        <v>#DIV/0!</v>
      </c>
      <c r="W32" s="180"/>
      <c r="X32" s="1214" t="e">
        <f>ROUND(V40,0)</f>
        <v>#DIV/0!</v>
      </c>
      <c r="Y32" s="1215"/>
      <c r="Z32" s="181"/>
    </row>
    <row r="33" spans="1:26" ht="14.25" customHeight="1" thickBot="1" x14ac:dyDescent="0.35">
      <c r="A33" s="1167"/>
      <c r="B33" s="1172" t="s">
        <v>370</v>
      </c>
      <c r="C33" s="1173"/>
      <c r="D33" s="348"/>
      <c r="E33" s="348"/>
      <c r="F33" s="348"/>
      <c r="G33" s="348"/>
      <c r="H33" s="348"/>
      <c r="I33" s="348"/>
      <c r="J33" s="348"/>
      <c r="K33" s="348"/>
      <c r="L33" s="296"/>
      <c r="M33" s="348"/>
      <c r="N33" s="296"/>
      <c r="O33" s="348"/>
      <c r="P33" s="296"/>
      <c r="Q33" s="348"/>
      <c r="R33" s="296"/>
      <c r="S33" s="349"/>
      <c r="T33" s="419"/>
      <c r="U33" s="217">
        <f t="shared" si="0"/>
        <v>0</v>
      </c>
      <c r="V33" s="518" t="e">
        <f>IF(R15="Right","",100*(U33/E15))</f>
        <v>#DIV/0!</v>
      </c>
      <c r="W33" s="180"/>
      <c r="X33" s="1216"/>
      <c r="Y33" s="1217"/>
      <c r="Z33" s="181"/>
    </row>
    <row r="34" spans="1:26" ht="14.25" customHeight="1" thickBot="1" x14ac:dyDescent="0.35">
      <c r="A34" s="1165" t="s">
        <v>307</v>
      </c>
      <c r="B34" s="1168" t="s">
        <v>369</v>
      </c>
      <c r="C34" s="1169"/>
      <c r="D34" s="344"/>
      <c r="E34" s="344"/>
      <c r="F34" s="344"/>
      <c r="G34" s="344"/>
      <c r="H34" s="344"/>
      <c r="I34" s="344"/>
      <c r="J34" s="344"/>
      <c r="K34" s="344"/>
      <c r="L34" s="347"/>
      <c r="M34" s="344"/>
      <c r="N34" s="347"/>
      <c r="O34" s="344"/>
      <c r="P34" s="347"/>
      <c r="Q34" s="344"/>
      <c r="R34" s="347"/>
      <c r="S34" s="345"/>
      <c r="T34" s="216"/>
      <c r="U34" s="217">
        <f t="shared" si="0"/>
        <v>0</v>
      </c>
      <c r="V34" s="518" t="e">
        <f>IF(R15="Left","",100*(U34/E15))</f>
        <v>#DIV/0!</v>
      </c>
      <c r="W34" s="180"/>
      <c r="X34" s="199"/>
      <c r="Y34" s="200"/>
      <c r="Z34" s="181"/>
    </row>
    <row r="35" spans="1:26" ht="14.25" customHeight="1" x14ac:dyDescent="0.3">
      <c r="A35" s="1166"/>
      <c r="B35" s="1170" t="s">
        <v>417</v>
      </c>
      <c r="C35" s="1171"/>
      <c r="D35" s="344"/>
      <c r="E35" s="344"/>
      <c r="F35" s="296"/>
      <c r="G35" s="344"/>
      <c r="H35" s="296"/>
      <c r="I35" s="344"/>
      <c r="J35" s="296"/>
      <c r="K35" s="344"/>
      <c r="L35" s="296"/>
      <c r="M35" s="344"/>
      <c r="N35" s="296"/>
      <c r="O35" s="344"/>
      <c r="P35" s="296"/>
      <c r="Q35" s="344"/>
      <c r="R35" s="296"/>
      <c r="S35" s="345"/>
      <c r="T35" s="419"/>
      <c r="U35" s="217">
        <f t="shared" si="0"/>
        <v>0</v>
      </c>
      <c r="V35" s="518" t="e">
        <f>IF(R15="Left","",100*(U35/E15))</f>
        <v>#DIV/0!</v>
      </c>
      <c r="W35" s="180"/>
      <c r="X35" s="1218" t="s">
        <v>483</v>
      </c>
      <c r="Y35" s="1219"/>
      <c r="Z35" s="181"/>
    </row>
    <row r="36" spans="1:26" ht="14.25" customHeight="1" thickBot="1" x14ac:dyDescent="0.35">
      <c r="A36" s="1167"/>
      <c r="B36" s="1172" t="s">
        <v>370</v>
      </c>
      <c r="C36" s="1173"/>
      <c r="D36" s="348"/>
      <c r="E36" s="348"/>
      <c r="F36" s="348"/>
      <c r="G36" s="348"/>
      <c r="H36" s="348"/>
      <c r="I36" s="348"/>
      <c r="J36" s="348"/>
      <c r="K36" s="348"/>
      <c r="L36" s="348"/>
      <c r="M36" s="348"/>
      <c r="N36" s="348"/>
      <c r="O36" s="348"/>
      <c r="P36" s="348"/>
      <c r="Q36" s="348"/>
      <c r="R36" s="348"/>
      <c r="S36" s="349"/>
      <c r="T36" s="419"/>
      <c r="U36" s="217">
        <f t="shared" si="0"/>
        <v>0</v>
      </c>
      <c r="V36" s="518" t="e">
        <f>IF(R15="Left","",100*(U36/E15))</f>
        <v>#DIV/0!</v>
      </c>
      <c r="W36" s="180"/>
      <c r="X36" s="1214" t="e">
        <f>ROUND(V44,0)</f>
        <v>#DIV/0!</v>
      </c>
      <c r="Y36" s="1215"/>
      <c r="Z36" s="181"/>
    </row>
    <row r="37" spans="1:26" s="220" customFormat="1" ht="7.95" customHeight="1" thickBot="1" x14ac:dyDescent="0.35">
      <c r="A37" s="192"/>
      <c r="B37" s="315"/>
      <c r="C37" s="315"/>
      <c r="D37" s="517"/>
      <c r="E37" s="192"/>
      <c r="F37" s="629"/>
      <c r="G37" s="630"/>
      <c r="H37" s="192"/>
      <c r="I37" s="629"/>
      <c r="J37" s="602"/>
      <c r="K37" s="192"/>
      <c r="L37" s="314"/>
      <c r="M37" s="314"/>
      <c r="N37" s="192"/>
      <c r="O37" s="314"/>
      <c r="P37" s="192"/>
      <c r="Q37" s="269"/>
      <c r="R37" s="269"/>
      <c r="S37" s="269"/>
      <c r="T37" s="322"/>
      <c r="U37" s="221"/>
      <c r="V37" s="222"/>
      <c r="W37" s="192"/>
      <c r="X37" s="1216"/>
      <c r="Y37" s="1217"/>
      <c r="Z37" s="223"/>
    </row>
    <row r="38" spans="1:26" ht="16.5" customHeight="1" thickBot="1" x14ac:dyDescent="0.35">
      <c r="A38" s="1202" t="s">
        <v>478</v>
      </c>
      <c r="B38" s="1203"/>
      <c r="C38" s="1203"/>
      <c r="D38" s="1203"/>
      <c r="E38" s="1203"/>
      <c r="F38" s="1203"/>
      <c r="G38" s="1203"/>
      <c r="H38" s="1203"/>
      <c r="I38" s="1203"/>
      <c r="J38" s="1204"/>
      <c r="L38" s="1174" t="s">
        <v>479</v>
      </c>
      <c r="M38" s="1175"/>
      <c r="N38" s="1175"/>
      <c r="O38" s="1175"/>
      <c r="P38" s="1175"/>
      <c r="Q38" s="1175"/>
      <c r="R38" s="1175"/>
      <c r="S38" s="1176"/>
      <c r="U38" s="1194" t="s">
        <v>48</v>
      </c>
      <c r="V38" s="1195"/>
      <c r="W38" s="180"/>
      <c r="X38" s="199"/>
      <c r="Y38" s="200"/>
      <c r="Z38" s="181"/>
    </row>
    <row r="39" spans="1:26" ht="13.5" customHeight="1" thickTop="1" thickBot="1" x14ac:dyDescent="0.35">
      <c r="A39" s="1205"/>
      <c r="B39" s="1206"/>
      <c r="C39" s="1206"/>
      <c r="D39" s="1206"/>
      <c r="E39" s="1206"/>
      <c r="F39" s="1206"/>
      <c r="G39" s="1206"/>
      <c r="H39" s="1206"/>
      <c r="I39" s="1206"/>
      <c r="J39" s="1207"/>
      <c r="L39" s="1196" t="s">
        <v>512</v>
      </c>
      <c r="M39" s="1197"/>
      <c r="N39" s="1197"/>
      <c r="O39" s="1197"/>
      <c r="P39" s="1197"/>
      <c r="Q39" s="1198"/>
      <c r="R39" s="589"/>
      <c r="S39" s="590"/>
      <c r="T39" s="318"/>
      <c r="U39" s="201" t="s">
        <v>311</v>
      </c>
      <c r="V39" s="202" t="s">
        <v>314</v>
      </c>
      <c r="W39" s="180"/>
      <c r="X39" s="1192" t="s">
        <v>481</v>
      </c>
      <c r="Y39" s="1193"/>
      <c r="Z39" s="181"/>
    </row>
    <row r="40" spans="1:26" ht="15" thickTop="1" thickBot="1" x14ac:dyDescent="0.35">
      <c r="A40" s="1208"/>
      <c r="B40" s="1209"/>
      <c r="C40" s="1209"/>
      <c r="D40" s="1209"/>
      <c r="E40" s="1209"/>
      <c r="F40" s="1209"/>
      <c r="G40" s="1209"/>
      <c r="H40" s="1209"/>
      <c r="I40" s="1209"/>
      <c r="J40" s="1210"/>
      <c r="Q40" s="198"/>
      <c r="T40" s="318"/>
      <c r="U40" s="224">
        <f>IF(((D42-C42)+(F42-E42)+(H42-G42)+(J42-I42))&gt;A9,"ERROR",((D42-C42)+(F42-E42)+(H42-G42)+(J42-I42)))</f>
        <v>0</v>
      </c>
      <c r="V40" s="1179" t="e">
        <f>IF(OR(U40="ERROR",U41="ERROR"),"ERROR",100*(SUM(U40,U41)/(2*A9)))</f>
        <v>#DIV/0!</v>
      </c>
      <c r="W40" s="180"/>
      <c r="X40" s="1181" t="str">
        <f>IF(S39="","",S39)</f>
        <v/>
      </c>
      <c r="Y40" s="1182"/>
      <c r="Z40" s="181"/>
    </row>
    <row r="41" spans="1:26" ht="15" customHeight="1" thickBot="1" x14ac:dyDescent="0.35">
      <c r="A41" s="225"/>
      <c r="B41" s="317"/>
      <c r="C41" s="226" t="s">
        <v>308</v>
      </c>
      <c r="D41" s="227" t="s">
        <v>309</v>
      </c>
      <c r="E41" s="588" t="s">
        <v>308</v>
      </c>
      <c r="F41" s="227" t="s">
        <v>309</v>
      </c>
      <c r="G41" s="588" t="s">
        <v>308</v>
      </c>
      <c r="H41" s="227" t="s">
        <v>309</v>
      </c>
      <c r="I41" s="588" t="s">
        <v>308</v>
      </c>
      <c r="J41" s="205" t="s">
        <v>309</v>
      </c>
      <c r="L41" s="1199" t="s">
        <v>480</v>
      </c>
      <c r="M41" s="1200"/>
      <c r="N41" s="1200"/>
      <c r="O41" s="1200"/>
      <c r="P41" s="1200"/>
      <c r="Q41" s="1200"/>
      <c r="R41" s="1200"/>
      <c r="S41" s="1201"/>
      <c r="U41" s="224">
        <f>IF(((D43-C43)+(F43-E43)+(H43-G43)+(J43-I43))&gt;A9,"ERROR",((D43-C43)+(F43-E43)+(H43-G43)+(J43-I43)))</f>
        <v>0</v>
      </c>
      <c r="V41" s="1180"/>
      <c r="W41" s="180"/>
      <c r="X41" s="1183"/>
      <c r="Y41" s="1184"/>
      <c r="Z41" s="181"/>
    </row>
    <row r="42" spans="1:26" ht="14.7" customHeight="1" thickTop="1" thickBot="1" x14ac:dyDescent="0.35">
      <c r="A42" s="228" t="s">
        <v>318</v>
      </c>
      <c r="B42" s="229"/>
      <c r="C42" s="350"/>
      <c r="D42" s="344"/>
      <c r="E42" s="344"/>
      <c r="F42" s="344"/>
      <c r="G42" s="344"/>
      <c r="H42" s="344"/>
      <c r="I42" s="344"/>
      <c r="J42" s="345"/>
      <c r="L42" s="1157" t="s">
        <v>513</v>
      </c>
      <c r="M42" s="1158"/>
      <c r="N42" s="1158"/>
      <c r="O42" s="1158"/>
      <c r="P42" s="1158"/>
      <c r="Q42" s="1158"/>
      <c r="R42" s="591"/>
      <c r="S42" s="592"/>
      <c r="T42" s="499"/>
      <c r="U42" s="1190" t="s">
        <v>313</v>
      </c>
      <c r="V42" s="1191"/>
      <c r="W42" s="180"/>
      <c r="X42" s="199"/>
      <c r="Y42" s="200"/>
      <c r="Z42" s="181"/>
    </row>
    <row r="43" spans="1:26" ht="15" thickTop="1" thickBot="1" x14ac:dyDescent="0.35">
      <c r="A43" s="230" t="s">
        <v>320</v>
      </c>
      <c r="B43" s="186"/>
      <c r="C43" s="350"/>
      <c r="D43" s="344"/>
      <c r="E43" s="344"/>
      <c r="F43" s="344"/>
      <c r="G43" s="296"/>
      <c r="H43" s="344"/>
      <c r="I43" s="296"/>
      <c r="J43" s="345"/>
      <c r="L43" s="1186" t="s">
        <v>517</v>
      </c>
      <c r="M43" s="1187"/>
      <c r="N43" s="1187"/>
      <c r="O43" s="1187"/>
      <c r="P43" s="1187"/>
      <c r="Q43" s="1187"/>
      <c r="R43" s="1188"/>
      <c r="S43" s="1189"/>
      <c r="T43" s="598"/>
      <c r="U43" s="211" t="s">
        <v>311</v>
      </c>
      <c r="V43" s="212" t="s">
        <v>314</v>
      </c>
      <c r="W43" s="180"/>
      <c r="X43" s="1192" t="s">
        <v>484</v>
      </c>
      <c r="Y43" s="1193"/>
      <c r="Z43" s="181"/>
    </row>
    <row r="44" spans="1:26" ht="14.4" thickTop="1" x14ac:dyDescent="0.3">
      <c r="A44" s="230" t="s">
        <v>315</v>
      </c>
      <c r="B44" s="186"/>
      <c r="C44" s="609"/>
      <c r="D44" s="344"/>
      <c r="E44" s="296"/>
      <c r="F44" s="344"/>
      <c r="G44" s="296"/>
      <c r="H44" s="344"/>
      <c r="I44" s="296"/>
      <c r="J44" s="345"/>
      <c r="L44" s="1177" t="s">
        <v>317</v>
      </c>
      <c r="M44" s="1178"/>
      <c r="N44" s="1178"/>
      <c r="O44" s="1178"/>
      <c r="P44" s="1178"/>
      <c r="Q44" s="1178"/>
      <c r="R44" s="594" t="str">
        <f>IF((AND(S42="no",S44="yes")),"ERROR","")</f>
        <v/>
      </c>
      <c r="S44" s="592"/>
      <c r="U44" s="231">
        <f>IF(((D44-C44)+(F44-E44)+(H44-G44)+(J44-I44))&gt;A9,"ERROR",(D44-C44)+(F44-E44)+(H44-G44)+(J44-I44))</f>
        <v>0</v>
      </c>
      <c r="V44" s="1179" t="e">
        <f>IF(OR(U44="ERROR",U45="ERROR"),"ERROR",100*(SUM(U44,U45)/(2*A9)))</f>
        <v>#DIV/0!</v>
      </c>
      <c r="W44" s="180"/>
      <c r="X44" s="1181" t="str">
        <f>IF(S42="","",S42)</f>
        <v/>
      </c>
      <c r="Y44" s="1182"/>
      <c r="Z44" s="181"/>
    </row>
    <row r="45" spans="1:26" ht="12.75" customHeight="1" thickBot="1" x14ac:dyDescent="0.35">
      <c r="A45" s="232" t="s">
        <v>316</v>
      </c>
      <c r="B45" s="233"/>
      <c r="C45" s="351"/>
      <c r="D45" s="348"/>
      <c r="E45" s="348"/>
      <c r="F45" s="348"/>
      <c r="G45" s="348"/>
      <c r="H45" s="348"/>
      <c r="I45" s="348"/>
      <c r="J45" s="349"/>
      <c r="K45" s="635"/>
      <c r="L45" s="189"/>
      <c r="M45" s="1185" t="s">
        <v>319</v>
      </c>
      <c r="N45" s="1185"/>
      <c r="O45" s="1185"/>
      <c r="P45" s="1185"/>
      <c r="Q45" s="1185"/>
      <c r="R45" s="599" t="str">
        <f>IF((AND((OR(S42="no",S44="no")),S45="yes")),"ERROR","")</f>
        <v/>
      </c>
      <c r="S45" s="600"/>
      <c r="T45" s="499"/>
      <c r="U45" s="231">
        <f>IF(((D45-C45)+(F45-E45)+(H45-G45)+(J45-I45))&gt;A9,"ERROR",(D45-C45)+(F45-E45)+(H45-G45)+(J45-I45))</f>
        <v>0</v>
      </c>
      <c r="V45" s="1180"/>
      <c r="W45" s="359"/>
      <c r="X45" s="1183"/>
      <c r="Y45" s="1184"/>
      <c r="Z45" s="181"/>
    </row>
    <row r="46" spans="1:26" x14ac:dyDescent="0.25">
      <c r="A46" s="325"/>
      <c r="B46" s="325"/>
      <c r="C46" s="325"/>
      <c r="E46" s="330"/>
      <c r="F46" s="332"/>
      <c r="G46" s="332"/>
      <c r="I46" s="333"/>
      <c r="J46" s="332"/>
      <c r="K46" s="579"/>
      <c r="P46" s="595"/>
      <c r="Q46" s="596"/>
      <c r="S46" s="597"/>
      <c r="T46" s="321"/>
      <c r="X46" s="1181" t="str">
        <f>IF(S44="","",S44)</f>
        <v/>
      </c>
      <c r="Y46" s="1182"/>
    </row>
    <row r="47" spans="1:26" ht="13.8" thickBot="1" x14ac:dyDescent="0.3">
      <c r="A47" s="327"/>
      <c r="B47" s="326"/>
      <c r="C47" s="326"/>
      <c r="D47" s="319"/>
      <c r="E47" s="331"/>
      <c r="F47" s="331"/>
      <c r="G47" s="331"/>
      <c r="H47" s="331"/>
      <c r="I47" s="331"/>
      <c r="J47" s="331"/>
      <c r="K47" s="331"/>
      <c r="P47" s="331"/>
      <c r="Q47" s="339"/>
      <c r="R47" s="326"/>
      <c r="S47" s="320"/>
      <c r="T47" s="321"/>
      <c r="X47" s="1183"/>
      <c r="Y47" s="1184"/>
    </row>
    <row r="48" spans="1:26" ht="14.4" thickBot="1" x14ac:dyDescent="0.35">
      <c r="A48" s="328"/>
      <c r="B48" s="581"/>
      <c r="C48" s="582"/>
      <c r="D48" s="582"/>
      <c r="E48" s="582"/>
      <c r="F48" s="582"/>
      <c r="G48" s="582"/>
      <c r="H48" s="582"/>
      <c r="I48" s="582"/>
      <c r="J48" s="582"/>
      <c r="K48" s="582"/>
      <c r="P48" s="342"/>
      <c r="Q48" s="340"/>
      <c r="R48" s="335"/>
      <c r="S48" s="336"/>
      <c r="T48" s="321"/>
      <c r="X48" s="1181" t="str">
        <f>IF(S45="","",S45)</f>
        <v/>
      </c>
      <c r="Y48" s="1182"/>
    </row>
    <row r="49" spans="1:25" ht="14.4" thickBot="1" x14ac:dyDescent="0.35">
      <c r="A49" s="329"/>
      <c r="B49" s="583"/>
      <c r="C49" s="584"/>
      <c r="D49" s="584"/>
      <c r="E49" s="584"/>
      <c r="F49" s="584"/>
      <c r="G49" s="584"/>
      <c r="H49" s="584"/>
      <c r="I49" s="584"/>
      <c r="J49" s="584"/>
      <c r="K49" s="584"/>
      <c r="P49" s="343"/>
      <c r="Q49" s="341"/>
      <c r="R49" s="337"/>
      <c r="S49" s="334"/>
      <c r="T49" s="338"/>
      <c r="X49" s="1183"/>
      <c r="Y49" s="1184"/>
    </row>
    <row r="50" spans="1:25" ht="13.8" x14ac:dyDescent="0.3">
      <c r="P50" s="180"/>
      <c r="Q50" s="175"/>
      <c r="R50" s="180"/>
      <c r="S50" s="180"/>
    </row>
    <row r="51" spans="1:25" ht="21" customHeight="1" x14ac:dyDescent="0.3">
      <c r="P51" s="180"/>
      <c r="Q51" s="175"/>
      <c r="R51" s="180"/>
      <c r="S51" s="180"/>
    </row>
  </sheetData>
  <sheetProtection algorithmName="SHA-512" hashValue="BPrhJvXaH4HSP1rHGyAHwtBEgqu/KkEFf/P0mUqa6Pk8W5tAYFjYmVOWD0MIZjq4L2UH3Q3NKnfd4IZi1Bjl/Q==" saltValue="BzgLGYUOSDnpT837hFtFyA==" spinCount="100000" sheet="1" objects="1" scenarios="1"/>
  <mergeCells count="89">
    <mergeCell ref="X46:Y47"/>
    <mergeCell ref="X48:Y49"/>
    <mergeCell ref="X12:Y12"/>
    <mergeCell ref="X9:Y9"/>
    <mergeCell ref="X13:Y13"/>
    <mergeCell ref="X19:Y19"/>
    <mergeCell ref="X36:Y37"/>
    <mergeCell ref="X27:Y27"/>
    <mergeCell ref="X35:Y35"/>
    <mergeCell ref="X43:Y43"/>
    <mergeCell ref="A13:S13"/>
    <mergeCell ref="A9:B11"/>
    <mergeCell ref="A6:B8"/>
    <mergeCell ref="C6:F8"/>
    <mergeCell ref="H6:K8"/>
    <mergeCell ref="P6:S8"/>
    <mergeCell ref="P9:S11"/>
    <mergeCell ref="U15:V17"/>
    <mergeCell ref="X20:Y21"/>
    <mergeCell ref="X14:Y14"/>
    <mergeCell ref="X15:Y16"/>
    <mergeCell ref="R15:S16"/>
    <mergeCell ref="A15:D16"/>
    <mergeCell ref="E15:F16"/>
    <mergeCell ref="H15:Q16"/>
    <mergeCell ref="X32:Y33"/>
    <mergeCell ref="X23:Y23"/>
    <mergeCell ref="B24:C24"/>
    <mergeCell ref="X24:Y25"/>
    <mergeCell ref="A19:A21"/>
    <mergeCell ref="B19:C19"/>
    <mergeCell ref="A25:A27"/>
    <mergeCell ref="B25:C25"/>
    <mergeCell ref="B29:C29"/>
    <mergeCell ref="B30:C30"/>
    <mergeCell ref="X31:Y31"/>
    <mergeCell ref="B18:C18"/>
    <mergeCell ref="X28:Y29"/>
    <mergeCell ref="L39:Q39"/>
    <mergeCell ref="L41:S41"/>
    <mergeCell ref="A38:J40"/>
    <mergeCell ref="B20:C20"/>
    <mergeCell ref="B21:C21"/>
    <mergeCell ref="B26:C26"/>
    <mergeCell ref="B27:C27"/>
    <mergeCell ref="B22:C22"/>
    <mergeCell ref="B23:C23"/>
    <mergeCell ref="A22:A24"/>
    <mergeCell ref="U42:V42"/>
    <mergeCell ref="X39:Y39"/>
    <mergeCell ref="V40:V41"/>
    <mergeCell ref="X40:Y41"/>
    <mergeCell ref="U38:V38"/>
    <mergeCell ref="L44:Q44"/>
    <mergeCell ref="V44:V45"/>
    <mergeCell ref="X44:Y45"/>
    <mergeCell ref="M45:Q45"/>
    <mergeCell ref="L43:S43"/>
    <mergeCell ref="L42:Q42"/>
    <mergeCell ref="A2:B2"/>
    <mergeCell ref="C2:G2"/>
    <mergeCell ref="I2:K2"/>
    <mergeCell ref="M2:S2"/>
    <mergeCell ref="A31:A33"/>
    <mergeCell ref="B31:C31"/>
    <mergeCell ref="B32:C32"/>
    <mergeCell ref="B33:C33"/>
    <mergeCell ref="A34:A36"/>
    <mergeCell ref="B34:C34"/>
    <mergeCell ref="B35:C35"/>
    <mergeCell ref="B36:C36"/>
    <mergeCell ref="A28:A30"/>
    <mergeCell ref="B28:C28"/>
    <mergeCell ref="L38:S38"/>
    <mergeCell ref="X1:Y5"/>
    <mergeCell ref="X10:Y11"/>
    <mergeCell ref="U1:V2"/>
    <mergeCell ref="U4:V4"/>
    <mergeCell ref="L6:O8"/>
    <mergeCell ref="L9:O11"/>
    <mergeCell ref="A4:S4"/>
    <mergeCell ref="U6:V6"/>
    <mergeCell ref="X6:Y6"/>
    <mergeCell ref="X7:Y8"/>
    <mergeCell ref="G6:G11"/>
    <mergeCell ref="A1:G1"/>
    <mergeCell ref="H1:I1"/>
    <mergeCell ref="K1:M1"/>
    <mergeCell ref="N1:P1"/>
  </mergeCells>
  <dataValidations count="11">
    <dataValidation type="whole" allowBlank="1" showInputMessage="1" showErrorMessage="1" sqref="E10:F11 D11 D10" xr:uid="{00000000-0002-0000-0600-000000000000}">
      <formula1>0</formula1>
      <formula2>17</formula2>
    </dataValidation>
    <dataValidation type="whole" allowBlank="1" showInputMessage="1" showErrorMessage="1" sqref="I10:K11" xr:uid="{E9CB38A0-0FCB-4549-87B4-26AE1FEC8C7C}">
      <formula1>0</formula1>
      <formula2>330</formula2>
    </dataValidation>
    <dataValidation type="decimal" operator="greaterThanOrEqual" allowBlank="1" showInputMessage="1" showErrorMessage="1" sqref="P19:P36 R19:R36 F19:F36 H19:H36 J19:J36 L19:L36 N19:N36 C42:C45 E42:E45 G42:G45 I42:I45" xr:uid="{00000000-0002-0000-0600-000003000000}">
      <formula1>0</formula1>
    </dataValidation>
    <dataValidation type="list" allowBlank="1" showInputMessage="1" showErrorMessage="1" sqref="R15:S16" xr:uid="{00000000-0002-0000-0600-000004000000}">
      <formula1>"Left, Right"</formula1>
    </dataValidation>
    <dataValidation type="list" allowBlank="1" showInputMessage="1" showErrorMessage="1" sqref="P9:S11" xr:uid="{D5B6A121-35C2-4B1F-8E96-CBDAC690A279}">
      <formula1>"&lt;=20%,&gt;20-40%,&gt;40-80%,&gt;80%"</formula1>
    </dataValidation>
    <dataValidation type="list" allowBlank="1" showInputMessage="1" showErrorMessage="1" sqref="L9:O11" xr:uid="{AB9D695B-90A0-4158-974A-217D5005B128}">
      <formula1>"Blocked,Partial,Passable,Unknown"</formula1>
    </dataValidation>
    <dataValidation type="list" allowBlank="1" showInputMessage="1" showErrorMessage="1" sqref="S39" xr:uid="{1CDFC490-C226-43D4-9D7D-F36BE360EE3D}">
      <formula1>"YES, NO"</formula1>
    </dataValidation>
    <dataValidation type="list" allowBlank="1" showInputMessage="1" showErrorMessage="1" sqref="S42" xr:uid="{C1607D14-C963-44EF-9FC1-1ECD0BE14161}">
      <formula1>"YES,NO"</formula1>
    </dataValidation>
    <dataValidation type="list" allowBlank="1" showInputMessage="1" showErrorMessage="1" sqref="S44" xr:uid="{474243DA-5F92-4BC5-BC4D-9A8430F46578}">
      <formula1>"YES, NO,N/A"</formula1>
    </dataValidation>
    <dataValidation type="list" allowBlank="1" showInputMessage="1" showErrorMessage="1" sqref="S45" xr:uid="{9C2C96F5-E825-49EB-81F4-298E76B944DF}">
      <formula1>"YES, NO, N/A"</formula1>
    </dataValidation>
    <dataValidation type="custom" operator="greaterThanOrEqual" allowBlank="1" showInputMessage="1" showErrorMessage="1" sqref="J42:J45 G19:G36 I19:I36 K19:K36 M19:M36 O19:O36 Q19:Q36 S19:S36 D42:D45 F42:F45 H42:H45 D19:D36 E20:E36 E19" xr:uid="{EB3D5EF7-DC99-4508-ACF7-54076CC3720D}">
      <formula1>D19&gt;=C19</formula1>
    </dataValidation>
  </dataValidations>
  <pageMargins left="0.25" right="0.25" top="0.5" bottom="0.5" header="0.3" footer="0.3"/>
  <pageSetup scale="83" orientation="landscape" horizontalDpi="300" verticalDpi="300" r:id="rId1"/>
  <headerFooter alignWithMargins="0">
    <oddFooter>&amp;C&amp;"-,Regular"SFAM Field Data Form (2 of 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4"/>
  <sheetViews>
    <sheetView zoomScaleNormal="100" zoomScaleSheetLayoutView="100" workbookViewId="0">
      <selection sqref="A1:G1"/>
    </sheetView>
  </sheetViews>
  <sheetFormatPr defaultColWidth="9.109375" defaultRowHeight="13.2" x14ac:dyDescent="0.25"/>
  <cols>
    <col min="1" max="1" width="7.6640625" style="170" customWidth="1"/>
    <col min="2" max="2" width="9.44140625" style="170" customWidth="1"/>
    <col min="3" max="3" width="8.6640625" style="170" customWidth="1"/>
    <col min="4" max="20" width="7.6640625" style="170" customWidth="1"/>
    <col min="21" max="21" width="6.6640625" style="170" customWidth="1"/>
    <col min="22" max="23" width="12.6640625" style="170" customWidth="1"/>
    <col min="24" max="24" width="4.33203125" style="170" customWidth="1"/>
    <col min="25" max="26" width="15.6640625" style="170" customWidth="1"/>
    <col min="27" max="16384" width="9.109375" style="170"/>
  </cols>
  <sheetData>
    <row r="1" spans="1:26" s="198" customFormat="1" ht="18.75" customHeight="1" x14ac:dyDescent="0.3">
      <c r="A1" s="1154" t="s">
        <v>324</v>
      </c>
      <c r="B1" s="1154"/>
      <c r="C1" s="1154"/>
      <c r="D1" s="1154"/>
      <c r="E1" s="1154"/>
      <c r="F1" s="1154"/>
      <c r="G1" s="1154"/>
      <c r="H1" s="1154" t="s">
        <v>546</v>
      </c>
      <c r="I1" s="1154"/>
      <c r="J1" s="662"/>
      <c r="K1" s="1155" t="s">
        <v>544</v>
      </c>
      <c r="L1" s="1155"/>
      <c r="M1" s="1155"/>
      <c r="N1" s="1156" t="str">
        <f>IF('Cover Page'!B9="","",'Cover Page'!B9)</f>
        <v/>
      </c>
      <c r="O1" s="1156"/>
      <c r="P1" s="1156"/>
      <c r="Q1" s="662"/>
      <c r="R1" s="662"/>
      <c r="S1" s="662"/>
      <c r="T1" s="662"/>
      <c r="U1" s="412"/>
    </row>
    <row r="2" spans="1:26" s="198" customFormat="1" ht="19.2" customHeight="1" x14ac:dyDescent="0.3">
      <c r="A2" s="1061" t="s">
        <v>135</v>
      </c>
      <c r="B2" s="1061"/>
      <c r="C2" s="1279" t="str">
        <f>IF('Cover Page'!B4="","",'Cover Page'!B4)</f>
        <v/>
      </c>
      <c r="D2" s="1280"/>
      <c r="E2" s="1280"/>
      <c r="F2" s="1280"/>
      <c r="G2" s="1280"/>
      <c r="H2" s="1281"/>
      <c r="I2" s="307" t="s">
        <v>321</v>
      </c>
      <c r="J2" s="1282" t="str">
        <f>IF('Cover Page'!E4="","",'Cover Page'!E4)</f>
        <v/>
      </c>
      <c r="K2" s="1282"/>
      <c r="L2" s="1282"/>
      <c r="M2" s="236" t="s">
        <v>322</v>
      </c>
      <c r="N2" s="1283" t="str">
        <f>IF('Cover Page'!B5="","",'Cover Page'!B5)</f>
        <v/>
      </c>
      <c r="O2" s="1284"/>
      <c r="P2" s="1284"/>
      <c r="Q2" s="1284"/>
      <c r="R2" s="1284"/>
      <c r="S2" s="1284"/>
      <c r="T2" s="1284"/>
      <c r="U2" s="413"/>
      <c r="V2" s="1269" t="s">
        <v>519</v>
      </c>
      <c r="W2" s="1270"/>
      <c r="X2" s="1270"/>
      <c r="Y2" s="1270"/>
      <c r="Z2" s="1271"/>
    </row>
    <row r="3" spans="1:26" s="198" customFormat="1" ht="9" customHeight="1" thickBot="1" x14ac:dyDescent="0.35">
      <c r="A3" s="361"/>
      <c r="B3" s="362"/>
      <c r="C3" s="195"/>
      <c r="D3" s="363"/>
      <c r="E3" s="363"/>
      <c r="F3" s="363"/>
      <c r="G3" s="195"/>
      <c r="H3" s="363"/>
      <c r="I3" s="362"/>
      <c r="J3" s="195"/>
      <c r="K3" s="363"/>
      <c r="L3" s="195"/>
      <c r="M3" s="362"/>
      <c r="N3" s="195"/>
      <c r="O3" s="364"/>
      <c r="P3" s="363"/>
      <c r="Q3" s="195"/>
      <c r="R3" s="363"/>
      <c r="S3" s="195"/>
      <c r="T3" s="364"/>
      <c r="U3" s="413"/>
    </row>
    <row r="4" spans="1:26" s="198" customFormat="1" ht="30.75" customHeight="1" thickBot="1" x14ac:dyDescent="0.35">
      <c r="A4" s="1278" t="s">
        <v>515</v>
      </c>
      <c r="B4" s="1278"/>
      <c r="C4" s="1278"/>
      <c r="D4" s="1278"/>
      <c r="E4" s="1278"/>
      <c r="F4" s="1278"/>
      <c r="G4" s="1278"/>
      <c r="H4" s="1278"/>
      <c r="I4" s="1278"/>
      <c r="J4" s="1278"/>
      <c r="K4" s="1278"/>
      <c r="L4" s="1278"/>
      <c r="M4" s="1278"/>
      <c r="N4" s="1278"/>
      <c r="O4" s="1278"/>
      <c r="P4" s="1278"/>
      <c r="Q4" s="1278"/>
      <c r="R4" s="1278"/>
      <c r="S4" s="1278"/>
      <c r="T4" s="1278"/>
      <c r="U4" s="413"/>
      <c r="V4" s="1311" t="s">
        <v>297</v>
      </c>
      <c r="W4" s="1312"/>
      <c r="X4" s="365"/>
      <c r="Y4" s="1292" t="s">
        <v>430</v>
      </c>
      <c r="Z4" s="1293"/>
    </row>
    <row r="5" spans="1:26" ht="18" customHeight="1" x14ac:dyDescent="0.3">
      <c r="A5" s="1345" t="s">
        <v>350</v>
      </c>
      <c r="B5" s="1346"/>
      <c r="C5" s="1347"/>
      <c r="D5" s="1351"/>
      <c r="E5" s="1351"/>
      <c r="F5" s="1352"/>
      <c r="G5" s="416"/>
      <c r="H5" s="1337" t="s">
        <v>493</v>
      </c>
      <c r="I5" s="1338"/>
      <c r="J5" s="1338"/>
      <c r="K5" s="1338"/>
      <c r="L5" s="1338"/>
      <c r="M5" s="1338"/>
      <c r="N5" s="1338"/>
      <c r="O5" s="1338"/>
      <c r="P5" s="1338"/>
      <c r="Q5" s="1338"/>
      <c r="R5" s="1338"/>
      <c r="S5" s="1338"/>
      <c r="T5" s="1339"/>
      <c r="U5" s="180"/>
      <c r="V5" s="1358" t="s">
        <v>152</v>
      </c>
      <c r="W5" s="1359"/>
      <c r="Y5" s="1362" t="s">
        <v>494</v>
      </c>
      <c r="Z5" s="1363"/>
    </row>
    <row r="6" spans="1:26" ht="10.95" customHeight="1" thickBot="1" x14ac:dyDescent="0.35">
      <c r="A6" s="1348"/>
      <c r="B6" s="1349"/>
      <c r="C6" s="1350"/>
      <c r="D6" s="1353"/>
      <c r="E6" s="1353"/>
      <c r="F6" s="1354"/>
      <c r="G6" s="416"/>
      <c r="H6" s="1355"/>
      <c r="I6" s="1356"/>
      <c r="J6" s="1356"/>
      <c r="K6" s="1356"/>
      <c r="L6" s="1356"/>
      <c r="M6" s="1356"/>
      <c r="N6" s="1356"/>
      <c r="O6" s="1356"/>
      <c r="P6" s="1356"/>
      <c r="Q6" s="1356"/>
      <c r="R6" s="1356"/>
      <c r="S6" s="1356"/>
      <c r="T6" s="1357"/>
      <c r="U6" s="180"/>
      <c r="V6" s="1360"/>
      <c r="W6" s="1361"/>
      <c r="X6" s="180"/>
      <c r="Y6" s="1375" t="e">
        <f>ROUND(W8,0)</f>
        <v>#DIV/0!</v>
      </c>
      <c r="Z6" s="1121"/>
    </row>
    <row r="7" spans="1:26" ht="18" customHeight="1" thickTop="1" thickBot="1" x14ac:dyDescent="0.35">
      <c r="B7" s="415"/>
      <c r="D7" s="414"/>
      <c r="E7" s="415"/>
      <c r="F7" s="415"/>
      <c r="G7" s="274"/>
      <c r="H7" s="1327"/>
      <c r="I7" s="1328"/>
      <c r="J7" s="1328"/>
      <c r="K7" s="588" t="s">
        <v>308</v>
      </c>
      <c r="L7" s="588" t="s">
        <v>309</v>
      </c>
      <c r="M7" s="588" t="s">
        <v>308</v>
      </c>
      <c r="N7" s="588" t="s">
        <v>309</v>
      </c>
      <c r="O7" s="588" t="s">
        <v>308</v>
      </c>
      <c r="P7" s="588" t="s">
        <v>309</v>
      </c>
      <c r="Q7" s="588" t="s">
        <v>308</v>
      </c>
      <c r="R7" s="588" t="s">
        <v>309</v>
      </c>
      <c r="S7" s="588" t="s">
        <v>308</v>
      </c>
      <c r="T7" s="205" t="s">
        <v>309</v>
      </c>
      <c r="U7" s="180"/>
      <c r="V7" s="406" t="s">
        <v>311</v>
      </c>
      <c r="W7" s="407" t="s">
        <v>351</v>
      </c>
      <c r="X7" s="180"/>
      <c r="Y7" s="1122"/>
      <c r="Z7" s="1123"/>
    </row>
    <row r="8" spans="1:26" ht="18" customHeight="1" thickBot="1" x14ac:dyDescent="0.35">
      <c r="A8" s="1174" t="s">
        <v>496</v>
      </c>
      <c r="B8" s="1175"/>
      <c r="C8" s="1175"/>
      <c r="D8" s="1175"/>
      <c r="E8" s="1175"/>
      <c r="F8" s="1176"/>
      <c r="G8" s="416"/>
      <c r="H8" s="1329" t="s">
        <v>360</v>
      </c>
      <c r="I8" s="1330"/>
      <c r="J8" s="1330"/>
      <c r="K8" s="378"/>
      <c r="L8" s="378"/>
      <c r="M8" s="378"/>
      <c r="N8" s="378"/>
      <c r="O8" s="378"/>
      <c r="P8" s="378"/>
      <c r="Q8" s="378"/>
      <c r="R8" s="378"/>
      <c r="S8" s="378"/>
      <c r="T8" s="379"/>
      <c r="U8" s="180"/>
      <c r="V8" s="408">
        <f>IF(((L8-K8)+(N8-M8)+(P8-O8)+(R8-Q8)+(T8-S8))&gt;D5,"ERROR",(L8-K8)+(N8-M8)+(P8-O8)+(R8-Q8)+(T8-S8))</f>
        <v>0</v>
      </c>
      <c r="W8" s="580" t="e">
        <f>100*(V8/D5)</f>
        <v>#DIV/0!</v>
      </c>
      <c r="X8" s="180"/>
    </row>
    <row r="9" spans="1:26" ht="24.75" customHeight="1" thickBot="1" x14ac:dyDescent="0.35">
      <c r="A9" s="1364"/>
      <c r="B9" s="1365"/>
      <c r="C9" s="1365"/>
      <c r="D9" s="1365"/>
      <c r="E9" s="1365"/>
      <c r="F9" s="1366"/>
      <c r="G9" s="416"/>
      <c r="H9" s="1331" t="s">
        <v>352</v>
      </c>
      <c r="I9" s="1332"/>
      <c r="J9" s="1332"/>
      <c r="K9" s="302"/>
      <c r="L9" s="378"/>
      <c r="M9" s="378"/>
      <c r="N9" s="378"/>
      <c r="O9" s="378"/>
      <c r="P9" s="378"/>
      <c r="Q9" s="378"/>
      <c r="R9" s="378"/>
      <c r="S9" s="378"/>
      <c r="T9" s="379"/>
      <c r="U9" s="180"/>
      <c r="V9" s="1333" t="s">
        <v>153</v>
      </c>
      <c r="W9" s="1334"/>
      <c r="X9" s="180"/>
      <c r="Y9" s="1362" t="s">
        <v>495</v>
      </c>
      <c r="Z9" s="1363"/>
    </row>
    <row r="10" spans="1:26" ht="29.25" customHeight="1" thickTop="1" thickBot="1" x14ac:dyDescent="0.35">
      <c r="A10" s="1306"/>
      <c r="B10" s="1307"/>
      <c r="C10" s="1307"/>
      <c r="D10" s="1307"/>
      <c r="E10" s="1307"/>
      <c r="F10" s="1308"/>
      <c r="G10" s="416"/>
      <c r="H10" s="1309" t="s">
        <v>353</v>
      </c>
      <c r="I10" s="1310"/>
      <c r="J10" s="1310"/>
      <c r="K10" s="400"/>
      <c r="L10" s="604"/>
      <c r="M10" s="604"/>
      <c r="N10" s="604"/>
      <c r="O10" s="604"/>
      <c r="P10" s="604"/>
      <c r="Q10" s="604"/>
      <c r="R10" s="604"/>
      <c r="S10" s="604"/>
      <c r="T10" s="605"/>
      <c r="U10" s="180"/>
      <c r="V10" s="406" t="s">
        <v>311</v>
      </c>
      <c r="W10" s="407" t="s">
        <v>354</v>
      </c>
      <c r="X10" s="180"/>
      <c r="Y10" s="1382" t="e">
        <f>ROUND(W11,0)</f>
        <v>#DIV/0!</v>
      </c>
      <c r="Z10" s="1383"/>
    </row>
    <row r="11" spans="1:26" ht="13.95" customHeight="1" thickTop="1" thickBot="1" x14ac:dyDescent="0.35">
      <c r="A11" s="1306"/>
      <c r="B11" s="1307"/>
      <c r="C11" s="1307"/>
      <c r="D11" s="1307"/>
      <c r="E11" s="1307"/>
      <c r="F11" s="1308"/>
      <c r="G11" s="417"/>
      <c r="H11" s="602"/>
      <c r="I11" s="603"/>
      <c r="J11" s="603"/>
      <c r="K11" s="309"/>
      <c r="L11" s="309"/>
      <c r="M11" s="309"/>
      <c r="N11" s="237"/>
      <c r="O11" s="180"/>
      <c r="P11" s="309"/>
      <c r="Q11" s="237"/>
      <c r="R11" s="237"/>
      <c r="S11" s="180"/>
      <c r="T11" s="309"/>
      <c r="U11" s="180"/>
      <c r="V11" s="409">
        <f>IF(((L9-K9)+(N9-M9)+(P9-O9)+(R9-Q9)+(T9-S9))&gt;D5,"ERROR",(L9-K9)+(N9-M9)+(P9-O9)+(R9-Q9)+(T9-S9))</f>
        <v>0</v>
      </c>
      <c r="W11" s="1335" t="e">
        <f>100*((V11+V12)/(2*D5))</f>
        <v>#DIV/0!</v>
      </c>
      <c r="X11" s="180"/>
    </row>
    <row r="12" spans="1:26" ht="18" customHeight="1" thickBot="1" x14ac:dyDescent="0.35">
      <c r="A12" s="1306"/>
      <c r="B12" s="1307"/>
      <c r="C12" s="1307"/>
      <c r="D12" s="1307"/>
      <c r="E12" s="1307"/>
      <c r="F12" s="1308"/>
      <c r="G12" s="416"/>
      <c r="H12" s="1321" t="s">
        <v>426</v>
      </c>
      <c r="I12" s="1322"/>
      <c r="J12" s="1322"/>
      <c r="K12" s="1322"/>
      <c r="L12" s="1322"/>
      <c r="M12" s="1322"/>
      <c r="N12" s="1322"/>
      <c r="O12" s="1322"/>
      <c r="P12" s="1322"/>
      <c r="Q12" s="1322"/>
      <c r="R12" s="1322"/>
      <c r="S12" s="1322"/>
      <c r="T12" s="1323"/>
      <c r="U12" s="180"/>
      <c r="V12" s="409">
        <f>IF(((L10-K10)+(N10-M10)+(P10-O10)+(R10-Q10)+(T10-S10))&gt;D5,"ERROR",(L10-K10)+(N10-M10)+(P10-O10)+(R10-Q10)+(T10-S10))</f>
        <v>0</v>
      </c>
      <c r="W12" s="1336"/>
      <c r="X12" s="180"/>
    </row>
    <row r="13" spans="1:26" ht="9" customHeight="1" thickBot="1" x14ac:dyDescent="0.35">
      <c r="A13" s="1306"/>
      <c r="B13" s="1307"/>
      <c r="C13" s="1307"/>
      <c r="D13" s="1307"/>
      <c r="E13" s="1307"/>
      <c r="F13" s="1308"/>
      <c r="G13" s="418"/>
      <c r="H13" s="1324"/>
      <c r="I13" s="1325"/>
      <c r="J13" s="1325"/>
      <c r="K13" s="1325"/>
      <c r="L13" s="1325"/>
      <c r="M13" s="1325"/>
      <c r="N13" s="1325"/>
      <c r="O13" s="1325"/>
      <c r="P13" s="1325"/>
      <c r="Q13" s="1325"/>
      <c r="R13" s="1325"/>
      <c r="S13" s="1325"/>
      <c r="T13" s="1326"/>
      <c r="U13" s="180"/>
      <c r="V13" s="410"/>
      <c r="W13" s="411"/>
      <c r="X13" s="180"/>
      <c r="Y13" s="1376" t="s">
        <v>497</v>
      </c>
      <c r="Z13" s="1377"/>
    </row>
    <row r="14" spans="1:26" ht="13.2" customHeight="1" x14ac:dyDescent="0.3">
      <c r="A14" s="1272"/>
      <c r="B14" s="1273"/>
      <c r="C14" s="1274"/>
      <c r="D14" s="1294" t="s">
        <v>355</v>
      </c>
      <c r="E14" s="1296"/>
      <c r="F14" s="1297"/>
      <c r="G14" s="418"/>
      <c r="H14" s="1300"/>
      <c r="I14" s="1301"/>
      <c r="J14" s="1301"/>
      <c r="K14" s="1301"/>
      <c r="L14" s="1301"/>
      <c r="M14" s="1301"/>
      <c r="N14" s="1301"/>
      <c r="O14" s="1301"/>
      <c r="P14" s="1301"/>
      <c r="Q14" s="1301"/>
      <c r="R14" s="1301"/>
      <c r="S14" s="1301"/>
      <c r="T14" s="1302"/>
      <c r="U14" s="182"/>
      <c r="V14" s="180"/>
      <c r="W14" s="180"/>
      <c r="X14" s="180"/>
      <c r="Y14" s="1378" t="e">
        <f>E14/(D5/328)</f>
        <v>#DIV/0!</v>
      </c>
      <c r="Z14" s="1379"/>
    </row>
    <row r="15" spans="1:26" ht="13.95" customHeight="1" thickBot="1" x14ac:dyDescent="0.35">
      <c r="A15" s="1275"/>
      <c r="B15" s="1276"/>
      <c r="C15" s="1277"/>
      <c r="D15" s="1295"/>
      <c r="E15" s="1298"/>
      <c r="F15" s="1299"/>
      <c r="H15" s="1303"/>
      <c r="I15" s="1304"/>
      <c r="J15" s="1304"/>
      <c r="K15" s="1304"/>
      <c r="L15" s="1304"/>
      <c r="M15" s="1304"/>
      <c r="N15" s="1304"/>
      <c r="O15" s="1304"/>
      <c r="P15" s="1304"/>
      <c r="Q15" s="1304"/>
      <c r="R15" s="1304"/>
      <c r="S15" s="1304"/>
      <c r="T15" s="1305"/>
      <c r="U15" s="182"/>
      <c r="V15" s="180"/>
      <c r="W15" s="180"/>
      <c r="X15" s="180"/>
      <c r="Y15" s="1122"/>
      <c r="Z15" s="1123"/>
    </row>
    <row r="16" spans="1:26" ht="7.2" customHeight="1" thickBot="1" x14ac:dyDescent="0.35">
      <c r="A16" s="550"/>
      <c r="B16" s="550"/>
      <c r="C16" s="547"/>
      <c r="D16" s="551"/>
      <c r="E16" s="552"/>
      <c r="F16" s="552"/>
      <c r="H16" s="548"/>
      <c r="I16" s="548"/>
      <c r="J16" s="548"/>
      <c r="K16" s="548"/>
      <c r="L16" s="548"/>
      <c r="M16" s="548"/>
      <c r="N16" s="548"/>
      <c r="O16" s="548"/>
      <c r="P16" s="548"/>
      <c r="Q16" s="548"/>
      <c r="R16" s="548"/>
      <c r="S16" s="548"/>
      <c r="T16" s="549"/>
      <c r="V16" s="180"/>
      <c r="W16" s="180"/>
      <c r="X16" s="180"/>
      <c r="Y16" s="180"/>
      <c r="Z16" s="180"/>
    </row>
    <row r="17" spans="1:26" ht="27" customHeight="1" thickBot="1" x14ac:dyDescent="0.35">
      <c r="A17" s="366"/>
      <c r="B17" s="367"/>
      <c r="C17" s="543" t="s">
        <v>500</v>
      </c>
      <c r="D17" s="1285" t="s">
        <v>498</v>
      </c>
      <c r="E17" s="1286"/>
      <c r="F17" s="1287" t="s">
        <v>499</v>
      </c>
      <c r="G17" s="1288"/>
      <c r="H17" s="1288"/>
      <c r="I17" s="1288"/>
      <c r="J17" s="1289"/>
      <c r="K17" s="1287" t="s">
        <v>501</v>
      </c>
      <c r="L17" s="1290"/>
      <c r="M17" s="1290"/>
      <c r="N17" s="1290"/>
      <c r="O17" s="1290"/>
      <c r="P17" s="1290"/>
      <c r="Q17" s="1290"/>
      <c r="R17" s="1290"/>
      <c r="S17" s="1290"/>
      <c r="T17" s="1291"/>
      <c r="U17" s="180"/>
      <c r="V17" s="1269" t="s">
        <v>516</v>
      </c>
      <c r="W17" s="1270"/>
      <c r="X17" s="1270"/>
      <c r="Y17" s="1270"/>
      <c r="Z17" s="1271"/>
    </row>
    <row r="18" spans="1:26" ht="43.2" customHeight="1" thickBot="1" x14ac:dyDescent="0.35">
      <c r="A18" s="368"/>
      <c r="B18" s="180"/>
      <c r="C18" s="1337" t="s">
        <v>411</v>
      </c>
      <c r="D18" s="1338"/>
      <c r="E18" s="1339"/>
      <c r="F18" s="1340" t="s">
        <v>410</v>
      </c>
      <c r="G18" s="1341"/>
      <c r="H18" s="1341"/>
      <c r="I18" s="1341"/>
      <c r="J18" s="1342"/>
      <c r="K18" s="1340" t="s">
        <v>325</v>
      </c>
      <c r="L18" s="1341"/>
      <c r="M18" s="1341"/>
      <c r="N18" s="1341"/>
      <c r="O18" s="1341"/>
      <c r="P18" s="1341"/>
      <c r="Q18" s="1341"/>
      <c r="R18" s="1341"/>
      <c r="S18" s="1341"/>
      <c r="T18" s="1342"/>
      <c r="U18" s="180"/>
      <c r="X18" s="180"/>
    </row>
    <row r="19" spans="1:26" ht="23.25" customHeight="1" thickBot="1" x14ac:dyDescent="0.35">
      <c r="A19" s="1367" t="s">
        <v>326</v>
      </c>
      <c r="B19" s="1369" t="s">
        <v>327</v>
      </c>
      <c r="C19" s="1313" t="s">
        <v>328</v>
      </c>
      <c r="D19" s="1371" t="s">
        <v>329</v>
      </c>
      <c r="E19" s="1317" t="s">
        <v>330</v>
      </c>
      <c r="F19" s="1313" t="s">
        <v>331</v>
      </c>
      <c r="G19" s="1315" t="s">
        <v>332</v>
      </c>
      <c r="H19" s="1315" t="s">
        <v>333</v>
      </c>
      <c r="I19" s="1315" t="s">
        <v>334</v>
      </c>
      <c r="J19" s="1317" t="s">
        <v>335</v>
      </c>
      <c r="K19" s="1313" t="s">
        <v>336</v>
      </c>
      <c r="L19" s="1315" t="s">
        <v>337</v>
      </c>
      <c r="M19" s="1319" t="s">
        <v>338</v>
      </c>
      <c r="N19" s="1343" t="s">
        <v>339</v>
      </c>
      <c r="O19" s="1315" t="s">
        <v>340</v>
      </c>
      <c r="P19" s="1319" t="s">
        <v>341</v>
      </c>
      <c r="Q19" s="1343" t="s">
        <v>342</v>
      </c>
      <c r="R19" s="1319" t="s">
        <v>343</v>
      </c>
      <c r="S19" s="1343" t="s">
        <v>344</v>
      </c>
      <c r="T19" s="1317" t="s">
        <v>345</v>
      </c>
      <c r="U19" s="181"/>
      <c r="W19" s="180"/>
      <c r="X19" s="180"/>
      <c r="Z19" s="197"/>
    </row>
    <row r="20" spans="1:26" s="371" customFormat="1" ht="26.25" customHeight="1" thickBot="1" x14ac:dyDescent="0.35">
      <c r="A20" s="1368"/>
      <c r="B20" s="1370"/>
      <c r="C20" s="1314"/>
      <c r="D20" s="1372"/>
      <c r="E20" s="1318"/>
      <c r="F20" s="1314"/>
      <c r="G20" s="1316"/>
      <c r="H20" s="1316"/>
      <c r="I20" s="1316"/>
      <c r="J20" s="1318"/>
      <c r="K20" s="1314"/>
      <c r="L20" s="1316"/>
      <c r="M20" s="1320"/>
      <c r="N20" s="1344"/>
      <c r="O20" s="1316"/>
      <c r="P20" s="1320"/>
      <c r="Q20" s="1344"/>
      <c r="R20" s="1320"/>
      <c r="S20" s="1344"/>
      <c r="T20" s="1318"/>
      <c r="U20" s="370"/>
      <c r="V20" s="369" t="s">
        <v>142</v>
      </c>
      <c r="W20" s="370"/>
      <c r="X20" s="370"/>
      <c r="Y20" s="1362" t="s">
        <v>502</v>
      </c>
      <c r="Z20" s="1363"/>
    </row>
    <row r="21" spans="1:26" ht="18" customHeight="1" thickBot="1" x14ac:dyDescent="0.35">
      <c r="A21" s="372" t="s">
        <v>111</v>
      </c>
      <c r="B21" s="373">
        <v>0</v>
      </c>
      <c r="C21" s="374"/>
      <c r="D21" s="375"/>
      <c r="E21" s="376"/>
      <c r="F21" s="380"/>
      <c r="G21" s="381"/>
      <c r="H21" s="381"/>
      <c r="I21" s="381"/>
      <c r="J21" s="382"/>
      <c r="K21" s="380"/>
      <c r="L21" s="381"/>
      <c r="M21" s="381"/>
      <c r="N21" s="381"/>
      <c r="O21" s="381"/>
      <c r="P21" s="381"/>
      <c r="Q21" s="381"/>
      <c r="R21" s="381"/>
      <c r="S21" s="381"/>
      <c r="T21" s="382"/>
      <c r="U21" s="180"/>
      <c r="V21" s="383" t="e">
        <f t="shared" ref="V21:V31" si="0">E21/D21</f>
        <v>#DIV/0!</v>
      </c>
      <c r="W21" s="180"/>
      <c r="X21" s="1061"/>
      <c r="Y21" s="1380" t="e">
        <f>ROUND(AVERAGE(V21:V31),2)</f>
        <v>#DIV/0!</v>
      </c>
      <c r="Z21" s="1381"/>
    </row>
    <row r="22" spans="1:26" ht="18" customHeight="1" thickBot="1" x14ac:dyDescent="0.35">
      <c r="A22" s="384" t="s">
        <v>112</v>
      </c>
      <c r="B22" s="385"/>
      <c r="C22" s="386"/>
      <c r="D22" s="387"/>
      <c r="E22" s="388"/>
      <c r="F22" s="389"/>
      <c r="G22" s="375"/>
      <c r="H22" s="302"/>
      <c r="I22" s="302"/>
      <c r="J22" s="388"/>
      <c r="K22" s="389"/>
      <c r="L22" s="302"/>
      <c r="M22" s="302"/>
      <c r="N22" s="302"/>
      <c r="O22" s="302"/>
      <c r="P22" s="302"/>
      <c r="Q22" s="302"/>
      <c r="R22" s="302"/>
      <c r="S22" s="302"/>
      <c r="T22" s="388"/>
      <c r="U22" s="180"/>
      <c r="V22" s="390" t="e">
        <f t="shared" si="0"/>
        <v>#DIV/0!</v>
      </c>
      <c r="W22" s="180"/>
      <c r="X22" s="1061"/>
      <c r="Y22" s="199"/>
      <c r="Z22" s="200"/>
    </row>
    <row r="23" spans="1:26" ht="18" customHeight="1" x14ac:dyDescent="0.3">
      <c r="A23" s="384" t="s">
        <v>113</v>
      </c>
      <c r="B23" s="385"/>
      <c r="C23" s="386"/>
      <c r="D23" s="387"/>
      <c r="E23" s="388"/>
      <c r="F23" s="389"/>
      <c r="G23" s="375"/>
      <c r="H23" s="302"/>
      <c r="I23" s="302"/>
      <c r="J23" s="388"/>
      <c r="K23" s="389"/>
      <c r="L23" s="302"/>
      <c r="M23" s="302"/>
      <c r="N23" s="302"/>
      <c r="O23" s="302"/>
      <c r="P23" s="302"/>
      <c r="Q23" s="302"/>
      <c r="R23" s="302"/>
      <c r="S23" s="302"/>
      <c r="T23" s="388"/>
      <c r="U23" s="180"/>
      <c r="V23" s="390" t="e">
        <f t="shared" si="0"/>
        <v>#DIV/0!</v>
      </c>
      <c r="W23" s="180"/>
      <c r="X23" s="180"/>
      <c r="Y23" s="1362" t="s">
        <v>503</v>
      </c>
      <c r="Z23" s="1363"/>
    </row>
    <row r="24" spans="1:26" ht="18" customHeight="1" thickBot="1" x14ac:dyDescent="0.35">
      <c r="A24" s="384" t="s">
        <v>114</v>
      </c>
      <c r="B24" s="385"/>
      <c r="C24" s="386"/>
      <c r="D24" s="387"/>
      <c r="E24" s="391"/>
      <c r="F24" s="389"/>
      <c r="G24" s="375"/>
      <c r="H24" s="302"/>
      <c r="I24" s="302"/>
      <c r="J24" s="392"/>
      <c r="K24" s="389"/>
      <c r="L24" s="302"/>
      <c r="M24" s="302"/>
      <c r="N24" s="302"/>
      <c r="O24" s="302"/>
      <c r="P24" s="302"/>
      <c r="Q24" s="302"/>
      <c r="R24" s="302"/>
      <c r="S24" s="302"/>
      <c r="T24" s="388"/>
      <c r="U24" s="180"/>
      <c r="V24" s="390" t="e">
        <f t="shared" si="0"/>
        <v>#DIV/0!</v>
      </c>
      <c r="W24" s="180"/>
      <c r="X24" s="180"/>
      <c r="Y24" s="1384" t="e">
        <f>ROUND(AVERAGE(F21:J31),0)</f>
        <v>#DIV/0!</v>
      </c>
      <c r="Z24" s="1385"/>
    </row>
    <row r="25" spans="1:26" ht="18" customHeight="1" thickBot="1" x14ac:dyDescent="0.35">
      <c r="A25" s="384" t="s">
        <v>115</v>
      </c>
      <c r="B25" s="385"/>
      <c r="C25" s="386"/>
      <c r="D25" s="387"/>
      <c r="E25" s="391"/>
      <c r="F25" s="389"/>
      <c r="G25" s="375"/>
      <c r="H25" s="302"/>
      <c r="I25" s="302"/>
      <c r="J25" s="393"/>
      <c r="K25" s="389"/>
      <c r="L25" s="302"/>
      <c r="M25" s="302"/>
      <c r="N25" s="302"/>
      <c r="O25" s="302"/>
      <c r="P25" s="302"/>
      <c r="Q25" s="302"/>
      <c r="R25" s="302"/>
      <c r="S25" s="302"/>
      <c r="T25" s="388"/>
      <c r="U25" s="180"/>
      <c r="V25" s="390" t="e">
        <f t="shared" si="0"/>
        <v>#DIV/0!</v>
      </c>
      <c r="W25" s="180"/>
      <c r="X25" s="180"/>
      <c r="Y25" s="199"/>
      <c r="Z25" s="200"/>
    </row>
    <row r="26" spans="1:26" ht="18" customHeight="1" x14ac:dyDescent="0.3">
      <c r="A26" s="384" t="s">
        <v>138</v>
      </c>
      <c r="B26" s="385"/>
      <c r="C26" s="386"/>
      <c r="D26" s="387"/>
      <c r="E26" s="391"/>
      <c r="F26" s="389"/>
      <c r="G26" s="375"/>
      <c r="H26" s="302"/>
      <c r="I26" s="302"/>
      <c r="J26" s="388"/>
      <c r="K26" s="389"/>
      <c r="L26" s="302"/>
      <c r="M26" s="302"/>
      <c r="N26" s="302"/>
      <c r="O26" s="302"/>
      <c r="P26" s="302"/>
      <c r="Q26" s="302"/>
      <c r="R26" s="302"/>
      <c r="S26" s="302"/>
      <c r="T26" s="388"/>
      <c r="U26" s="180"/>
      <c r="V26" s="390" t="e">
        <f t="shared" si="0"/>
        <v>#DIV/0!</v>
      </c>
      <c r="W26" s="180"/>
      <c r="X26" s="180"/>
      <c r="Y26" s="1362" t="s">
        <v>504</v>
      </c>
      <c r="Z26" s="1363"/>
    </row>
    <row r="27" spans="1:26" ht="18" customHeight="1" thickBot="1" x14ac:dyDescent="0.35">
      <c r="A27" s="384" t="s">
        <v>139</v>
      </c>
      <c r="B27" s="385"/>
      <c r="C27" s="386"/>
      <c r="D27" s="387"/>
      <c r="E27" s="388"/>
      <c r="F27" s="377"/>
      <c r="G27" s="375"/>
      <c r="H27" s="302"/>
      <c r="I27" s="302"/>
      <c r="J27" s="388"/>
      <c r="K27" s="389"/>
      <c r="L27" s="302"/>
      <c r="M27" s="302"/>
      <c r="N27" s="302"/>
      <c r="O27" s="302"/>
      <c r="P27" s="302"/>
      <c r="Q27" s="302"/>
      <c r="R27" s="302"/>
      <c r="S27" s="302"/>
      <c r="T27" s="388"/>
      <c r="U27" s="180"/>
      <c r="V27" s="390" t="e">
        <f t="shared" si="0"/>
        <v>#DIV/0!</v>
      </c>
      <c r="W27" s="180"/>
      <c r="Y27" s="1373" t="e">
        <f>ROUND((_xlfn.STDEV.P(C21:C31))/(AVERAGE(C21:C31)),2)</f>
        <v>#DIV/0!</v>
      </c>
      <c r="Z27" s="1374"/>
    </row>
    <row r="28" spans="1:26" ht="18" customHeight="1" thickBot="1" x14ac:dyDescent="0.35">
      <c r="A28" s="384" t="s">
        <v>346</v>
      </c>
      <c r="B28" s="385"/>
      <c r="C28" s="386"/>
      <c r="D28" s="387"/>
      <c r="E28" s="388"/>
      <c r="F28" s="389"/>
      <c r="G28" s="375"/>
      <c r="H28" s="302"/>
      <c r="I28" s="302"/>
      <c r="J28" s="388"/>
      <c r="K28" s="389"/>
      <c r="L28" s="302"/>
      <c r="M28" s="302"/>
      <c r="N28" s="302"/>
      <c r="O28" s="302"/>
      <c r="P28" s="302"/>
      <c r="Q28" s="302"/>
      <c r="R28" s="302"/>
      <c r="S28" s="302"/>
      <c r="T28" s="388"/>
      <c r="U28" s="180"/>
      <c r="V28" s="390" t="e">
        <f t="shared" si="0"/>
        <v>#DIV/0!</v>
      </c>
      <c r="W28" s="180"/>
      <c r="X28" s="180"/>
      <c r="Y28" s="199"/>
      <c r="Z28" s="200"/>
    </row>
    <row r="29" spans="1:26" ht="18" customHeight="1" x14ac:dyDescent="0.3">
      <c r="A29" s="384" t="s">
        <v>347</v>
      </c>
      <c r="B29" s="385"/>
      <c r="C29" s="386"/>
      <c r="D29" s="387"/>
      <c r="E29" s="388"/>
      <c r="F29" s="389"/>
      <c r="G29" s="375"/>
      <c r="H29" s="302"/>
      <c r="I29" s="302"/>
      <c r="J29" s="392"/>
      <c r="K29" s="389"/>
      <c r="L29" s="302"/>
      <c r="M29" s="302"/>
      <c r="N29" s="302"/>
      <c r="O29" s="302"/>
      <c r="P29" s="302"/>
      <c r="Q29" s="302"/>
      <c r="R29" s="302"/>
      <c r="S29" s="302"/>
      <c r="T29" s="388"/>
      <c r="U29" s="180"/>
      <c r="V29" s="390" t="e">
        <f t="shared" si="0"/>
        <v>#DIV/0!</v>
      </c>
      <c r="W29" s="180"/>
      <c r="Y29" s="1362" t="s">
        <v>505</v>
      </c>
      <c r="Z29" s="1363"/>
    </row>
    <row r="30" spans="1:26" ht="18" customHeight="1" thickBot="1" x14ac:dyDescent="0.35">
      <c r="A30" s="384" t="s">
        <v>348</v>
      </c>
      <c r="B30" s="385"/>
      <c r="C30" s="386"/>
      <c r="D30" s="387"/>
      <c r="E30" s="388"/>
      <c r="F30" s="389"/>
      <c r="G30" s="375"/>
      <c r="H30" s="302"/>
      <c r="I30" s="302"/>
      <c r="J30" s="393"/>
      <c r="K30" s="389"/>
      <c r="L30" s="302"/>
      <c r="M30" s="302"/>
      <c r="N30" s="302"/>
      <c r="O30" s="302"/>
      <c r="P30" s="302"/>
      <c r="Q30" s="302"/>
      <c r="R30" s="302"/>
      <c r="S30" s="302"/>
      <c r="T30" s="388"/>
      <c r="U30" s="180"/>
      <c r="V30" s="390" t="e">
        <f t="shared" si="0"/>
        <v>#DIV/0!</v>
      </c>
      <c r="W30" s="180"/>
      <c r="X30" s="180"/>
      <c r="Y30" s="1373" t="e">
        <f>ROUND((_xlfn.STDEV.P(K21:T30))/(AVERAGE(K21:T30)),2)</f>
        <v>#DIV/0!</v>
      </c>
      <c r="Z30" s="1374"/>
    </row>
    <row r="31" spans="1:26" ht="18" customHeight="1" thickBot="1" x14ac:dyDescent="0.35">
      <c r="A31" s="394" t="s">
        <v>349</v>
      </c>
      <c r="B31" s="395"/>
      <c r="C31" s="396"/>
      <c r="D31" s="397"/>
      <c r="E31" s="398"/>
      <c r="F31" s="399"/>
      <c r="G31" s="601"/>
      <c r="H31" s="400"/>
      <c r="I31" s="400"/>
      <c r="J31" s="398"/>
      <c r="K31" s="401"/>
      <c r="L31" s="402"/>
      <c r="M31" s="402"/>
      <c r="N31" s="402"/>
      <c r="O31" s="403"/>
      <c r="P31" s="402"/>
      <c r="Q31" s="402"/>
      <c r="R31" s="403"/>
      <c r="S31" s="402"/>
      <c r="T31" s="404"/>
      <c r="U31" s="180"/>
      <c r="V31" s="405" t="e">
        <f t="shared" si="0"/>
        <v>#DIV/0!</v>
      </c>
    </row>
    <row r="32" spans="1:26" ht="14.25" customHeight="1" x14ac:dyDescent="0.3">
      <c r="A32" s="175"/>
      <c r="B32" s="556"/>
      <c r="C32" s="555"/>
      <c r="D32" s="555"/>
      <c r="E32" s="555"/>
      <c r="F32" s="304"/>
      <c r="G32" s="180"/>
      <c r="H32" s="304"/>
      <c r="I32" s="180"/>
      <c r="J32" s="303"/>
      <c r="K32" s="555"/>
      <c r="L32" s="553"/>
      <c r="M32" s="554"/>
      <c r="N32" s="555"/>
      <c r="O32" s="553"/>
      <c r="P32" s="554"/>
      <c r="Q32" s="553"/>
      <c r="R32" s="553"/>
      <c r="S32" s="553"/>
      <c r="T32" s="555"/>
      <c r="U32" s="180"/>
      <c r="V32" s="558" t="s">
        <v>440</v>
      </c>
      <c r="W32" s="559"/>
      <c r="X32" s="180"/>
    </row>
    <row r="33" spans="1:23" ht="13.95" customHeight="1" x14ac:dyDescent="0.25">
      <c r="A33" s="557"/>
      <c r="B33" s="557"/>
      <c r="C33" s="557"/>
      <c r="D33" s="557"/>
      <c r="E33" s="557"/>
      <c r="F33" s="557"/>
      <c r="V33" s="558" t="s">
        <v>442</v>
      </c>
      <c r="W33" s="560"/>
    </row>
    <row r="34" spans="1:23" x14ac:dyDescent="0.25">
      <c r="V34" s="558" t="s">
        <v>443</v>
      </c>
    </row>
  </sheetData>
  <sheetProtection algorithmName="SHA-512" hashValue="8wgsg9cBtsIWO8E+LFY2KzTDZ+YM9/M/EW/5WaDP4wPjJF7f5jx9z1ixWyRfUVi1d2SseSwevb03hoXLjR/OfA==" saltValue="j0oViJRTunKMQa/9C6OASg==" spinCount="100000" sheet="1" objects="1" scenarios="1"/>
  <mergeCells count="71">
    <mergeCell ref="X21:X22"/>
    <mergeCell ref="Y30:Z30"/>
    <mergeCell ref="Y5:Z5"/>
    <mergeCell ref="Y6:Z7"/>
    <mergeCell ref="Y13:Z13"/>
    <mergeCell ref="Y14:Z15"/>
    <mergeCell ref="Y21:Z21"/>
    <mergeCell ref="Y9:Z9"/>
    <mergeCell ref="Y10:Z10"/>
    <mergeCell ref="Y23:Z23"/>
    <mergeCell ref="Y24:Z24"/>
    <mergeCell ref="Y26:Z26"/>
    <mergeCell ref="Y27:Z27"/>
    <mergeCell ref="Y29:Z29"/>
    <mergeCell ref="A5:C6"/>
    <mergeCell ref="D5:F6"/>
    <mergeCell ref="H5:T6"/>
    <mergeCell ref="V5:W6"/>
    <mergeCell ref="Y20:Z20"/>
    <mergeCell ref="O19:O20"/>
    <mergeCell ref="P19:P20"/>
    <mergeCell ref="Q19:Q20"/>
    <mergeCell ref="R19:R20"/>
    <mergeCell ref="S19:S20"/>
    <mergeCell ref="T19:T20"/>
    <mergeCell ref="A8:F9"/>
    <mergeCell ref="A19:A20"/>
    <mergeCell ref="B19:B20"/>
    <mergeCell ref="C19:C20"/>
    <mergeCell ref="D19:D20"/>
    <mergeCell ref="E19:E20"/>
    <mergeCell ref="C18:E18"/>
    <mergeCell ref="F18:J18"/>
    <mergeCell ref="K18:T18"/>
    <mergeCell ref="N19:N20"/>
    <mergeCell ref="V4:W4"/>
    <mergeCell ref="F19:F20"/>
    <mergeCell ref="G19:G20"/>
    <mergeCell ref="H19:H20"/>
    <mergeCell ref="I19:I20"/>
    <mergeCell ref="J19:J20"/>
    <mergeCell ref="K19:K20"/>
    <mergeCell ref="L19:L20"/>
    <mergeCell ref="M19:M20"/>
    <mergeCell ref="H12:T13"/>
    <mergeCell ref="H7:J7"/>
    <mergeCell ref="H8:J8"/>
    <mergeCell ref="H9:J9"/>
    <mergeCell ref="V9:W9"/>
    <mergeCell ref="W11:W12"/>
    <mergeCell ref="A14:C15"/>
    <mergeCell ref="V17:Z17"/>
    <mergeCell ref="A4:T4"/>
    <mergeCell ref="A2:B2"/>
    <mergeCell ref="C2:H2"/>
    <mergeCell ref="J2:L2"/>
    <mergeCell ref="N2:T2"/>
    <mergeCell ref="D17:E17"/>
    <mergeCell ref="F17:J17"/>
    <mergeCell ref="K17:T17"/>
    <mergeCell ref="Y4:Z4"/>
    <mergeCell ref="D14:D15"/>
    <mergeCell ref="E14:F15"/>
    <mergeCell ref="H14:T15"/>
    <mergeCell ref="A10:F13"/>
    <mergeCell ref="H10:J10"/>
    <mergeCell ref="A1:G1"/>
    <mergeCell ref="H1:I1"/>
    <mergeCell ref="K1:M1"/>
    <mergeCell ref="N1:P1"/>
    <mergeCell ref="V2:Z2"/>
  </mergeCells>
  <dataValidations count="8">
    <dataValidation type="decimal" operator="greaterThanOrEqual" allowBlank="1" showInputMessage="1" showErrorMessage="1" sqref="K8 F22:F31 G21:J31 C21:C31 K9:K10 L21:T30 K22:K30 K21" xr:uid="{00000000-0002-0000-0700-000000000000}">
      <formula1>0</formula1>
    </dataValidation>
    <dataValidation type="custom" allowBlank="1" showInputMessage="1" showErrorMessage="1" errorTitle="check data entry" error="Bankful height can not be greater than the lowest floodplain height" sqref="V21" xr:uid="{11409C4D-96DB-4959-B0C2-FB754D197CB1}">
      <formula1>(E21/D21)&gt;=1</formula1>
    </dataValidation>
    <dataValidation type="custom" allowBlank="1" showInputMessage="1" showErrorMessage="1" errorTitle="check data entry" error="bankful height can not be greater than lowest floodplain height." sqref="D21:D31" xr:uid="{5A5ED317-F706-4055-BAF0-9D3478054DDC}">
      <formula1>(E21/D21)&gt;=1</formula1>
    </dataValidation>
    <dataValidation type="custom" operator="greaterThanOrEqual" allowBlank="1" showInputMessage="1" showErrorMessage="1" errorTitle="check data entry" error="bankfull height can not be greater than lowest floodplain height" sqref="E21:E31" xr:uid="{99145945-7E0F-4679-9E91-ADD7225288C0}">
      <formula1>(E21/D21)&gt;=1</formula1>
    </dataValidation>
    <dataValidation type="whole" operator="greaterThanOrEqual" allowBlank="1" showInputMessage="1" showErrorMessage="1" sqref="E14:F15" xr:uid="{CFFB477E-D29A-4A4B-AFC0-2ADAA91B3640}">
      <formula1>0</formula1>
    </dataValidation>
    <dataValidation type="whole" allowBlank="1" showInputMessage="1" showErrorMessage="1" sqref="F21" xr:uid="{1F34F516-744D-4DB3-81CF-8F902DA49AD1}">
      <formula1>0</formula1>
      <formula2>100</formula2>
    </dataValidation>
    <dataValidation type="custom" operator="greaterThanOrEqual" allowBlank="1" showInputMessage="1" showErrorMessage="1" error="attempted entry is smaller than previous entry (cell to the left). Data entry error? " sqref="T8:T10 L9:L10 N8:N10 P8:P10 R8:R10 L8" xr:uid="{E47426E1-E133-4C85-AD26-403B3009F4E4}">
      <formula1>L8&gt;=K8</formula1>
    </dataValidation>
    <dataValidation type="decimal" operator="greaterThanOrEqual" allowBlank="1" showInputMessage="1" showErrorMessage="1" error="attempted entry is smaller than previous entry (cell to the left). Data entry error? " sqref="M8:M10 O8:O10 Q8:Q10 S8:S10" xr:uid="{14B286EB-8BA3-4822-BD09-3075D933BCB9}">
      <formula1>0</formula1>
    </dataValidation>
  </dataValidations>
  <pageMargins left="0.25" right="0.25" top="0.75" bottom="0.75" header="0.3" footer="0.3"/>
  <pageSetup scale="85" orientation="landscape" r:id="rId1"/>
  <headerFooter>
    <oddFooter>&amp;C&amp;"-,Regular"SFAM Field Data Form (3 of 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5B91-6461-4E59-919F-326FC5F545F7}">
  <dimension ref="A1:BB84"/>
  <sheetViews>
    <sheetView zoomScale="90" zoomScaleNormal="90" workbookViewId="0">
      <selection sqref="A1:E1"/>
    </sheetView>
  </sheetViews>
  <sheetFormatPr defaultColWidth="9.109375" defaultRowHeight="14.4" x14ac:dyDescent="0.3"/>
  <cols>
    <col min="5" max="14" width="9.109375" customWidth="1"/>
    <col min="15" max="15" width="11.6640625" customWidth="1"/>
    <col min="16" max="44" width="9.109375" customWidth="1"/>
    <col min="49" max="49" width="11.44140625" customWidth="1"/>
    <col min="50" max="50" width="12.33203125" customWidth="1"/>
  </cols>
  <sheetData>
    <row r="1" spans="1:21" ht="18" x14ac:dyDescent="0.35">
      <c r="A1" s="1386" t="s">
        <v>547</v>
      </c>
      <c r="B1" s="1386"/>
      <c r="C1" s="1386"/>
      <c r="D1" s="1386"/>
      <c r="E1" s="1386"/>
      <c r="F1" s="1386" t="s">
        <v>546</v>
      </c>
      <c r="G1" s="1386"/>
      <c r="I1" s="1387" t="s">
        <v>544</v>
      </c>
      <c r="J1" s="1387"/>
      <c r="K1" s="1387"/>
      <c r="L1" s="1388" t="str">
        <f>IF('Cover Page'!B9="","",'Cover Page'!B9)</f>
        <v/>
      </c>
      <c r="M1" s="1388"/>
      <c r="N1" s="1388"/>
    </row>
    <row r="2" spans="1:21" ht="15.6" x14ac:dyDescent="0.3">
      <c r="A2" s="656" t="s">
        <v>548</v>
      </c>
    </row>
    <row r="3" spans="1:21" s="664" customFormat="1" ht="6.6" customHeight="1" x14ac:dyDescent="0.2">
      <c r="A3" s="663"/>
    </row>
    <row r="4" spans="1:21" s="664" customFormat="1" ht="18" customHeight="1" x14ac:dyDescent="0.3">
      <c r="A4" s="1080" t="s">
        <v>135</v>
      </c>
      <c r="B4" s="1080"/>
      <c r="C4" s="1279" t="str">
        <f>IF('Cover Page'!B4="","",'Cover Page'!B4)</f>
        <v/>
      </c>
      <c r="D4" s="1280"/>
      <c r="E4" s="1280"/>
      <c r="F4" s="1280"/>
      <c r="G4" s="1280"/>
      <c r="H4" s="1281"/>
      <c r="I4" s="665" t="s">
        <v>321</v>
      </c>
      <c r="J4" s="1282" t="str">
        <f>IF('Cover Page'!E4="","",'Cover Page'!E4)</f>
        <v/>
      </c>
      <c r="K4" s="1282"/>
      <c r="L4" s="1282"/>
      <c r="M4" s="666" t="s">
        <v>322</v>
      </c>
      <c r="N4" s="1283" t="str">
        <f>IF('Cover Page'!B5="","",'Cover Page'!B5)</f>
        <v/>
      </c>
      <c r="O4" s="1284"/>
      <c r="P4" s="1284"/>
      <c r="Q4" s="1284"/>
      <c r="R4" s="1284"/>
      <c r="S4" s="1284"/>
      <c r="T4" s="1284"/>
    </row>
    <row r="5" spans="1:21" s="664" customFormat="1" ht="18" customHeight="1" x14ac:dyDescent="0.2">
      <c r="A5" s="663"/>
    </row>
    <row r="6" spans="1:21" ht="15" customHeight="1" x14ac:dyDescent="0.35">
      <c r="A6" s="657" t="s">
        <v>540</v>
      </c>
      <c r="C6" s="5" t="s">
        <v>559</v>
      </c>
    </row>
    <row r="7" spans="1:21" ht="15" customHeight="1" thickBot="1" x14ac:dyDescent="0.4">
      <c r="A7" s="657"/>
      <c r="O7" s="693" t="s">
        <v>556</v>
      </c>
      <c r="P7" s="693"/>
      <c r="Q7" s="693"/>
      <c r="R7" s="693"/>
      <c r="S7" s="693"/>
      <c r="T7" s="693"/>
    </row>
    <row r="8" spans="1:21" ht="15" customHeight="1" x14ac:dyDescent="0.3">
      <c r="A8" s="1242" t="s">
        <v>418</v>
      </c>
      <c r="B8" s="1203"/>
      <c r="C8" s="1203"/>
      <c r="D8" s="1204"/>
      <c r="O8" s="693"/>
      <c r="P8" s="693"/>
      <c r="Q8" s="693"/>
      <c r="R8" s="693"/>
      <c r="S8" s="693"/>
      <c r="T8" s="693"/>
    </row>
    <row r="9" spans="1:21" ht="15" customHeight="1" x14ac:dyDescent="0.3">
      <c r="A9" s="1243"/>
      <c r="B9" s="1206"/>
      <c r="C9" s="1206"/>
      <c r="D9" s="1207"/>
      <c r="O9" s="693"/>
      <c r="P9" s="693"/>
      <c r="Q9" s="693"/>
      <c r="R9" s="693"/>
      <c r="S9" s="693"/>
      <c r="T9" s="693"/>
      <c r="U9" s="678"/>
    </row>
    <row r="10" spans="1:21" ht="15" customHeight="1" thickBot="1" x14ac:dyDescent="0.35">
      <c r="A10" s="1244"/>
      <c r="B10" s="1245"/>
      <c r="C10" s="1245"/>
      <c r="D10" s="1394"/>
      <c r="O10" s="693"/>
      <c r="P10" s="693"/>
      <c r="Q10" s="693"/>
      <c r="R10" s="693"/>
      <c r="S10" s="693"/>
      <c r="T10" s="693"/>
      <c r="U10" s="678"/>
    </row>
    <row r="11" spans="1:21" ht="15" customHeight="1" thickBot="1" x14ac:dyDescent="0.35">
      <c r="A11" s="211"/>
      <c r="B11" s="568" t="s">
        <v>287</v>
      </c>
      <c r="C11" s="568" t="s">
        <v>289</v>
      </c>
      <c r="D11" s="671" t="s">
        <v>291</v>
      </c>
      <c r="E11" s="672" t="s">
        <v>550</v>
      </c>
      <c r="F11" s="672" t="s">
        <v>551</v>
      </c>
      <c r="G11" s="672" t="s">
        <v>552</v>
      </c>
      <c r="H11" s="672" t="s">
        <v>553</v>
      </c>
      <c r="I11" s="672" t="s">
        <v>554</v>
      </c>
      <c r="J11" s="671" t="s">
        <v>555</v>
      </c>
      <c r="O11" s="1145" t="s">
        <v>420</v>
      </c>
      <c r="P11" s="1146"/>
    </row>
    <row r="12" spans="1:21" ht="15" customHeight="1" thickTop="1" thickBot="1" x14ac:dyDescent="0.35">
      <c r="A12" s="206" t="s">
        <v>299</v>
      </c>
      <c r="B12" s="344"/>
      <c r="C12" s="344"/>
      <c r="D12" s="670"/>
      <c r="E12" s="681"/>
      <c r="F12" s="681"/>
      <c r="G12" s="681"/>
      <c r="H12" s="681"/>
      <c r="I12" s="681"/>
      <c r="J12" s="682"/>
      <c r="O12" s="201" t="s">
        <v>323</v>
      </c>
      <c r="P12" s="202" t="s">
        <v>298</v>
      </c>
    </row>
    <row r="13" spans="1:21" ht="15" customHeight="1" thickTop="1" thickBot="1" x14ac:dyDescent="0.35">
      <c r="A13" s="207" t="s">
        <v>300</v>
      </c>
      <c r="B13" s="348"/>
      <c r="C13" s="348"/>
      <c r="D13" s="348"/>
      <c r="E13" s="683"/>
      <c r="F13" s="683"/>
      <c r="G13" s="683"/>
      <c r="H13" s="683"/>
      <c r="I13" s="683"/>
      <c r="J13" s="684"/>
      <c r="O13" s="679" t="e">
        <f>AVERAGE(B12:J13)</f>
        <v>#DIV/0!</v>
      </c>
      <c r="P13" s="680" t="e">
        <f>(O13/17)*100</f>
        <v>#DIV/0!</v>
      </c>
    </row>
    <row r="14" spans="1:21" ht="9.6" customHeight="1" x14ac:dyDescent="0.3">
      <c r="A14" s="411"/>
      <c r="B14" s="646"/>
      <c r="C14" s="646"/>
      <c r="D14" s="646"/>
      <c r="O14" s="675"/>
      <c r="P14" s="676"/>
    </row>
    <row r="15" spans="1:21" ht="15" customHeight="1" x14ac:dyDescent="0.3">
      <c r="A15" s="677" t="s">
        <v>449</v>
      </c>
      <c r="B15" s="646"/>
      <c r="C15" s="646"/>
      <c r="D15" s="646"/>
      <c r="O15" s="675"/>
      <c r="P15" s="676"/>
    </row>
    <row r="16" spans="1:21" ht="9.6" customHeight="1" thickBot="1" x14ac:dyDescent="0.35">
      <c r="A16" s="411"/>
      <c r="B16" s="646"/>
      <c r="C16" s="646"/>
      <c r="D16" s="646"/>
      <c r="O16" s="675"/>
      <c r="P16" s="676"/>
    </row>
    <row r="17" spans="1:54" ht="15" customHeight="1" x14ac:dyDescent="0.3">
      <c r="A17" s="1395" t="s">
        <v>448</v>
      </c>
      <c r="B17" s="1246"/>
      <c r="C17" s="1246"/>
      <c r="D17" s="1396"/>
      <c r="O17" s="1405" t="s">
        <v>557</v>
      </c>
      <c r="P17" s="1405"/>
      <c r="Q17" s="1405"/>
      <c r="R17" s="1405"/>
      <c r="S17" s="1405"/>
      <c r="T17" s="1405"/>
    </row>
    <row r="18" spans="1:54" ht="15" customHeight="1" x14ac:dyDescent="0.3">
      <c r="A18" s="1397"/>
      <c r="B18" s="1248"/>
      <c r="C18" s="1248"/>
      <c r="D18" s="1398"/>
      <c r="O18" s="1405"/>
      <c r="P18" s="1405"/>
      <c r="Q18" s="1405"/>
      <c r="R18" s="1405"/>
      <c r="S18" s="1405"/>
      <c r="T18" s="1405"/>
    </row>
    <row r="19" spans="1:54" ht="15" customHeight="1" thickBot="1" x14ac:dyDescent="0.35">
      <c r="A19" s="1399"/>
      <c r="B19" s="1250"/>
      <c r="C19" s="1250"/>
      <c r="D19" s="1400"/>
      <c r="O19" s="1405"/>
      <c r="P19" s="1405"/>
      <c r="Q19" s="1405"/>
      <c r="R19" s="1405"/>
      <c r="S19" s="1405"/>
      <c r="T19" s="1405"/>
    </row>
    <row r="20" spans="1:54" ht="15" customHeight="1" thickBot="1" x14ac:dyDescent="0.35">
      <c r="A20" s="673"/>
      <c r="B20" s="568" t="s">
        <v>287</v>
      </c>
      <c r="C20" s="568" t="s">
        <v>289</v>
      </c>
      <c r="D20" s="672" t="s">
        <v>291</v>
      </c>
      <c r="E20" s="674" t="s">
        <v>550</v>
      </c>
      <c r="F20" s="672" t="s">
        <v>551</v>
      </c>
      <c r="G20" s="672" t="s">
        <v>552</v>
      </c>
      <c r="H20" s="672" t="s">
        <v>553</v>
      </c>
      <c r="I20" s="672" t="s">
        <v>554</v>
      </c>
      <c r="J20" s="671" t="s">
        <v>555</v>
      </c>
      <c r="O20" s="434" t="s">
        <v>144</v>
      </c>
      <c r="P20" s="676"/>
    </row>
    <row r="21" spans="1:54" ht="15" customHeight="1" thickTop="1" thickBot="1" x14ac:dyDescent="0.35">
      <c r="A21" s="206" t="s">
        <v>299</v>
      </c>
      <c r="B21" s="344"/>
      <c r="C21" s="344"/>
      <c r="D21" s="344"/>
      <c r="E21" s="685"/>
      <c r="F21" s="681"/>
      <c r="G21" s="681"/>
      <c r="H21" s="681"/>
      <c r="I21" s="681"/>
      <c r="J21" s="682"/>
      <c r="O21" s="201" t="s">
        <v>301</v>
      </c>
      <c r="P21" s="676"/>
    </row>
    <row r="22" spans="1:54" ht="15" customHeight="1" thickTop="1" thickBot="1" x14ac:dyDescent="0.35">
      <c r="A22" s="207" t="s">
        <v>300</v>
      </c>
      <c r="B22" s="348"/>
      <c r="C22" s="348"/>
      <c r="D22" s="348"/>
      <c r="E22" s="686"/>
      <c r="F22" s="683"/>
      <c r="G22" s="683"/>
      <c r="H22" s="683"/>
      <c r="I22" s="683"/>
      <c r="J22" s="684"/>
      <c r="O22" s="679" t="e">
        <f>AVERAGE(B21:J22)</f>
        <v>#DIV/0!</v>
      </c>
      <c r="P22" s="676"/>
    </row>
    <row r="23" spans="1:54" ht="9.9" customHeight="1" x14ac:dyDescent="0.3">
      <c r="AW23" s="1406" t="s">
        <v>539</v>
      </c>
      <c r="AX23" s="1407"/>
    </row>
    <row r="24" spans="1:54" ht="16.2" thickBot="1" x14ac:dyDescent="0.35">
      <c r="A24" s="656" t="s">
        <v>558</v>
      </c>
      <c r="AW24" s="1408"/>
      <c r="AX24" s="1409"/>
    </row>
    <row r="25" spans="1:54" ht="30.6" customHeight="1" x14ac:dyDescent="0.3">
      <c r="A25" s="1229" t="s">
        <v>419</v>
      </c>
      <c r="B25" s="1230"/>
      <c r="C25" s="1230"/>
      <c r="D25" s="1230"/>
      <c r="E25" s="1230"/>
      <c r="F25" s="1230"/>
      <c r="G25" s="1230"/>
      <c r="H25" s="1230"/>
      <c r="I25" s="1230"/>
      <c r="J25" s="1230"/>
      <c r="K25" s="1230"/>
      <c r="L25" s="1230"/>
      <c r="M25" s="1230"/>
      <c r="N25" s="1230"/>
      <c r="O25" s="1230"/>
      <c r="P25" s="1230"/>
      <c r="Q25" s="1230"/>
      <c r="R25" s="1230"/>
      <c r="S25" s="1231"/>
      <c r="AW25" s="1408"/>
      <c r="AX25" s="1409"/>
    </row>
    <row r="26" spans="1:54" x14ac:dyDescent="0.3">
      <c r="A26" s="506"/>
      <c r="B26" s="506"/>
      <c r="C26" s="198"/>
      <c r="D26" s="507"/>
      <c r="E26" s="505"/>
      <c r="F26" s="504"/>
      <c r="G26" s="498"/>
      <c r="H26" s="501"/>
      <c r="I26" s="510"/>
      <c r="J26" s="510"/>
      <c r="K26" s="510"/>
      <c r="L26" s="511"/>
      <c r="M26" s="512"/>
      <c r="N26" s="509"/>
      <c r="O26" s="513"/>
      <c r="P26" s="513"/>
      <c r="Q26" s="513"/>
      <c r="R26" s="513"/>
      <c r="S26" s="514"/>
      <c r="AW26" s="1408"/>
      <c r="AX26" s="1409"/>
    </row>
    <row r="27" spans="1:54" x14ac:dyDescent="0.3">
      <c r="A27" s="1211" t="s">
        <v>400</v>
      </c>
      <c r="B27" s="1212"/>
      <c r="C27" s="1212"/>
      <c r="D27" s="1212"/>
      <c r="E27" s="1213"/>
      <c r="F27" s="1213"/>
      <c r="G27" s="500"/>
      <c r="H27" s="1212" t="s">
        <v>399</v>
      </c>
      <c r="I27" s="1212"/>
      <c r="J27" s="1212"/>
      <c r="K27" s="1212"/>
      <c r="L27" s="1212"/>
      <c r="M27" s="1212"/>
      <c r="N27" s="1212"/>
      <c r="O27" s="1212"/>
      <c r="P27" s="1212"/>
      <c r="Q27" s="1212"/>
      <c r="R27" s="1227"/>
      <c r="S27" s="1228"/>
      <c r="AW27" s="1408"/>
      <c r="AX27" s="1409"/>
    </row>
    <row r="28" spans="1:54" ht="15" thickBot="1" x14ac:dyDescent="0.35">
      <c r="A28" s="1211"/>
      <c r="B28" s="1212"/>
      <c r="C28" s="1212"/>
      <c r="D28" s="1212"/>
      <c r="E28" s="1213"/>
      <c r="F28" s="1213"/>
      <c r="G28" s="500"/>
      <c r="H28" s="1212"/>
      <c r="I28" s="1212"/>
      <c r="J28" s="1212"/>
      <c r="K28" s="1212"/>
      <c r="L28" s="1212"/>
      <c r="M28" s="1212"/>
      <c r="N28" s="1212"/>
      <c r="O28" s="1212"/>
      <c r="P28" s="1212"/>
      <c r="Q28" s="1212"/>
      <c r="R28" s="1227"/>
      <c r="S28" s="1228"/>
      <c r="AW28" s="1410"/>
      <c r="AX28" s="1411"/>
    </row>
    <row r="30" spans="1:54" ht="15.75" customHeight="1" thickBot="1" x14ac:dyDescent="0.35">
      <c r="A30" s="210" t="s">
        <v>282</v>
      </c>
      <c r="B30" s="1389" t="s">
        <v>310</v>
      </c>
      <c r="C30" s="1390"/>
      <c r="D30" s="588" t="s">
        <v>308</v>
      </c>
      <c r="E30" s="588" t="s">
        <v>309</v>
      </c>
      <c r="F30" s="588" t="s">
        <v>308</v>
      </c>
      <c r="G30" s="588" t="s">
        <v>309</v>
      </c>
      <c r="H30" s="588" t="s">
        <v>308</v>
      </c>
      <c r="I30" s="588" t="s">
        <v>309</v>
      </c>
      <c r="J30" s="588" t="s">
        <v>308</v>
      </c>
      <c r="K30" s="588" t="s">
        <v>309</v>
      </c>
      <c r="L30" s="588" t="s">
        <v>308</v>
      </c>
      <c r="M30" s="588" t="s">
        <v>309</v>
      </c>
      <c r="N30" s="588" t="s">
        <v>308</v>
      </c>
      <c r="O30" s="588" t="s">
        <v>309</v>
      </c>
      <c r="P30" s="588" t="s">
        <v>308</v>
      </c>
      <c r="Q30" s="588" t="s">
        <v>309</v>
      </c>
      <c r="R30" s="588" t="s">
        <v>308</v>
      </c>
      <c r="S30" s="205" t="s">
        <v>309</v>
      </c>
      <c r="T30" s="588" t="s">
        <v>308</v>
      </c>
      <c r="U30" s="588" t="s">
        <v>309</v>
      </c>
      <c r="V30" s="588" t="s">
        <v>308</v>
      </c>
      <c r="W30" s="588" t="s">
        <v>309</v>
      </c>
      <c r="X30" s="588" t="s">
        <v>308</v>
      </c>
      <c r="Y30" s="588" t="s">
        <v>309</v>
      </c>
      <c r="Z30" s="588" t="s">
        <v>308</v>
      </c>
      <c r="AA30" s="588" t="s">
        <v>309</v>
      </c>
      <c r="AB30" s="588" t="s">
        <v>308</v>
      </c>
      <c r="AC30" s="588" t="s">
        <v>309</v>
      </c>
      <c r="AD30" s="588" t="s">
        <v>308</v>
      </c>
      <c r="AE30" s="588" t="s">
        <v>309</v>
      </c>
      <c r="AF30" s="588" t="s">
        <v>308</v>
      </c>
      <c r="AG30" s="588" t="s">
        <v>309</v>
      </c>
      <c r="AH30" s="588" t="s">
        <v>308</v>
      </c>
      <c r="AI30" s="227" t="s">
        <v>309</v>
      </c>
      <c r="AJ30" s="588" t="s">
        <v>308</v>
      </c>
      <c r="AK30" s="588" t="s">
        <v>309</v>
      </c>
      <c r="AL30" s="588" t="s">
        <v>308</v>
      </c>
      <c r="AM30" s="588" t="s">
        <v>309</v>
      </c>
      <c r="AN30" s="588" t="s">
        <v>308</v>
      </c>
      <c r="AO30" s="588" t="s">
        <v>309</v>
      </c>
      <c r="AP30" s="588" t="s">
        <v>308</v>
      </c>
      <c r="AQ30" s="227" t="s">
        <v>309</v>
      </c>
      <c r="AR30" s="175"/>
      <c r="AS30" s="655" t="s">
        <v>282</v>
      </c>
      <c r="AT30" s="1389" t="s">
        <v>310</v>
      </c>
      <c r="AU30" s="1390"/>
      <c r="AV30" s="215"/>
      <c r="AW30" s="187" t="s">
        <v>311</v>
      </c>
      <c r="AX30" s="187" t="s">
        <v>312</v>
      </c>
      <c r="AY30" s="654"/>
      <c r="AZ30" s="654"/>
      <c r="BA30" s="654"/>
      <c r="BB30" s="654"/>
    </row>
    <row r="31" spans="1:54" ht="15" thickTop="1" x14ac:dyDescent="0.3">
      <c r="A31" s="1391" t="s">
        <v>302</v>
      </c>
      <c r="B31" s="1392" t="s">
        <v>369</v>
      </c>
      <c r="C31" s="1393"/>
      <c r="D31" s="344"/>
      <c r="E31" s="344"/>
      <c r="F31" s="344"/>
      <c r="G31" s="344"/>
      <c r="H31" s="344"/>
      <c r="I31" s="344"/>
      <c r="J31" s="344"/>
      <c r="K31" s="344"/>
      <c r="L31" s="344"/>
      <c r="M31" s="344"/>
      <c r="N31" s="344"/>
      <c r="O31" s="344"/>
      <c r="P31" s="344"/>
      <c r="Q31" s="344"/>
      <c r="R31" s="344"/>
      <c r="S31" s="345"/>
      <c r="T31" s="344"/>
      <c r="U31" s="344"/>
      <c r="V31" s="344"/>
      <c r="W31" s="344"/>
      <c r="X31" s="344"/>
      <c r="Y31" s="344"/>
      <c r="Z31" s="344"/>
      <c r="AA31" s="344"/>
      <c r="AB31" s="344"/>
      <c r="AC31" s="344"/>
      <c r="AD31" s="344"/>
      <c r="AE31" s="344"/>
      <c r="AF31" s="344"/>
      <c r="AG31" s="344"/>
      <c r="AH31" s="344"/>
      <c r="AI31" s="561"/>
      <c r="AJ31" s="344"/>
      <c r="AK31" s="344"/>
      <c r="AL31" s="344"/>
      <c r="AM31" s="344"/>
      <c r="AN31" s="344"/>
      <c r="AO31" s="344"/>
      <c r="AP31" s="344"/>
      <c r="AQ31" s="561"/>
      <c r="AR31" s="646"/>
      <c r="AS31" s="1401" t="s">
        <v>302</v>
      </c>
      <c r="AT31" s="1392" t="s">
        <v>369</v>
      </c>
      <c r="AU31" s="1393"/>
      <c r="AV31" s="216"/>
      <c r="AW31" s="645">
        <f t="shared" ref="AW31:AW62" si="0">(E31-D31)+(G31-F31)+(I31-H31)+(K31-J31)+(M31-L31)+(O31-N31)+(Q31-P31)+(S31-R31)+(U31-T31)+(W31-V31)+(Y31-X31)+(AA31-Z31)+(AC31-AB31)+(AE31-AD31)+(AG31-AF31)+(AI31-AH31)+(AK31-AJ31)+(AM31-AL31)+(AO31-AN31)+(AQ31-AP31)</f>
        <v>0</v>
      </c>
      <c r="AX31" s="518" t="e">
        <f t="shared" ref="AX31:AX62" si="1">IF($R$27="Right","",100*(AW31/$E$27))</f>
        <v>#DIV/0!</v>
      </c>
      <c r="AY31" s="654"/>
      <c r="AZ31" s="654"/>
      <c r="BA31" s="654"/>
      <c r="BB31" s="654"/>
    </row>
    <row r="32" spans="1:54" ht="15" customHeight="1" x14ac:dyDescent="0.3">
      <c r="A32" s="1166"/>
      <c r="B32" s="1170" t="s">
        <v>417</v>
      </c>
      <c r="C32" s="1171"/>
      <c r="D32" s="296"/>
      <c r="E32" s="296"/>
      <c r="F32" s="296"/>
      <c r="G32" s="296"/>
      <c r="H32" s="296"/>
      <c r="I32" s="296"/>
      <c r="J32" s="296"/>
      <c r="K32" s="296"/>
      <c r="L32" s="296"/>
      <c r="M32" s="296"/>
      <c r="N32" s="296"/>
      <c r="O32" s="296"/>
      <c r="P32" s="296"/>
      <c r="Q32" s="296"/>
      <c r="R32" s="296"/>
      <c r="S32" s="647"/>
      <c r="T32" s="296"/>
      <c r="U32" s="296"/>
      <c r="V32" s="296"/>
      <c r="W32" s="296"/>
      <c r="X32" s="296"/>
      <c r="Y32" s="296"/>
      <c r="Z32" s="296"/>
      <c r="AA32" s="296"/>
      <c r="AB32" s="296"/>
      <c r="AC32" s="296"/>
      <c r="AD32" s="296"/>
      <c r="AE32" s="296"/>
      <c r="AF32" s="296"/>
      <c r="AG32" s="296"/>
      <c r="AH32" s="296"/>
      <c r="AI32" s="644"/>
      <c r="AJ32" s="296"/>
      <c r="AK32" s="296"/>
      <c r="AL32" s="296"/>
      <c r="AM32" s="296"/>
      <c r="AN32" s="296"/>
      <c r="AO32" s="296"/>
      <c r="AP32" s="296"/>
      <c r="AQ32" s="644"/>
      <c r="AR32" s="646"/>
      <c r="AS32" s="1402"/>
      <c r="AT32" s="1170" t="s">
        <v>417</v>
      </c>
      <c r="AU32" s="1171"/>
      <c r="AV32" s="216"/>
      <c r="AW32" s="645">
        <f t="shared" si="0"/>
        <v>0</v>
      </c>
      <c r="AX32" s="518" t="e">
        <f t="shared" si="1"/>
        <v>#DIV/0!</v>
      </c>
      <c r="AY32" s="654"/>
      <c r="AZ32" s="654"/>
      <c r="BA32" s="654"/>
      <c r="BB32" s="654"/>
    </row>
    <row r="33" spans="1:54" ht="15" thickBot="1" x14ac:dyDescent="0.35">
      <c r="A33" s="1167"/>
      <c r="B33" s="1172" t="s">
        <v>370</v>
      </c>
      <c r="C33" s="1173"/>
      <c r="D33" s="346"/>
      <c r="E33" s="346"/>
      <c r="F33" s="346"/>
      <c r="G33" s="346"/>
      <c r="H33" s="346"/>
      <c r="I33" s="346"/>
      <c r="J33" s="346"/>
      <c r="K33" s="346"/>
      <c r="L33" s="346"/>
      <c r="M33" s="346"/>
      <c r="N33" s="346"/>
      <c r="O33" s="346"/>
      <c r="P33" s="346"/>
      <c r="Q33" s="346"/>
      <c r="R33" s="346"/>
      <c r="S33" s="652"/>
      <c r="T33" s="346"/>
      <c r="U33" s="346"/>
      <c r="V33" s="346"/>
      <c r="W33" s="346"/>
      <c r="X33" s="346"/>
      <c r="Y33" s="346"/>
      <c r="Z33" s="346"/>
      <c r="AA33" s="346"/>
      <c r="AB33" s="346"/>
      <c r="AC33" s="346"/>
      <c r="AD33" s="346"/>
      <c r="AE33" s="346"/>
      <c r="AF33" s="346"/>
      <c r="AG33" s="346"/>
      <c r="AH33" s="346"/>
      <c r="AI33" s="651"/>
      <c r="AJ33" s="346"/>
      <c r="AK33" s="346"/>
      <c r="AL33" s="346"/>
      <c r="AM33" s="346"/>
      <c r="AN33" s="346"/>
      <c r="AO33" s="346"/>
      <c r="AP33" s="346"/>
      <c r="AQ33" s="651"/>
      <c r="AR33" s="646"/>
      <c r="AS33" s="1403"/>
      <c r="AT33" s="1172" t="s">
        <v>370</v>
      </c>
      <c r="AU33" s="1173"/>
      <c r="AV33" s="216"/>
      <c r="AW33" s="645">
        <f t="shared" si="0"/>
        <v>0</v>
      </c>
      <c r="AX33" s="518" t="e">
        <f t="shared" si="1"/>
        <v>#DIV/0!</v>
      </c>
      <c r="AY33" s="654"/>
      <c r="AZ33" s="654"/>
      <c r="BA33" s="654"/>
      <c r="BB33" s="654"/>
    </row>
    <row r="34" spans="1:54" x14ac:dyDescent="0.3">
      <c r="A34" s="1165" t="s">
        <v>303</v>
      </c>
      <c r="B34" s="1168" t="s">
        <v>369</v>
      </c>
      <c r="C34" s="1169"/>
      <c r="D34" s="347"/>
      <c r="E34" s="347"/>
      <c r="F34" s="347"/>
      <c r="G34" s="347"/>
      <c r="H34" s="347"/>
      <c r="I34" s="347"/>
      <c r="J34" s="347"/>
      <c r="K34" s="347"/>
      <c r="L34" s="347"/>
      <c r="M34" s="347"/>
      <c r="N34" s="347"/>
      <c r="O34" s="347"/>
      <c r="P34" s="347"/>
      <c r="Q34" s="347"/>
      <c r="R34" s="347"/>
      <c r="S34" s="650"/>
      <c r="T34" s="347"/>
      <c r="U34" s="347"/>
      <c r="V34" s="347"/>
      <c r="W34" s="347"/>
      <c r="X34" s="347"/>
      <c r="Y34" s="347"/>
      <c r="Z34" s="347"/>
      <c r="AA34" s="347"/>
      <c r="AB34" s="347"/>
      <c r="AC34" s="347"/>
      <c r="AD34" s="347"/>
      <c r="AE34" s="347"/>
      <c r="AF34" s="347"/>
      <c r="AG34" s="347"/>
      <c r="AH34" s="347"/>
      <c r="AI34" s="648"/>
      <c r="AJ34" s="347"/>
      <c r="AK34" s="347"/>
      <c r="AL34" s="347"/>
      <c r="AM34" s="347"/>
      <c r="AN34" s="347"/>
      <c r="AO34" s="347"/>
      <c r="AP34" s="347"/>
      <c r="AQ34" s="648"/>
      <c r="AR34" s="646"/>
      <c r="AS34" s="1404" t="s">
        <v>303</v>
      </c>
      <c r="AT34" s="1168" t="s">
        <v>369</v>
      </c>
      <c r="AU34" s="1169"/>
      <c r="AV34" s="216"/>
      <c r="AW34" s="645">
        <f t="shared" si="0"/>
        <v>0</v>
      </c>
      <c r="AX34" s="518" t="e">
        <f t="shared" si="1"/>
        <v>#DIV/0!</v>
      </c>
      <c r="AY34" s="654"/>
      <c r="AZ34" s="654"/>
      <c r="BA34" s="654"/>
      <c r="BB34" s="654"/>
    </row>
    <row r="35" spans="1:54" x14ac:dyDescent="0.3">
      <c r="A35" s="1166"/>
      <c r="B35" s="1170" t="s">
        <v>417</v>
      </c>
      <c r="C35" s="1171"/>
      <c r="D35" s="296"/>
      <c r="E35" s="296"/>
      <c r="F35" s="296"/>
      <c r="G35" s="296"/>
      <c r="H35" s="296"/>
      <c r="I35" s="296"/>
      <c r="J35" s="296"/>
      <c r="K35" s="296"/>
      <c r="L35" s="296"/>
      <c r="M35" s="296"/>
      <c r="N35" s="296"/>
      <c r="O35" s="296"/>
      <c r="P35" s="296"/>
      <c r="Q35" s="296"/>
      <c r="R35" s="296"/>
      <c r="S35" s="647"/>
      <c r="T35" s="296"/>
      <c r="U35" s="296"/>
      <c r="V35" s="296"/>
      <c r="W35" s="296"/>
      <c r="X35" s="296"/>
      <c r="Y35" s="296"/>
      <c r="Z35" s="296"/>
      <c r="AA35" s="296"/>
      <c r="AB35" s="296"/>
      <c r="AC35" s="296"/>
      <c r="AD35" s="296"/>
      <c r="AE35" s="296"/>
      <c r="AF35" s="296"/>
      <c r="AG35" s="296"/>
      <c r="AH35" s="296"/>
      <c r="AI35" s="644"/>
      <c r="AJ35" s="296"/>
      <c r="AK35" s="296"/>
      <c r="AL35" s="296"/>
      <c r="AM35" s="296"/>
      <c r="AN35" s="296"/>
      <c r="AO35" s="296"/>
      <c r="AP35" s="296"/>
      <c r="AQ35" s="644"/>
      <c r="AR35" s="646"/>
      <c r="AS35" s="1402"/>
      <c r="AT35" s="1170" t="s">
        <v>417</v>
      </c>
      <c r="AU35" s="1171"/>
      <c r="AV35" s="216"/>
      <c r="AW35" s="645">
        <f t="shared" si="0"/>
        <v>0</v>
      </c>
      <c r="AX35" s="518" t="e">
        <f t="shared" si="1"/>
        <v>#DIV/0!</v>
      </c>
      <c r="AY35" s="654"/>
      <c r="AZ35" s="654"/>
      <c r="BA35" s="654"/>
      <c r="BB35" s="654"/>
    </row>
    <row r="36" spans="1:54" ht="15" thickBot="1" x14ac:dyDescent="0.35">
      <c r="A36" s="1167"/>
      <c r="B36" s="1172" t="s">
        <v>370</v>
      </c>
      <c r="C36" s="1173"/>
      <c r="D36" s="348"/>
      <c r="E36" s="348"/>
      <c r="F36" s="348"/>
      <c r="G36" s="348"/>
      <c r="H36" s="348"/>
      <c r="I36" s="348"/>
      <c r="J36" s="348"/>
      <c r="K36" s="348"/>
      <c r="L36" s="348"/>
      <c r="M36" s="348"/>
      <c r="N36" s="348"/>
      <c r="O36" s="348"/>
      <c r="P36" s="348"/>
      <c r="Q36" s="348"/>
      <c r="R36" s="348"/>
      <c r="S36" s="349"/>
      <c r="T36" s="348"/>
      <c r="U36" s="348"/>
      <c r="V36" s="348"/>
      <c r="W36" s="348"/>
      <c r="X36" s="348"/>
      <c r="Y36" s="348"/>
      <c r="Z36" s="348"/>
      <c r="AA36" s="348"/>
      <c r="AB36" s="348"/>
      <c r="AC36" s="348"/>
      <c r="AD36" s="348"/>
      <c r="AE36" s="348"/>
      <c r="AF36" s="348"/>
      <c r="AG36" s="348"/>
      <c r="AH36" s="348"/>
      <c r="AI36" s="562"/>
      <c r="AJ36" s="348"/>
      <c r="AK36" s="348"/>
      <c r="AL36" s="348"/>
      <c r="AM36" s="348"/>
      <c r="AN36" s="348"/>
      <c r="AO36" s="348"/>
      <c r="AP36" s="348"/>
      <c r="AQ36" s="562"/>
      <c r="AR36" s="646"/>
      <c r="AS36" s="1403"/>
      <c r="AT36" s="1172" t="s">
        <v>370</v>
      </c>
      <c r="AU36" s="1173"/>
      <c r="AV36" s="216"/>
      <c r="AW36" s="645">
        <f t="shared" si="0"/>
        <v>0</v>
      </c>
      <c r="AX36" s="518" t="e">
        <f t="shared" si="1"/>
        <v>#DIV/0!</v>
      </c>
    </row>
    <row r="37" spans="1:54" x14ac:dyDescent="0.3">
      <c r="A37" s="1165" t="s">
        <v>304</v>
      </c>
      <c r="B37" s="1168" t="s">
        <v>369</v>
      </c>
      <c r="C37" s="1169"/>
      <c r="D37" s="344"/>
      <c r="E37" s="344"/>
      <c r="F37" s="344"/>
      <c r="G37" s="344"/>
      <c r="H37" s="344"/>
      <c r="I37" s="344"/>
      <c r="J37" s="344"/>
      <c r="K37" s="344"/>
      <c r="L37" s="344"/>
      <c r="M37" s="344"/>
      <c r="N37" s="344"/>
      <c r="O37" s="344"/>
      <c r="P37" s="344"/>
      <c r="Q37" s="344"/>
      <c r="R37" s="344"/>
      <c r="S37" s="650"/>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648"/>
      <c r="AR37" s="646"/>
      <c r="AS37" s="1404" t="s">
        <v>304</v>
      </c>
      <c r="AT37" s="1168" t="s">
        <v>369</v>
      </c>
      <c r="AU37" s="1169"/>
      <c r="AV37" s="216"/>
      <c r="AW37" s="645">
        <f t="shared" si="0"/>
        <v>0</v>
      </c>
      <c r="AX37" s="518" t="e">
        <f t="shared" si="1"/>
        <v>#DIV/0!</v>
      </c>
    </row>
    <row r="38" spans="1:54" x14ac:dyDescent="0.3">
      <c r="A38" s="1166"/>
      <c r="B38" s="1170" t="s">
        <v>417</v>
      </c>
      <c r="C38" s="1171"/>
      <c r="D38" s="296"/>
      <c r="E38" s="296"/>
      <c r="F38" s="296"/>
      <c r="G38" s="296"/>
      <c r="H38" s="296"/>
      <c r="I38" s="296"/>
      <c r="J38" s="296"/>
      <c r="K38" s="296"/>
      <c r="L38" s="296"/>
      <c r="M38" s="296"/>
      <c r="N38" s="296"/>
      <c r="O38" s="296"/>
      <c r="P38" s="296"/>
      <c r="Q38" s="296"/>
      <c r="R38" s="296"/>
      <c r="S38" s="647"/>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644"/>
      <c r="AR38" s="646"/>
      <c r="AS38" s="1402"/>
      <c r="AT38" s="1170" t="s">
        <v>417</v>
      </c>
      <c r="AU38" s="1171"/>
      <c r="AV38" s="216"/>
      <c r="AW38" s="645">
        <f t="shared" si="0"/>
        <v>0</v>
      </c>
      <c r="AX38" s="518" t="e">
        <f t="shared" si="1"/>
        <v>#DIV/0!</v>
      </c>
    </row>
    <row r="39" spans="1:54" ht="15" thickBot="1" x14ac:dyDescent="0.35">
      <c r="A39" s="1167"/>
      <c r="B39" s="1172" t="s">
        <v>370</v>
      </c>
      <c r="C39" s="1173"/>
      <c r="D39" s="296"/>
      <c r="E39" s="346"/>
      <c r="F39" s="296"/>
      <c r="G39" s="296"/>
      <c r="H39" s="296"/>
      <c r="I39" s="296"/>
      <c r="J39" s="296"/>
      <c r="K39" s="296"/>
      <c r="L39" s="296"/>
      <c r="M39" s="296"/>
      <c r="N39" s="296"/>
      <c r="O39" s="296"/>
      <c r="P39" s="296"/>
      <c r="Q39" s="296"/>
      <c r="R39" s="296"/>
      <c r="S39" s="652"/>
      <c r="T39" s="296"/>
      <c r="U39" s="346"/>
      <c r="V39" s="296"/>
      <c r="W39" s="296"/>
      <c r="X39" s="296"/>
      <c r="Y39" s="296"/>
      <c r="Z39" s="296"/>
      <c r="AA39" s="296"/>
      <c r="AB39" s="296"/>
      <c r="AC39" s="296"/>
      <c r="AD39" s="296"/>
      <c r="AE39" s="296"/>
      <c r="AF39" s="296"/>
      <c r="AG39" s="296"/>
      <c r="AH39" s="344"/>
      <c r="AI39" s="653"/>
      <c r="AJ39" s="344"/>
      <c r="AK39" s="296"/>
      <c r="AL39" s="296"/>
      <c r="AM39" s="296"/>
      <c r="AN39" s="296"/>
      <c r="AO39" s="296"/>
      <c r="AP39" s="296"/>
      <c r="AQ39" s="651"/>
      <c r="AR39" s="646"/>
      <c r="AS39" s="1403"/>
      <c r="AT39" s="1172" t="s">
        <v>370</v>
      </c>
      <c r="AU39" s="1173"/>
      <c r="AV39" s="216"/>
      <c r="AW39" s="645">
        <f t="shared" si="0"/>
        <v>0</v>
      </c>
      <c r="AX39" s="518" t="e">
        <f t="shared" si="1"/>
        <v>#DIV/0!</v>
      </c>
    </row>
    <row r="40" spans="1:54" x14ac:dyDescent="0.3">
      <c r="A40" s="1165" t="s">
        <v>305</v>
      </c>
      <c r="B40" s="1168" t="s">
        <v>369</v>
      </c>
      <c r="C40" s="1169"/>
      <c r="D40" s="347"/>
      <c r="E40" s="347"/>
      <c r="F40" s="347"/>
      <c r="G40" s="347"/>
      <c r="H40" s="347"/>
      <c r="I40" s="347"/>
      <c r="J40" s="347"/>
      <c r="K40" s="347"/>
      <c r="L40" s="347"/>
      <c r="M40" s="347"/>
      <c r="N40" s="347"/>
      <c r="O40" s="347"/>
      <c r="P40" s="347"/>
      <c r="Q40" s="347"/>
      <c r="R40" s="347"/>
      <c r="S40" s="650"/>
      <c r="T40" s="347"/>
      <c r="U40" s="347"/>
      <c r="V40" s="347"/>
      <c r="W40" s="347"/>
      <c r="X40" s="347"/>
      <c r="Y40" s="347"/>
      <c r="Z40" s="347"/>
      <c r="AA40" s="347"/>
      <c r="AB40" s="347"/>
      <c r="AC40" s="347"/>
      <c r="AD40" s="347"/>
      <c r="AE40" s="347"/>
      <c r="AF40" s="347"/>
      <c r="AG40" s="347"/>
      <c r="AH40" s="347"/>
      <c r="AI40" s="648"/>
      <c r="AJ40" s="347"/>
      <c r="AK40" s="347"/>
      <c r="AL40" s="347"/>
      <c r="AM40" s="347"/>
      <c r="AN40" s="347"/>
      <c r="AO40" s="347"/>
      <c r="AP40" s="347"/>
      <c r="AQ40" s="648"/>
      <c r="AR40" s="646"/>
      <c r="AS40" s="1404" t="s">
        <v>305</v>
      </c>
      <c r="AT40" s="1168" t="s">
        <v>369</v>
      </c>
      <c r="AU40" s="1169"/>
      <c r="AV40" s="216"/>
      <c r="AW40" s="645">
        <f t="shared" si="0"/>
        <v>0</v>
      </c>
      <c r="AX40" s="518" t="e">
        <f t="shared" si="1"/>
        <v>#DIV/0!</v>
      </c>
    </row>
    <row r="41" spans="1:54" x14ac:dyDescent="0.3">
      <c r="A41" s="1166"/>
      <c r="B41" s="1170" t="s">
        <v>417</v>
      </c>
      <c r="C41" s="1171"/>
      <c r="D41" s="296"/>
      <c r="E41" s="296"/>
      <c r="F41" s="296"/>
      <c r="G41" s="296"/>
      <c r="H41" s="296"/>
      <c r="I41" s="296"/>
      <c r="J41" s="296"/>
      <c r="K41" s="296"/>
      <c r="L41" s="296"/>
      <c r="M41" s="296"/>
      <c r="N41" s="296"/>
      <c r="O41" s="296"/>
      <c r="P41" s="296"/>
      <c r="Q41" s="296"/>
      <c r="R41" s="296"/>
      <c r="S41" s="647"/>
      <c r="T41" s="296"/>
      <c r="U41" s="296"/>
      <c r="V41" s="296"/>
      <c r="W41" s="296"/>
      <c r="X41" s="296"/>
      <c r="Y41" s="296"/>
      <c r="Z41" s="296"/>
      <c r="AA41" s="296"/>
      <c r="AB41" s="296"/>
      <c r="AC41" s="296"/>
      <c r="AD41" s="296"/>
      <c r="AE41" s="296"/>
      <c r="AF41" s="296"/>
      <c r="AG41" s="296"/>
      <c r="AH41" s="296"/>
      <c r="AI41" s="644"/>
      <c r="AJ41" s="296"/>
      <c r="AK41" s="296"/>
      <c r="AL41" s="296"/>
      <c r="AM41" s="296"/>
      <c r="AN41" s="296"/>
      <c r="AO41" s="296"/>
      <c r="AP41" s="296"/>
      <c r="AQ41" s="644"/>
      <c r="AR41" s="646"/>
      <c r="AS41" s="1402"/>
      <c r="AT41" s="1170" t="s">
        <v>417</v>
      </c>
      <c r="AU41" s="1171"/>
      <c r="AV41" s="216"/>
      <c r="AW41" s="645">
        <f t="shared" si="0"/>
        <v>0</v>
      </c>
      <c r="AX41" s="518" t="e">
        <f t="shared" si="1"/>
        <v>#DIV/0!</v>
      </c>
    </row>
    <row r="42" spans="1:54" ht="15" thickBot="1" x14ac:dyDescent="0.35">
      <c r="A42" s="1167"/>
      <c r="B42" s="1172" t="s">
        <v>370</v>
      </c>
      <c r="C42" s="1173"/>
      <c r="D42" s="296"/>
      <c r="E42" s="346"/>
      <c r="F42" s="296"/>
      <c r="G42" s="296"/>
      <c r="H42" s="296"/>
      <c r="I42" s="296"/>
      <c r="J42" s="296"/>
      <c r="K42" s="296"/>
      <c r="L42" s="296"/>
      <c r="M42" s="296"/>
      <c r="N42" s="296"/>
      <c r="O42" s="296"/>
      <c r="P42" s="296"/>
      <c r="Q42" s="296"/>
      <c r="R42" s="296"/>
      <c r="S42" s="652"/>
      <c r="T42" s="296"/>
      <c r="U42" s="346"/>
      <c r="V42" s="296"/>
      <c r="W42" s="296"/>
      <c r="X42" s="296"/>
      <c r="Y42" s="296"/>
      <c r="Z42" s="296"/>
      <c r="AA42" s="296"/>
      <c r="AB42" s="296"/>
      <c r="AC42" s="296"/>
      <c r="AD42" s="296"/>
      <c r="AE42" s="296"/>
      <c r="AF42" s="296"/>
      <c r="AG42" s="296"/>
      <c r="AH42" s="296"/>
      <c r="AI42" s="651"/>
      <c r="AJ42" s="296"/>
      <c r="AK42" s="296"/>
      <c r="AL42" s="296"/>
      <c r="AM42" s="296"/>
      <c r="AN42" s="296"/>
      <c r="AO42" s="296"/>
      <c r="AP42" s="296"/>
      <c r="AQ42" s="651"/>
      <c r="AR42" s="646"/>
      <c r="AS42" s="1403"/>
      <c r="AT42" s="1172" t="s">
        <v>370</v>
      </c>
      <c r="AU42" s="1173"/>
      <c r="AV42" s="216"/>
      <c r="AW42" s="645">
        <f t="shared" si="0"/>
        <v>0</v>
      </c>
      <c r="AX42" s="518" t="e">
        <f t="shared" si="1"/>
        <v>#DIV/0!</v>
      </c>
    </row>
    <row r="43" spans="1:54" x14ac:dyDescent="0.3">
      <c r="A43" s="1165" t="s">
        <v>306</v>
      </c>
      <c r="B43" s="1168" t="s">
        <v>369</v>
      </c>
      <c r="C43" s="1169"/>
      <c r="D43" s="347"/>
      <c r="E43" s="347"/>
      <c r="F43" s="347"/>
      <c r="G43" s="347"/>
      <c r="H43" s="347"/>
      <c r="I43" s="347"/>
      <c r="J43" s="347"/>
      <c r="K43" s="347"/>
      <c r="L43" s="347"/>
      <c r="M43" s="347"/>
      <c r="N43" s="347"/>
      <c r="O43" s="347"/>
      <c r="P43" s="347"/>
      <c r="Q43" s="347"/>
      <c r="R43" s="347"/>
      <c r="S43" s="650"/>
      <c r="T43" s="347"/>
      <c r="U43" s="347"/>
      <c r="V43" s="347"/>
      <c r="W43" s="347"/>
      <c r="X43" s="347"/>
      <c r="Y43" s="347"/>
      <c r="Z43" s="347"/>
      <c r="AA43" s="347"/>
      <c r="AB43" s="347"/>
      <c r="AC43" s="347"/>
      <c r="AD43" s="347"/>
      <c r="AE43" s="347"/>
      <c r="AF43" s="347"/>
      <c r="AG43" s="347"/>
      <c r="AH43" s="347"/>
      <c r="AI43" s="648"/>
      <c r="AJ43" s="347"/>
      <c r="AK43" s="347"/>
      <c r="AL43" s="347"/>
      <c r="AM43" s="347"/>
      <c r="AN43" s="347"/>
      <c r="AO43" s="347"/>
      <c r="AP43" s="347"/>
      <c r="AQ43" s="648"/>
      <c r="AR43" s="646"/>
      <c r="AS43" s="1404" t="s">
        <v>306</v>
      </c>
      <c r="AT43" s="1168" t="s">
        <v>369</v>
      </c>
      <c r="AU43" s="1169"/>
      <c r="AV43" s="216"/>
      <c r="AW43" s="645">
        <f t="shared" si="0"/>
        <v>0</v>
      </c>
      <c r="AX43" s="518" t="e">
        <f t="shared" si="1"/>
        <v>#DIV/0!</v>
      </c>
    </row>
    <row r="44" spans="1:54" x14ac:dyDescent="0.3">
      <c r="A44" s="1166"/>
      <c r="B44" s="1170" t="s">
        <v>417</v>
      </c>
      <c r="C44" s="1171"/>
      <c r="D44" s="296"/>
      <c r="E44" s="296"/>
      <c r="F44" s="296"/>
      <c r="G44" s="296"/>
      <c r="H44" s="296"/>
      <c r="I44" s="296"/>
      <c r="J44" s="296"/>
      <c r="K44" s="296"/>
      <c r="L44" s="296"/>
      <c r="M44" s="296"/>
      <c r="N44" s="296"/>
      <c r="O44" s="296"/>
      <c r="P44" s="296"/>
      <c r="Q44" s="296"/>
      <c r="R44" s="296"/>
      <c r="S44" s="647"/>
      <c r="T44" s="296"/>
      <c r="U44" s="296"/>
      <c r="V44" s="296"/>
      <c r="W44" s="296"/>
      <c r="X44" s="296"/>
      <c r="Y44" s="296"/>
      <c r="Z44" s="296"/>
      <c r="AA44" s="296"/>
      <c r="AB44" s="296"/>
      <c r="AC44" s="296"/>
      <c r="AD44" s="296"/>
      <c r="AE44" s="296"/>
      <c r="AF44" s="296"/>
      <c r="AG44" s="296"/>
      <c r="AH44" s="296"/>
      <c r="AI44" s="644"/>
      <c r="AJ44" s="296"/>
      <c r="AK44" s="296"/>
      <c r="AL44" s="296"/>
      <c r="AM44" s="296"/>
      <c r="AN44" s="296"/>
      <c r="AO44" s="296"/>
      <c r="AP44" s="296"/>
      <c r="AQ44" s="644"/>
      <c r="AR44" s="646"/>
      <c r="AS44" s="1402"/>
      <c r="AT44" s="1170" t="s">
        <v>417</v>
      </c>
      <c r="AU44" s="1171"/>
      <c r="AV44" s="216"/>
      <c r="AW44" s="645">
        <f t="shared" si="0"/>
        <v>0</v>
      </c>
      <c r="AX44" s="518" t="e">
        <f t="shared" si="1"/>
        <v>#DIV/0!</v>
      </c>
    </row>
    <row r="45" spans="1:54" ht="15" thickBot="1" x14ac:dyDescent="0.35">
      <c r="A45" s="1167"/>
      <c r="B45" s="1172" t="s">
        <v>370</v>
      </c>
      <c r="C45" s="1173"/>
      <c r="D45" s="296"/>
      <c r="E45" s="346"/>
      <c r="F45" s="296"/>
      <c r="G45" s="296"/>
      <c r="H45" s="296"/>
      <c r="I45" s="296"/>
      <c r="J45" s="296"/>
      <c r="K45" s="296"/>
      <c r="L45" s="296"/>
      <c r="M45" s="296"/>
      <c r="N45" s="296"/>
      <c r="O45" s="296"/>
      <c r="P45" s="296"/>
      <c r="Q45" s="296"/>
      <c r="R45" s="296"/>
      <c r="S45" s="652"/>
      <c r="T45" s="296"/>
      <c r="U45" s="346"/>
      <c r="V45" s="296"/>
      <c r="W45" s="296"/>
      <c r="X45" s="296"/>
      <c r="Y45" s="296"/>
      <c r="Z45" s="296"/>
      <c r="AA45" s="296"/>
      <c r="AB45" s="296"/>
      <c r="AC45" s="296"/>
      <c r="AD45" s="296"/>
      <c r="AE45" s="296"/>
      <c r="AF45" s="296"/>
      <c r="AG45" s="296"/>
      <c r="AH45" s="296"/>
      <c r="AI45" s="651"/>
      <c r="AJ45" s="296"/>
      <c r="AK45" s="296"/>
      <c r="AL45" s="296"/>
      <c r="AM45" s="296"/>
      <c r="AN45" s="296"/>
      <c r="AO45" s="296"/>
      <c r="AP45" s="296"/>
      <c r="AQ45" s="651"/>
      <c r="AR45" s="646"/>
      <c r="AS45" s="1403"/>
      <c r="AT45" s="1172" t="s">
        <v>370</v>
      </c>
      <c r="AU45" s="1173"/>
      <c r="AV45" s="216"/>
      <c r="AW45" s="645">
        <f t="shared" si="0"/>
        <v>0</v>
      </c>
      <c r="AX45" s="518" t="e">
        <f t="shared" si="1"/>
        <v>#DIV/0!</v>
      </c>
    </row>
    <row r="46" spans="1:54" x14ac:dyDescent="0.3">
      <c r="A46" s="1165" t="s">
        <v>307</v>
      </c>
      <c r="B46" s="1168" t="s">
        <v>369</v>
      </c>
      <c r="C46" s="1169"/>
      <c r="D46" s="649"/>
      <c r="E46" s="347"/>
      <c r="F46" s="347"/>
      <c r="G46" s="347"/>
      <c r="H46" s="347"/>
      <c r="I46" s="347"/>
      <c r="J46" s="347"/>
      <c r="K46" s="347"/>
      <c r="L46" s="347"/>
      <c r="M46" s="347"/>
      <c r="N46" s="347"/>
      <c r="O46" s="347"/>
      <c r="P46" s="347"/>
      <c r="Q46" s="347"/>
      <c r="R46" s="347"/>
      <c r="S46" s="650"/>
      <c r="T46" s="649"/>
      <c r="U46" s="347"/>
      <c r="V46" s="347"/>
      <c r="W46" s="347"/>
      <c r="X46" s="347"/>
      <c r="Y46" s="347"/>
      <c r="Z46" s="347"/>
      <c r="AA46" s="347"/>
      <c r="AB46" s="347"/>
      <c r="AC46" s="347"/>
      <c r="AD46" s="347"/>
      <c r="AE46" s="347"/>
      <c r="AF46" s="347"/>
      <c r="AG46" s="347"/>
      <c r="AH46" s="347"/>
      <c r="AI46" s="648"/>
      <c r="AJ46" s="347"/>
      <c r="AK46" s="347"/>
      <c r="AL46" s="347"/>
      <c r="AM46" s="347"/>
      <c r="AN46" s="347"/>
      <c r="AO46" s="347"/>
      <c r="AP46" s="347"/>
      <c r="AQ46" s="648"/>
      <c r="AR46" s="646"/>
      <c r="AS46" s="1404" t="s">
        <v>307</v>
      </c>
      <c r="AT46" s="1168" t="s">
        <v>369</v>
      </c>
      <c r="AU46" s="1169"/>
      <c r="AV46" s="216"/>
      <c r="AW46" s="645">
        <f t="shared" si="0"/>
        <v>0</v>
      </c>
      <c r="AX46" s="518" t="e">
        <f t="shared" si="1"/>
        <v>#DIV/0!</v>
      </c>
    </row>
    <row r="47" spans="1:54" x14ac:dyDescent="0.3">
      <c r="A47" s="1166"/>
      <c r="B47" s="1170" t="s">
        <v>417</v>
      </c>
      <c r="C47" s="1171"/>
      <c r="D47" s="346"/>
      <c r="E47" s="296"/>
      <c r="F47" s="296"/>
      <c r="G47" s="296"/>
      <c r="H47" s="296"/>
      <c r="I47" s="296"/>
      <c r="J47" s="296"/>
      <c r="K47" s="296"/>
      <c r="L47" s="296"/>
      <c r="M47" s="296"/>
      <c r="N47" s="296"/>
      <c r="O47" s="296"/>
      <c r="P47" s="296"/>
      <c r="Q47" s="296"/>
      <c r="R47" s="296"/>
      <c r="S47" s="647"/>
      <c r="T47" s="346"/>
      <c r="U47" s="296"/>
      <c r="V47" s="296"/>
      <c r="W47" s="296"/>
      <c r="X47" s="296"/>
      <c r="Y47" s="296"/>
      <c r="Z47" s="296"/>
      <c r="AA47" s="296"/>
      <c r="AB47" s="296"/>
      <c r="AC47" s="296"/>
      <c r="AD47" s="296"/>
      <c r="AE47" s="296"/>
      <c r="AF47" s="296"/>
      <c r="AG47" s="296"/>
      <c r="AH47" s="296"/>
      <c r="AI47" s="644"/>
      <c r="AJ47" s="296"/>
      <c r="AK47" s="296"/>
      <c r="AL47" s="296"/>
      <c r="AM47" s="296"/>
      <c r="AN47" s="296"/>
      <c r="AO47" s="296"/>
      <c r="AP47" s="296"/>
      <c r="AQ47" s="644"/>
      <c r="AR47" s="646"/>
      <c r="AS47" s="1402"/>
      <c r="AT47" s="1170" t="s">
        <v>417</v>
      </c>
      <c r="AU47" s="1171"/>
      <c r="AV47" s="216"/>
      <c r="AW47" s="645">
        <f t="shared" si="0"/>
        <v>0</v>
      </c>
      <c r="AX47" s="518" t="e">
        <f t="shared" si="1"/>
        <v>#DIV/0!</v>
      </c>
    </row>
    <row r="48" spans="1:54" ht="15" thickBot="1" x14ac:dyDescent="0.35">
      <c r="A48" s="1167"/>
      <c r="B48" s="1172" t="s">
        <v>370</v>
      </c>
      <c r="C48" s="1173"/>
      <c r="D48" s="348"/>
      <c r="E48" s="348"/>
      <c r="F48" s="348"/>
      <c r="G48" s="348"/>
      <c r="H48" s="348"/>
      <c r="I48" s="348"/>
      <c r="J48" s="348"/>
      <c r="K48" s="348"/>
      <c r="L48" s="348"/>
      <c r="M48" s="348"/>
      <c r="N48" s="348"/>
      <c r="O48" s="348"/>
      <c r="P48" s="348"/>
      <c r="Q48" s="348"/>
      <c r="R48" s="348"/>
      <c r="S48" s="349"/>
      <c r="T48" s="348"/>
      <c r="U48" s="348"/>
      <c r="V48" s="348"/>
      <c r="W48" s="348"/>
      <c r="X48" s="348"/>
      <c r="Y48" s="348"/>
      <c r="Z48" s="348"/>
      <c r="AA48" s="348"/>
      <c r="AB48" s="348"/>
      <c r="AC48" s="348"/>
      <c r="AD48" s="348"/>
      <c r="AE48" s="348"/>
      <c r="AF48" s="348"/>
      <c r="AG48" s="348"/>
      <c r="AH48" s="348"/>
      <c r="AI48" s="562"/>
      <c r="AJ48" s="348"/>
      <c r="AK48" s="348"/>
      <c r="AL48" s="348"/>
      <c r="AM48" s="348"/>
      <c r="AN48" s="348"/>
      <c r="AO48" s="348"/>
      <c r="AP48" s="348"/>
      <c r="AQ48" s="562"/>
      <c r="AR48" s="646"/>
      <c r="AS48" s="1403"/>
      <c r="AT48" s="1172" t="s">
        <v>370</v>
      </c>
      <c r="AU48" s="1173"/>
      <c r="AV48" s="216"/>
      <c r="AW48" s="645">
        <f t="shared" si="0"/>
        <v>0</v>
      </c>
      <c r="AX48" s="518" t="e">
        <f t="shared" si="1"/>
        <v>#DIV/0!</v>
      </c>
    </row>
    <row r="49" spans="1:50" ht="15" thickTop="1" x14ac:dyDescent="0.3">
      <c r="A49" s="1391" t="s">
        <v>538</v>
      </c>
      <c r="B49" s="1392" t="s">
        <v>369</v>
      </c>
      <c r="C49" s="1393"/>
      <c r="D49" s="344"/>
      <c r="E49" s="344"/>
      <c r="F49" s="344"/>
      <c r="G49" s="344"/>
      <c r="H49" s="344"/>
      <c r="I49" s="344"/>
      <c r="J49" s="344"/>
      <c r="K49" s="344"/>
      <c r="L49" s="344"/>
      <c r="M49" s="344"/>
      <c r="N49" s="344"/>
      <c r="O49" s="344"/>
      <c r="P49" s="344"/>
      <c r="Q49" s="344"/>
      <c r="R49" s="344"/>
      <c r="S49" s="345"/>
      <c r="T49" s="344"/>
      <c r="U49" s="344"/>
      <c r="V49" s="344"/>
      <c r="W49" s="344"/>
      <c r="X49" s="344"/>
      <c r="Y49" s="344"/>
      <c r="Z49" s="344"/>
      <c r="AA49" s="344"/>
      <c r="AB49" s="344"/>
      <c r="AC49" s="344"/>
      <c r="AD49" s="344"/>
      <c r="AE49" s="344"/>
      <c r="AF49" s="344"/>
      <c r="AG49" s="344"/>
      <c r="AH49" s="344"/>
      <c r="AI49" s="561"/>
      <c r="AJ49" s="344"/>
      <c r="AK49" s="344"/>
      <c r="AL49" s="344"/>
      <c r="AM49" s="344"/>
      <c r="AN49" s="344"/>
      <c r="AO49" s="344"/>
      <c r="AP49" s="344"/>
      <c r="AQ49" s="561"/>
      <c r="AR49" s="646"/>
      <c r="AS49" s="1401" t="s">
        <v>538</v>
      </c>
      <c r="AT49" s="1392" t="s">
        <v>369</v>
      </c>
      <c r="AU49" s="1393"/>
      <c r="AV49" s="216"/>
      <c r="AW49" s="645">
        <f t="shared" si="0"/>
        <v>0</v>
      </c>
      <c r="AX49" s="518" t="e">
        <f t="shared" si="1"/>
        <v>#DIV/0!</v>
      </c>
    </row>
    <row r="50" spans="1:50" ht="15" customHeight="1" x14ac:dyDescent="0.3">
      <c r="A50" s="1166"/>
      <c r="B50" s="1170" t="s">
        <v>417</v>
      </c>
      <c r="C50" s="1171"/>
      <c r="D50" s="296"/>
      <c r="E50" s="296"/>
      <c r="F50" s="296"/>
      <c r="G50" s="296"/>
      <c r="H50" s="296"/>
      <c r="I50" s="296"/>
      <c r="J50" s="296"/>
      <c r="K50" s="296"/>
      <c r="L50" s="296"/>
      <c r="M50" s="296"/>
      <c r="N50" s="296"/>
      <c r="O50" s="296"/>
      <c r="P50" s="296"/>
      <c r="Q50" s="296"/>
      <c r="R50" s="296"/>
      <c r="S50" s="647"/>
      <c r="T50" s="296"/>
      <c r="U50" s="296"/>
      <c r="V50" s="296"/>
      <c r="W50" s="296"/>
      <c r="X50" s="296"/>
      <c r="Y50" s="296"/>
      <c r="Z50" s="296"/>
      <c r="AA50" s="296"/>
      <c r="AB50" s="296"/>
      <c r="AC50" s="296"/>
      <c r="AD50" s="296"/>
      <c r="AE50" s="296"/>
      <c r="AF50" s="296"/>
      <c r="AG50" s="296"/>
      <c r="AH50" s="296"/>
      <c r="AI50" s="644"/>
      <c r="AJ50" s="296"/>
      <c r="AK50" s="296"/>
      <c r="AL50" s="296"/>
      <c r="AM50" s="296"/>
      <c r="AN50" s="296"/>
      <c r="AO50" s="296"/>
      <c r="AP50" s="296"/>
      <c r="AQ50" s="644"/>
      <c r="AR50" s="646"/>
      <c r="AS50" s="1402"/>
      <c r="AT50" s="1170" t="s">
        <v>417</v>
      </c>
      <c r="AU50" s="1171"/>
      <c r="AV50" s="216"/>
      <c r="AW50" s="645">
        <f t="shared" si="0"/>
        <v>0</v>
      </c>
      <c r="AX50" s="518" t="e">
        <f t="shared" si="1"/>
        <v>#DIV/0!</v>
      </c>
    </row>
    <row r="51" spans="1:50" ht="15" thickBot="1" x14ac:dyDescent="0.35">
      <c r="A51" s="1167"/>
      <c r="B51" s="1172" t="s">
        <v>370</v>
      </c>
      <c r="C51" s="1173"/>
      <c r="D51" s="346"/>
      <c r="E51" s="346"/>
      <c r="F51" s="346"/>
      <c r="G51" s="346"/>
      <c r="H51" s="346"/>
      <c r="I51" s="346"/>
      <c r="J51" s="346"/>
      <c r="K51" s="346"/>
      <c r="L51" s="346"/>
      <c r="M51" s="346"/>
      <c r="N51" s="346"/>
      <c r="O51" s="346"/>
      <c r="P51" s="346"/>
      <c r="Q51" s="346"/>
      <c r="R51" s="346"/>
      <c r="S51" s="652"/>
      <c r="T51" s="346"/>
      <c r="U51" s="346"/>
      <c r="V51" s="346"/>
      <c r="W51" s="346"/>
      <c r="X51" s="346"/>
      <c r="Y51" s="346"/>
      <c r="Z51" s="346"/>
      <c r="AA51" s="346"/>
      <c r="AB51" s="346"/>
      <c r="AC51" s="346"/>
      <c r="AD51" s="346"/>
      <c r="AE51" s="346"/>
      <c r="AF51" s="346"/>
      <c r="AG51" s="346"/>
      <c r="AH51" s="346"/>
      <c r="AI51" s="651"/>
      <c r="AJ51" s="346"/>
      <c r="AK51" s="346"/>
      <c r="AL51" s="346"/>
      <c r="AM51" s="346"/>
      <c r="AN51" s="346"/>
      <c r="AO51" s="346"/>
      <c r="AP51" s="346"/>
      <c r="AQ51" s="651"/>
      <c r="AR51" s="646"/>
      <c r="AS51" s="1403"/>
      <c r="AT51" s="1172" t="s">
        <v>370</v>
      </c>
      <c r="AU51" s="1173"/>
      <c r="AV51" s="216"/>
      <c r="AW51" s="645">
        <f t="shared" si="0"/>
        <v>0</v>
      </c>
      <c r="AX51" s="518" t="e">
        <f t="shared" si="1"/>
        <v>#DIV/0!</v>
      </c>
    </row>
    <row r="52" spans="1:50" x14ac:dyDescent="0.3">
      <c r="A52" s="1165" t="s">
        <v>537</v>
      </c>
      <c r="B52" s="1168" t="s">
        <v>369</v>
      </c>
      <c r="C52" s="1169"/>
      <c r="D52" s="347"/>
      <c r="E52" s="347"/>
      <c r="F52" s="347"/>
      <c r="G52" s="347"/>
      <c r="H52" s="347"/>
      <c r="I52" s="347"/>
      <c r="J52" s="347"/>
      <c r="K52" s="347"/>
      <c r="L52" s="347"/>
      <c r="M52" s="347"/>
      <c r="N52" s="347"/>
      <c r="O52" s="347"/>
      <c r="P52" s="347"/>
      <c r="Q52" s="347"/>
      <c r="R52" s="347"/>
      <c r="S52" s="650"/>
      <c r="T52" s="347"/>
      <c r="U52" s="347"/>
      <c r="V52" s="347"/>
      <c r="W52" s="347"/>
      <c r="X52" s="347"/>
      <c r="Y52" s="347"/>
      <c r="Z52" s="347"/>
      <c r="AA52" s="347"/>
      <c r="AB52" s="347"/>
      <c r="AC52" s="347"/>
      <c r="AD52" s="347"/>
      <c r="AE52" s="347"/>
      <c r="AF52" s="347"/>
      <c r="AG52" s="347"/>
      <c r="AH52" s="347"/>
      <c r="AI52" s="648"/>
      <c r="AJ52" s="347"/>
      <c r="AK52" s="347"/>
      <c r="AL52" s="347"/>
      <c r="AM52" s="347"/>
      <c r="AN52" s="347"/>
      <c r="AO52" s="347"/>
      <c r="AP52" s="347"/>
      <c r="AQ52" s="648"/>
      <c r="AR52" s="646"/>
      <c r="AS52" s="1404" t="s">
        <v>537</v>
      </c>
      <c r="AT52" s="1168" t="s">
        <v>369</v>
      </c>
      <c r="AU52" s="1169"/>
      <c r="AV52" s="216"/>
      <c r="AW52" s="645">
        <f t="shared" si="0"/>
        <v>0</v>
      </c>
      <c r="AX52" s="518" t="e">
        <f t="shared" si="1"/>
        <v>#DIV/0!</v>
      </c>
    </row>
    <row r="53" spans="1:50" x14ac:dyDescent="0.3">
      <c r="A53" s="1166"/>
      <c r="B53" s="1170" t="s">
        <v>417</v>
      </c>
      <c r="C53" s="1171"/>
      <c r="D53" s="296"/>
      <c r="E53" s="296"/>
      <c r="F53" s="296"/>
      <c r="G53" s="296"/>
      <c r="H53" s="296"/>
      <c r="I53" s="296"/>
      <c r="J53" s="296"/>
      <c r="K53" s="296"/>
      <c r="L53" s="296"/>
      <c r="M53" s="296"/>
      <c r="N53" s="296"/>
      <c r="O53" s="296"/>
      <c r="P53" s="296"/>
      <c r="Q53" s="296"/>
      <c r="R53" s="296"/>
      <c r="S53" s="647"/>
      <c r="T53" s="296"/>
      <c r="U53" s="296"/>
      <c r="V53" s="296"/>
      <c r="W53" s="296"/>
      <c r="X53" s="296"/>
      <c r="Y53" s="296"/>
      <c r="Z53" s="296"/>
      <c r="AA53" s="296"/>
      <c r="AB53" s="296"/>
      <c r="AC53" s="296"/>
      <c r="AD53" s="296"/>
      <c r="AE53" s="296"/>
      <c r="AF53" s="296"/>
      <c r="AG53" s="296"/>
      <c r="AH53" s="296"/>
      <c r="AI53" s="644"/>
      <c r="AJ53" s="296"/>
      <c r="AK53" s="296"/>
      <c r="AL53" s="296"/>
      <c r="AM53" s="296"/>
      <c r="AN53" s="296"/>
      <c r="AO53" s="296"/>
      <c r="AP53" s="296"/>
      <c r="AQ53" s="644"/>
      <c r="AR53" s="646"/>
      <c r="AS53" s="1402"/>
      <c r="AT53" s="1170" t="s">
        <v>417</v>
      </c>
      <c r="AU53" s="1171"/>
      <c r="AV53" s="216"/>
      <c r="AW53" s="645">
        <f t="shared" si="0"/>
        <v>0</v>
      </c>
      <c r="AX53" s="518" t="e">
        <f t="shared" si="1"/>
        <v>#DIV/0!</v>
      </c>
    </row>
    <row r="54" spans="1:50" ht="15" thickBot="1" x14ac:dyDescent="0.35">
      <c r="A54" s="1167"/>
      <c r="B54" s="1172" t="s">
        <v>370</v>
      </c>
      <c r="C54" s="1173"/>
      <c r="D54" s="348"/>
      <c r="E54" s="348"/>
      <c r="F54" s="348"/>
      <c r="G54" s="348"/>
      <c r="H54" s="348"/>
      <c r="I54" s="348"/>
      <c r="J54" s="348"/>
      <c r="K54" s="348"/>
      <c r="L54" s="348"/>
      <c r="M54" s="348"/>
      <c r="N54" s="348"/>
      <c r="O54" s="348"/>
      <c r="P54" s="348"/>
      <c r="Q54" s="348"/>
      <c r="R54" s="348"/>
      <c r="S54" s="349"/>
      <c r="T54" s="348"/>
      <c r="U54" s="348"/>
      <c r="V54" s="348"/>
      <c r="W54" s="348"/>
      <c r="X54" s="348"/>
      <c r="Y54" s="348"/>
      <c r="Z54" s="348"/>
      <c r="AA54" s="348"/>
      <c r="AB54" s="348"/>
      <c r="AC54" s="348"/>
      <c r="AD54" s="348"/>
      <c r="AE54" s="348"/>
      <c r="AF54" s="348"/>
      <c r="AG54" s="348"/>
      <c r="AH54" s="348"/>
      <c r="AI54" s="562"/>
      <c r="AJ54" s="348"/>
      <c r="AK54" s="348"/>
      <c r="AL54" s="348"/>
      <c r="AM54" s="348"/>
      <c r="AN54" s="348"/>
      <c r="AO54" s="348"/>
      <c r="AP54" s="348"/>
      <c r="AQ54" s="562"/>
      <c r="AR54" s="646"/>
      <c r="AS54" s="1403"/>
      <c r="AT54" s="1172" t="s">
        <v>370</v>
      </c>
      <c r="AU54" s="1173"/>
      <c r="AV54" s="216"/>
      <c r="AW54" s="645">
        <f t="shared" si="0"/>
        <v>0</v>
      </c>
      <c r="AX54" s="518" t="e">
        <f t="shared" si="1"/>
        <v>#DIV/0!</v>
      </c>
    </row>
    <row r="55" spans="1:50" x14ac:dyDescent="0.3">
      <c r="A55" s="1165" t="s">
        <v>536</v>
      </c>
      <c r="B55" s="1168" t="s">
        <v>369</v>
      </c>
      <c r="C55" s="1169"/>
      <c r="D55" s="344"/>
      <c r="E55" s="344"/>
      <c r="F55" s="344"/>
      <c r="G55" s="344"/>
      <c r="H55" s="344"/>
      <c r="I55" s="344"/>
      <c r="J55" s="344"/>
      <c r="K55" s="344"/>
      <c r="L55" s="344"/>
      <c r="M55" s="344"/>
      <c r="N55" s="344"/>
      <c r="O55" s="344"/>
      <c r="P55" s="344"/>
      <c r="Q55" s="344"/>
      <c r="R55" s="344"/>
      <c r="S55" s="650"/>
      <c r="T55" s="344"/>
      <c r="U55" s="344"/>
      <c r="V55" s="344"/>
      <c r="W55" s="344"/>
      <c r="X55" s="344"/>
      <c r="Y55" s="344"/>
      <c r="Z55" s="344"/>
      <c r="AA55" s="344"/>
      <c r="AB55" s="344"/>
      <c r="AC55" s="344"/>
      <c r="AD55" s="344"/>
      <c r="AE55" s="344"/>
      <c r="AF55" s="344"/>
      <c r="AG55" s="344"/>
      <c r="AH55" s="344"/>
      <c r="AI55" s="648"/>
      <c r="AJ55" s="344"/>
      <c r="AK55" s="344"/>
      <c r="AL55" s="344"/>
      <c r="AM55" s="344"/>
      <c r="AN55" s="344"/>
      <c r="AO55" s="344"/>
      <c r="AP55" s="344"/>
      <c r="AQ55" s="648"/>
      <c r="AR55" s="646"/>
      <c r="AS55" s="1404" t="s">
        <v>536</v>
      </c>
      <c r="AT55" s="1168" t="s">
        <v>369</v>
      </c>
      <c r="AU55" s="1169"/>
      <c r="AV55" s="216"/>
      <c r="AW55" s="645">
        <f t="shared" si="0"/>
        <v>0</v>
      </c>
      <c r="AX55" s="518" t="e">
        <f t="shared" si="1"/>
        <v>#DIV/0!</v>
      </c>
    </row>
    <row r="56" spans="1:50" x14ac:dyDescent="0.3">
      <c r="A56" s="1166"/>
      <c r="B56" s="1170" t="s">
        <v>417</v>
      </c>
      <c r="C56" s="1171"/>
      <c r="D56" s="296"/>
      <c r="E56" s="296"/>
      <c r="F56" s="296"/>
      <c r="G56" s="296"/>
      <c r="H56" s="296"/>
      <c r="I56" s="296"/>
      <c r="J56" s="296"/>
      <c r="K56" s="296"/>
      <c r="L56" s="296"/>
      <c r="M56" s="296"/>
      <c r="N56" s="296"/>
      <c r="O56" s="296"/>
      <c r="P56" s="296"/>
      <c r="Q56" s="296"/>
      <c r="R56" s="296"/>
      <c r="S56" s="647"/>
      <c r="T56" s="296"/>
      <c r="U56" s="296"/>
      <c r="V56" s="296"/>
      <c r="W56" s="296"/>
      <c r="X56" s="296"/>
      <c r="Y56" s="296"/>
      <c r="Z56" s="296"/>
      <c r="AA56" s="296"/>
      <c r="AB56" s="296"/>
      <c r="AC56" s="296"/>
      <c r="AD56" s="296"/>
      <c r="AE56" s="296"/>
      <c r="AF56" s="296"/>
      <c r="AG56" s="296"/>
      <c r="AH56" s="296"/>
      <c r="AI56" s="644"/>
      <c r="AJ56" s="296"/>
      <c r="AK56" s="296"/>
      <c r="AL56" s="296"/>
      <c r="AM56" s="296"/>
      <c r="AN56" s="296"/>
      <c r="AO56" s="296"/>
      <c r="AP56" s="296"/>
      <c r="AQ56" s="644"/>
      <c r="AR56" s="646"/>
      <c r="AS56" s="1402"/>
      <c r="AT56" s="1170" t="s">
        <v>417</v>
      </c>
      <c r="AU56" s="1171"/>
      <c r="AV56" s="216"/>
      <c r="AW56" s="645">
        <f t="shared" si="0"/>
        <v>0</v>
      </c>
      <c r="AX56" s="518" t="e">
        <f t="shared" si="1"/>
        <v>#DIV/0!</v>
      </c>
    </row>
    <row r="57" spans="1:50" ht="15" thickBot="1" x14ac:dyDescent="0.35">
      <c r="A57" s="1167"/>
      <c r="B57" s="1172" t="s">
        <v>370</v>
      </c>
      <c r="C57" s="1173"/>
      <c r="D57" s="296"/>
      <c r="E57" s="346"/>
      <c r="F57" s="296"/>
      <c r="G57" s="296"/>
      <c r="H57" s="296"/>
      <c r="I57" s="296"/>
      <c r="J57" s="296"/>
      <c r="K57" s="296"/>
      <c r="L57" s="296"/>
      <c r="M57" s="296"/>
      <c r="N57" s="296"/>
      <c r="O57" s="296"/>
      <c r="P57" s="296"/>
      <c r="Q57" s="296"/>
      <c r="R57" s="296"/>
      <c r="S57" s="652"/>
      <c r="T57" s="296"/>
      <c r="U57" s="346"/>
      <c r="V57" s="296"/>
      <c r="W57" s="296"/>
      <c r="X57" s="296"/>
      <c r="Y57" s="296"/>
      <c r="Z57" s="296"/>
      <c r="AA57" s="296"/>
      <c r="AB57" s="296"/>
      <c r="AC57" s="296"/>
      <c r="AD57" s="296"/>
      <c r="AE57" s="296"/>
      <c r="AF57" s="296"/>
      <c r="AG57" s="296"/>
      <c r="AH57" s="296"/>
      <c r="AI57" s="651"/>
      <c r="AJ57" s="296"/>
      <c r="AK57" s="296"/>
      <c r="AL57" s="296"/>
      <c r="AM57" s="296"/>
      <c r="AN57" s="296"/>
      <c r="AO57" s="296"/>
      <c r="AP57" s="296"/>
      <c r="AQ57" s="651"/>
      <c r="AR57" s="646"/>
      <c r="AS57" s="1403"/>
      <c r="AT57" s="1172" t="s">
        <v>370</v>
      </c>
      <c r="AU57" s="1173"/>
      <c r="AV57" s="216"/>
      <c r="AW57" s="645">
        <f t="shared" si="0"/>
        <v>0</v>
      </c>
      <c r="AX57" s="518" t="e">
        <f t="shared" si="1"/>
        <v>#DIV/0!</v>
      </c>
    </row>
    <row r="58" spans="1:50" x14ac:dyDescent="0.3">
      <c r="A58" s="1165" t="s">
        <v>535</v>
      </c>
      <c r="B58" s="1168" t="s">
        <v>369</v>
      </c>
      <c r="C58" s="1169"/>
      <c r="D58" s="347"/>
      <c r="E58" s="347"/>
      <c r="F58" s="347"/>
      <c r="G58" s="347"/>
      <c r="H58" s="347"/>
      <c r="I58" s="347"/>
      <c r="J58" s="347"/>
      <c r="K58" s="347"/>
      <c r="L58" s="347"/>
      <c r="M58" s="347"/>
      <c r="N58" s="347"/>
      <c r="O58" s="347"/>
      <c r="P58" s="347"/>
      <c r="Q58" s="347"/>
      <c r="R58" s="347"/>
      <c r="S58" s="650"/>
      <c r="T58" s="347"/>
      <c r="U58" s="347"/>
      <c r="V58" s="347"/>
      <c r="W58" s="347"/>
      <c r="X58" s="347"/>
      <c r="Y58" s="347"/>
      <c r="Z58" s="347"/>
      <c r="AA58" s="347"/>
      <c r="AB58" s="347"/>
      <c r="AC58" s="347"/>
      <c r="AD58" s="347"/>
      <c r="AE58" s="347"/>
      <c r="AF58" s="347"/>
      <c r="AG58" s="347"/>
      <c r="AH58" s="347"/>
      <c r="AI58" s="648"/>
      <c r="AJ58" s="347"/>
      <c r="AK58" s="347"/>
      <c r="AL58" s="347"/>
      <c r="AM58" s="347"/>
      <c r="AN58" s="347"/>
      <c r="AO58" s="347"/>
      <c r="AP58" s="347"/>
      <c r="AQ58" s="648"/>
      <c r="AR58" s="646"/>
      <c r="AS58" s="1404" t="s">
        <v>535</v>
      </c>
      <c r="AT58" s="1168" t="s">
        <v>369</v>
      </c>
      <c r="AU58" s="1169"/>
      <c r="AV58" s="216"/>
      <c r="AW58" s="645">
        <f t="shared" si="0"/>
        <v>0</v>
      </c>
      <c r="AX58" s="518" t="e">
        <f t="shared" si="1"/>
        <v>#DIV/0!</v>
      </c>
    </row>
    <row r="59" spans="1:50" x14ac:dyDescent="0.3">
      <c r="A59" s="1166"/>
      <c r="B59" s="1170" t="s">
        <v>417</v>
      </c>
      <c r="C59" s="1171"/>
      <c r="D59" s="296"/>
      <c r="E59" s="296"/>
      <c r="F59" s="296"/>
      <c r="G59" s="296"/>
      <c r="H59" s="296"/>
      <c r="I59" s="296"/>
      <c r="J59" s="296"/>
      <c r="K59" s="296"/>
      <c r="L59" s="296"/>
      <c r="M59" s="296"/>
      <c r="N59" s="296"/>
      <c r="O59" s="296"/>
      <c r="P59" s="296"/>
      <c r="Q59" s="296"/>
      <c r="R59" s="296"/>
      <c r="S59" s="647"/>
      <c r="T59" s="296"/>
      <c r="U59" s="296"/>
      <c r="V59" s="296"/>
      <c r="W59" s="296"/>
      <c r="X59" s="296"/>
      <c r="Y59" s="296"/>
      <c r="Z59" s="296"/>
      <c r="AA59" s="296"/>
      <c r="AB59" s="296"/>
      <c r="AC59" s="296"/>
      <c r="AD59" s="296"/>
      <c r="AE59" s="296"/>
      <c r="AF59" s="296"/>
      <c r="AG59" s="296"/>
      <c r="AH59" s="296"/>
      <c r="AI59" s="644"/>
      <c r="AJ59" s="296"/>
      <c r="AK59" s="296"/>
      <c r="AL59" s="296"/>
      <c r="AM59" s="296"/>
      <c r="AN59" s="296"/>
      <c r="AO59" s="296"/>
      <c r="AP59" s="296"/>
      <c r="AQ59" s="644"/>
      <c r="AR59" s="646"/>
      <c r="AS59" s="1402"/>
      <c r="AT59" s="1170" t="s">
        <v>417</v>
      </c>
      <c r="AU59" s="1171"/>
      <c r="AV59" s="216"/>
      <c r="AW59" s="645">
        <f t="shared" si="0"/>
        <v>0</v>
      </c>
      <c r="AX59" s="518" t="e">
        <f t="shared" si="1"/>
        <v>#DIV/0!</v>
      </c>
    </row>
    <row r="60" spans="1:50" ht="15" thickBot="1" x14ac:dyDescent="0.35">
      <c r="A60" s="1167"/>
      <c r="B60" s="1172" t="s">
        <v>370</v>
      </c>
      <c r="C60" s="1173"/>
      <c r="D60" s="296"/>
      <c r="E60" s="346"/>
      <c r="F60" s="296"/>
      <c r="G60" s="296"/>
      <c r="H60" s="296"/>
      <c r="I60" s="296"/>
      <c r="J60" s="296"/>
      <c r="K60" s="296"/>
      <c r="L60" s="296"/>
      <c r="M60" s="296"/>
      <c r="N60" s="296"/>
      <c r="O60" s="296"/>
      <c r="P60" s="296"/>
      <c r="Q60" s="296"/>
      <c r="R60" s="296"/>
      <c r="S60" s="652"/>
      <c r="T60" s="296"/>
      <c r="U60" s="346"/>
      <c r="V60" s="296"/>
      <c r="W60" s="296"/>
      <c r="X60" s="296"/>
      <c r="Y60" s="296"/>
      <c r="Z60" s="296"/>
      <c r="AA60" s="296"/>
      <c r="AB60" s="296"/>
      <c r="AC60" s="296"/>
      <c r="AD60" s="296"/>
      <c r="AE60" s="296"/>
      <c r="AF60" s="296"/>
      <c r="AG60" s="296"/>
      <c r="AH60" s="296"/>
      <c r="AI60" s="651"/>
      <c r="AJ60" s="296"/>
      <c r="AK60" s="296"/>
      <c r="AL60" s="296"/>
      <c r="AM60" s="296"/>
      <c r="AN60" s="296"/>
      <c r="AO60" s="296"/>
      <c r="AP60" s="296"/>
      <c r="AQ60" s="651"/>
      <c r="AR60" s="646"/>
      <c r="AS60" s="1403"/>
      <c r="AT60" s="1172" t="s">
        <v>370</v>
      </c>
      <c r="AU60" s="1173"/>
      <c r="AV60" s="216"/>
      <c r="AW60" s="645">
        <f t="shared" si="0"/>
        <v>0</v>
      </c>
      <c r="AX60" s="518" t="e">
        <f t="shared" si="1"/>
        <v>#DIV/0!</v>
      </c>
    </row>
    <row r="61" spans="1:50" x14ac:dyDescent="0.3">
      <c r="A61" s="1165" t="s">
        <v>534</v>
      </c>
      <c r="B61" s="1168" t="s">
        <v>369</v>
      </c>
      <c r="C61" s="1169"/>
      <c r="D61" s="347"/>
      <c r="E61" s="347"/>
      <c r="F61" s="347"/>
      <c r="G61" s="347"/>
      <c r="H61" s="347"/>
      <c r="I61" s="347"/>
      <c r="J61" s="347"/>
      <c r="K61" s="347"/>
      <c r="L61" s="347"/>
      <c r="M61" s="347"/>
      <c r="N61" s="347"/>
      <c r="O61" s="347"/>
      <c r="P61" s="347"/>
      <c r="Q61" s="347"/>
      <c r="R61" s="347"/>
      <c r="S61" s="650"/>
      <c r="T61" s="347"/>
      <c r="U61" s="347"/>
      <c r="V61" s="347"/>
      <c r="W61" s="347"/>
      <c r="X61" s="347"/>
      <c r="Y61" s="347"/>
      <c r="Z61" s="347"/>
      <c r="AA61" s="347"/>
      <c r="AB61" s="347"/>
      <c r="AC61" s="347"/>
      <c r="AD61" s="347"/>
      <c r="AE61" s="347"/>
      <c r="AF61" s="347"/>
      <c r="AG61" s="347"/>
      <c r="AH61" s="347"/>
      <c r="AI61" s="648"/>
      <c r="AJ61" s="347"/>
      <c r="AK61" s="347"/>
      <c r="AL61" s="347"/>
      <c r="AM61" s="347"/>
      <c r="AN61" s="347"/>
      <c r="AO61" s="347"/>
      <c r="AP61" s="347"/>
      <c r="AQ61" s="648"/>
      <c r="AR61" s="646"/>
      <c r="AS61" s="1404" t="s">
        <v>534</v>
      </c>
      <c r="AT61" s="1168" t="s">
        <v>369</v>
      </c>
      <c r="AU61" s="1169"/>
      <c r="AV61" s="216"/>
      <c r="AW61" s="645">
        <f t="shared" si="0"/>
        <v>0</v>
      </c>
      <c r="AX61" s="518" t="e">
        <f t="shared" si="1"/>
        <v>#DIV/0!</v>
      </c>
    </row>
    <row r="62" spans="1:50" x14ac:dyDescent="0.3">
      <c r="A62" s="1166"/>
      <c r="B62" s="1170" t="s">
        <v>417</v>
      </c>
      <c r="C62" s="1171"/>
      <c r="D62" s="296"/>
      <c r="E62" s="296"/>
      <c r="F62" s="296"/>
      <c r="G62" s="296"/>
      <c r="H62" s="296"/>
      <c r="I62" s="296"/>
      <c r="J62" s="296"/>
      <c r="K62" s="296"/>
      <c r="L62" s="296"/>
      <c r="M62" s="296"/>
      <c r="N62" s="296"/>
      <c r="O62" s="296"/>
      <c r="P62" s="296"/>
      <c r="Q62" s="296"/>
      <c r="R62" s="296"/>
      <c r="S62" s="647"/>
      <c r="T62" s="296"/>
      <c r="U62" s="296"/>
      <c r="V62" s="296"/>
      <c r="W62" s="296"/>
      <c r="X62" s="296"/>
      <c r="Y62" s="296"/>
      <c r="Z62" s="296"/>
      <c r="AA62" s="296"/>
      <c r="AB62" s="296"/>
      <c r="AC62" s="296"/>
      <c r="AD62" s="296"/>
      <c r="AE62" s="296"/>
      <c r="AF62" s="296"/>
      <c r="AG62" s="296"/>
      <c r="AH62" s="296"/>
      <c r="AI62" s="644"/>
      <c r="AJ62" s="296"/>
      <c r="AK62" s="296"/>
      <c r="AL62" s="296"/>
      <c r="AM62" s="296"/>
      <c r="AN62" s="296"/>
      <c r="AO62" s="296"/>
      <c r="AP62" s="296"/>
      <c r="AQ62" s="644"/>
      <c r="AR62" s="646"/>
      <c r="AS62" s="1402"/>
      <c r="AT62" s="1170" t="s">
        <v>417</v>
      </c>
      <c r="AU62" s="1171"/>
      <c r="AV62" s="216"/>
      <c r="AW62" s="645">
        <f t="shared" si="0"/>
        <v>0</v>
      </c>
      <c r="AX62" s="518" t="e">
        <f t="shared" si="1"/>
        <v>#DIV/0!</v>
      </c>
    </row>
    <row r="63" spans="1:50" ht="15" thickBot="1" x14ac:dyDescent="0.35">
      <c r="A63" s="1167"/>
      <c r="B63" s="1172" t="s">
        <v>370</v>
      </c>
      <c r="C63" s="1173"/>
      <c r="D63" s="296"/>
      <c r="E63" s="346"/>
      <c r="F63" s="296"/>
      <c r="G63" s="296"/>
      <c r="H63" s="296"/>
      <c r="I63" s="296"/>
      <c r="J63" s="296"/>
      <c r="K63" s="296"/>
      <c r="L63" s="296"/>
      <c r="M63" s="296"/>
      <c r="N63" s="296"/>
      <c r="O63" s="296"/>
      <c r="P63" s="296"/>
      <c r="Q63" s="296"/>
      <c r="R63" s="296"/>
      <c r="S63" s="652"/>
      <c r="T63" s="296"/>
      <c r="U63" s="346"/>
      <c r="V63" s="296"/>
      <c r="W63" s="296"/>
      <c r="X63" s="296"/>
      <c r="Y63" s="296"/>
      <c r="Z63" s="296"/>
      <c r="AA63" s="296"/>
      <c r="AB63" s="296"/>
      <c r="AC63" s="296"/>
      <c r="AD63" s="296"/>
      <c r="AE63" s="296"/>
      <c r="AF63" s="296"/>
      <c r="AG63" s="296"/>
      <c r="AH63" s="296"/>
      <c r="AI63" s="651"/>
      <c r="AJ63" s="296"/>
      <c r="AK63" s="296"/>
      <c r="AL63" s="296"/>
      <c r="AM63" s="296"/>
      <c r="AN63" s="296"/>
      <c r="AO63" s="296"/>
      <c r="AP63" s="296"/>
      <c r="AQ63" s="651"/>
      <c r="AR63" s="646"/>
      <c r="AS63" s="1403"/>
      <c r="AT63" s="1172" t="s">
        <v>370</v>
      </c>
      <c r="AU63" s="1173"/>
      <c r="AV63" s="216"/>
      <c r="AW63" s="645">
        <f t="shared" ref="AW63:AW84" si="2">(E63-D63)+(G63-F63)+(I63-H63)+(K63-J63)+(M63-L63)+(O63-N63)+(Q63-P63)+(S63-R63)+(U63-T63)+(W63-V63)+(Y63-X63)+(AA63-Z63)+(AC63-AB63)+(AE63-AD63)+(AG63-AF63)+(AI63-AH63)+(AK63-AJ63)+(AM63-AL63)+(AO63-AN63)+(AQ63-AP63)</f>
        <v>0</v>
      </c>
      <c r="AX63" s="518" t="e">
        <f t="shared" ref="AX63:AX84" si="3">IF($R$27="Right","",100*(AW63/$E$27))</f>
        <v>#DIV/0!</v>
      </c>
    </row>
    <row r="64" spans="1:50" x14ac:dyDescent="0.3">
      <c r="A64" s="1165" t="s">
        <v>533</v>
      </c>
      <c r="B64" s="1168" t="s">
        <v>369</v>
      </c>
      <c r="C64" s="1169"/>
      <c r="D64" s="649"/>
      <c r="E64" s="347"/>
      <c r="F64" s="347"/>
      <c r="G64" s="347"/>
      <c r="H64" s="347"/>
      <c r="I64" s="347"/>
      <c r="J64" s="347"/>
      <c r="K64" s="347"/>
      <c r="L64" s="347"/>
      <c r="M64" s="347"/>
      <c r="N64" s="347"/>
      <c r="O64" s="347"/>
      <c r="P64" s="347"/>
      <c r="Q64" s="347"/>
      <c r="R64" s="347"/>
      <c r="S64" s="650"/>
      <c r="T64" s="649"/>
      <c r="U64" s="347"/>
      <c r="V64" s="347"/>
      <c r="W64" s="347"/>
      <c r="X64" s="347"/>
      <c r="Y64" s="347"/>
      <c r="Z64" s="347"/>
      <c r="AA64" s="347"/>
      <c r="AB64" s="347"/>
      <c r="AC64" s="347"/>
      <c r="AD64" s="347"/>
      <c r="AE64" s="347"/>
      <c r="AF64" s="347"/>
      <c r="AG64" s="347"/>
      <c r="AH64" s="347"/>
      <c r="AI64" s="648"/>
      <c r="AJ64" s="347"/>
      <c r="AK64" s="347"/>
      <c r="AL64" s="347"/>
      <c r="AM64" s="347"/>
      <c r="AN64" s="347"/>
      <c r="AO64" s="347"/>
      <c r="AP64" s="347"/>
      <c r="AQ64" s="648"/>
      <c r="AR64" s="646"/>
      <c r="AS64" s="1404" t="s">
        <v>533</v>
      </c>
      <c r="AT64" s="1168" t="s">
        <v>369</v>
      </c>
      <c r="AU64" s="1169"/>
      <c r="AV64" s="216"/>
      <c r="AW64" s="645">
        <f t="shared" si="2"/>
        <v>0</v>
      </c>
      <c r="AX64" s="518" t="e">
        <f t="shared" si="3"/>
        <v>#DIV/0!</v>
      </c>
    </row>
    <row r="65" spans="1:50" x14ac:dyDescent="0.3">
      <c r="A65" s="1166"/>
      <c r="B65" s="1170" t="s">
        <v>417</v>
      </c>
      <c r="C65" s="1171"/>
      <c r="D65" s="346"/>
      <c r="E65" s="296"/>
      <c r="F65" s="296"/>
      <c r="G65" s="296"/>
      <c r="H65" s="296"/>
      <c r="I65" s="296"/>
      <c r="J65" s="296"/>
      <c r="K65" s="296"/>
      <c r="L65" s="296"/>
      <c r="M65" s="296"/>
      <c r="N65" s="296"/>
      <c r="O65" s="296"/>
      <c r="P65" s="296"/>
      <c r="Q65" s="296"/>
      <c r="R65" s="296"/>
      <c r="S65" s="647"/>
      <c r="T65" s="346"/>
      <c r="U65" s="296"/>
      <c r="V65" s="296"/>
      <c r="W65" s="296"/>
      <c r="X65" s="296"/>
      <c r="Y65" s="296"/>
      <c r="Z65" s="296"/>
      <c r="AA65" s="296"/>
      <c r="AB65" s="296"/>
      <c r="AC65" s="296"/>
      <c r="AD65" s="296"/>
      <c r="AE65" s="296"/>
      <c r="AF65" s="296"/>
      <c r="AG65" s="296"/>
      <c r="AH65" s="296"/>
      <c r="AI65" s="644"/>
      <c r="AJ65" s="296"/>
      <c r="AK65" s="296"/>
      <c r="AL65" s="296"/>
      <c r="AM65" s="296"/>
      <c r="AN65" s="296"/>
      <c r="AO65" s="296"/>
      <c r="AP65" s="296"/>
      <c r="AQ65" s="644"/>
      <c r="AR65" s="646"/>
      <c r="AS65" s="1402"/>
      <c r="AT65" s="1170" t="s">
        <v>417</v>
      </c>
      <c r="AU65" s="1171"/>
      <c r="AV65" s="216"/>
      <c r="AW65" s="645">
        <f t="shared" si="2"/>
        <v>0</v>
      </c>
      <c r="AX65" s="518" t="e">
        <f t="shared" si="3"/>
        <v>#DIV/0!</v>
      </c>
    </row>
    <row r="66" spans="1:50" ht="15" thickBot="1" x14ac:dyDescent="0.35">
      <c r="A66" s="1167"/>
      <c r="B66" s="1172" t="s">
        <v>370</v>
      </c>
      <c r="C66" s="1173"/>
      <c r="D66" s="348"/>
      <c r="E66" s="348"/>
      <c r="F66" s="348"/>
      <c r="G66" s="348"/>
      <c r="H66" s="348"/>
      <c r="I66" s="348"/>
      <c r="J66" s="348"/>
      <c r="K66" s="348"/>
      <c r="L66" s="348"/>
      <c r="M66" s="348"/>
      <c r="N66" s="348"/>
      <c r="O66" s="348"/>
      <c r="P66" s="348"/>
      <c r="Q66" s="348"/>
      <c r="R66" s="348"/>
      <c r="S66" s="349"/>
      <c r="T66" s="348"/>
      <c r="U66" s="348"/>
      <c r="V66" s="348"/>
      <c r="W66" s="348"/>
      <c r="X66" s="348"/>
      <c r="Y66" s="348"/>
      <c r="Z66" s="348"/>
      <c r="AA66" s="348"/>
      <c r="AB66" s="348"/>
      <c r="AC66" s="348"/>
      <c r="AD66" s="348"/>
      <c r="AE66" s="348"/>
      <c r="AF66" s="348"/>
      <c r="AG66" s="348"/>
      <c r="AH66" s="348"/>
      <c r="AI66" s="562"/>
      <c r="AJ66" s="348"/>
      <c r="AK66" s="348"/>
      <c r="AL66" s="348"/>
      <c r="AM66" s="348"/>
      <c r="AN66" s="348"/>
      <c r="AO66" s="348"/>
      <c r="AP66" s="348"/>
      <c r="AQ66" s="562"/>
      <c r="AR66" s="646"/>
      <c r="AS66" s="1403"/>
      <c r="AT66" s="1172" t="s">
        <v>370</v>
      </c>
      <c r="AU66" s="1173"/>
      <c r="AV66" s="216"/>
      <c r="AW66" s="645">
        <f t="shared" si="2"/>
        <v>0</v>
      </c>
      <c r="AX66" s="518" t="e">
        <f t="shared" si="3"/>
        <v>#DIV/0!</v>
      </c>
    </row>
    <row r="67" spans="1:50" ht="15" thickTop="1" x14ac:dyDescent="0.3">
      <c r="A67" s="1391" t="s">
        <v>532</v>
      </c>
      <c r="B67" s="1392" t="s">
        <v>369</v>
      </c>
      <c r="C67" s="1393"/>
      <c r="D67" s="344"/>
      <c r="E67" s="344"/>
      <c r="F67" s="344"/>
      <c r="G67" s="344"/>
      <c r="H67" s="344"/>
      <c r="I67" s="344"/>
      <c r="J67" s="344"/>
      <c r="K67" s="344"/>
      <c r="L67" s="344"/>
      <c r="M67" s="344"/>
      <c r="N67" s="344"/>
      <c r="O67" s="344"/>
      <c r="P67" s="344"/>
      <c r="Q67" s="344"/>
      <c r="R67" s="344"/>
      <c r="S67" s="345"/>
      <c r="T67" s="344"/>
      <c r="U67" s="344"/>
      <c r="V67" s="344"/>
      <c r="W67" s="344"/>
      <c r="X67" s="344"/>
      <c r="Y67" s="344"/>
      <c r="Z67" s="344"/>
      <c r="AA67" s="344"/>
      <c r="AB67" s="344"/>
      <c r="AC67" s="344"/>
      <c r="AD67" s="344"/>
      <c r="AE67" s="344"/>
      <c r="AF67" s="344"/>
      <c r="AG67" s="344"/>
      <c r="AH67" s="344"/>
      <c r="AI67" s="561"/>
      <c r="AJ67" s="344"/>
      <c r="AK67" s="344"/>
      <c r="AL67" s="344"/>
      <c r="AM67" s="344"/>
      <c r="AN67" s="344"/>
      <c r="AO67" s="344"/>
      <c r="AP67" s="344"/>
      <c r="AQ67" s="561"/>
      <c r="AR67" s="646"/>
      <c r="AS67" s="1401" t="s">
        <v>532</v>
      </c>
      <c r="AT67" s="1392" t="s">
        <v>369</v>
      </c>
      <c r="AU67" s="1393"/>
      <c r="AV67" s="216"/>
      <c r="AW67" s="645">
        <f t="shared" si="2"/>
        <v>0</v>
      </c>
      <c r="AX67" s="518" t="e">
        <f t="shared" si="3"/>
        <v>#DIV/0!</v>
      </c>
    </row>
    <row r="68" spans="1:50" ht="15" customHeight="1" x14ac:dyDescent="0.3">
      <c r="A68" s="1166"/>
      <c r="B68" s="1170" t="s">
        <v>417</v>
      </c>
      <c r="C68" s="1171"/>
      <c r="D68" s="296"/>
      <c r="E68" s="296"/>
      <c r="F68" s="296"/>
      <c r="G68" s="296"/>
      <c r="H68" s="296"/>
      <c r="I68" s="296"/>
      <c r="J68" s="296"/>
      <c r="K68" s="296"/>
      <c r="L68" s="296"/>
      <c r="M68" s="296"/>
      <c r="N68" s="296"/>
      <c r="O68" s="296"/>
      <c r="P68" s="296"/>
      <c r="Q68" s="296"/>
      <c r="R68" s="296"/>
      <c r="S68" s="647"/>
      <c r="T68" s="296"/>
      <c r="U68" s="296"/>
      <c r="V68" s="296"/>
      <c r="W68" s="296"/>
      <c r="X68" s="296"/>
      <c r="Y68" s="296"/>
      <c r="Z68" s="296"/>
      <c r="AA68" s="296"/>
      <c r="AB68" s="296"/>
      <c r="AC68" s="296"/>
      <c r="AD68" s="296"/>
      <c r="AE68" s="296"/>
      <c r="AF68" s="296"/>
      <c r="AG68" s="296"/>
      <c r="AH68" s="296"/>
      <c r="AI68" s="644"/>
      <c r="AJ68" s="296"/>
      <c r="AK68" s="296"/>
      <c r="AL68" s="296"/>
      <c r="AM68" s="296"/>
      <c r="AN68" s="296"/>
      <c r="AO68" s="296"/>
      <c r="AP68" s="296"/>
      <c r="AQ68" s="644"/>
      <c r="AR68" s="646"/>
      <c r="AS68" s="1402"/>
      <c r="AT68" s="1170" t="s">
        <v>417</v>
      </c>
      <c r="AU68" s="1171"/>
      <c r="AV68" s="216"/>
      <c r="AW68" s="645">
        <f t="shared" si="2"/>
        <v>0</v>
      </c>
      <c r="AX68" s="518" t="e">
        <f t="shared" si="3"/>
        <v>#DIV/0!</v>
      </c>
    </row>
    <row r="69" spans="1:50" ht="15" thickBot="1" x14ac:dyDescent="0.35">
      <c r="A69" s="1167"/>
      <c r="B69" s="1172" t="s">
        <v>370</v>
      </c>
      <c r="C69" s="1173"/>
      <c r="D69" s="346"/>
      <c r="E69" s="346"/>
      <c r="F69" s="346"/>
      <c r="G69" s="346"/>
      <c r="H69" s="346"/>
      <c r="I69" s="346"/>
      <c r="J69" s="346"/>
      <c r="K69" s="346"/>
      <c r="L69" s="346"/>
      <c r="M69" s="346"/>
      <c r="N69" s="346"/>
      <c r="O69" s="346"/>
      <c r="P69" s="346"/>
      <c r="Q69" s="346"/>
      <c r="R69" s="346"/>
      <c r="S69" s="652"/>
      <c r="T69" s="346"/>
      <c r="U69" s="346"/>
      <c r="V69" s="346"/>
      <c r="W69" s="346"/>
      <c r="X69" s="346"/>
      <c r="Y69" s="346"/>
      <c r="Z69" s="346"/>
      <c r="AA69" s="346"/>
      <c r="AB69" s="346"/>
      <c r="AC69" s="346"/>
      <c r="AD69" s="346"/>
      <c r="AE69" s="346"/>
      <c r="AF69" s="346"/>
      <c r="AG69" s="346"/>
      <c r="AH69" s="346"/>
      <c r="AI69" s="651"/>
      <c r="AJ69" s="346"/>
      <c r="AK69" s="346"/>
      <c r="AL69" s="346"/>
      <c r="AM69" s="346"/>
      <c r="AN69" s="346"/>
      <c r="AO69" s="346"/>
      <c r="AP69" s="346"/>
      <c r="AQ69" s="651"/>
      <c r="AR69" s="646"/>
      <c r="AS69" s="1403"/>
      <c r="AT69" s="1172" t="s">
        <v>370</v>
      </c>
      <c r="AU69" s="1173"/>
      <c r="AV69" s="216"/>
      <c r="AW69" s="645">
        <f t="shared" si="2"/>
        <v>0</v>
      </c>
      <c r="AX69" s="518" t="e">
        <f t="shared" si="3"/>
        <v>#DIV/0!</v>
      </c>
    </row>
    <row r="70" spans="1:50" x14ac:dyDescent="0.3">
      <c r="A70" s="1165" t="s">
        <v>531</v>
      </c>
      <c r="B70" s="1168" t="s">
        <v>369</v>
      </c>
      <c r="C70" s="1169"/>
      <c r="D70" s="347"/>
      <c r="E70" s="347"/>
      <c r="F70" s="347"/>
      <c r="G70" s="347"/>
      <c r="H70" s="347"/>
      <c r="I70" s="347"/>
      <c r="J70" s="347"/>
      <c r="K70" s="347"/>
      <c r="L70" s="347"/>
      <c r="M70" s="347"/>
      <c r="N70" s="347"/>
      <c r="O70" s="347"/>
      <c r="P70" s="347"/>
      <c r="Q70" s="347"/>
      <c r="R70" s="347"/>
      <c r="S70" s="650"/>
      <c r="T70" s="347"/>
      <c r="U70" s="347"/>
      <c r="V70" s="347"/>
      <c r="W70" s="347"/>
      <c r="X70" s="347"/>
      <c r="Y70" s="347"/>
      <c r="Z70" s="347"/>
      <c r="AA70" s="347"/>
      <c r="AB70" s="347"/>
      <c r="AC70" s="347"/>
      <c r="AD70" s="347"/>
      <c r="AE70" s="347"/>
      <c r="AF70" s="347"/>
      <c r="AG70" s="347"/>
      <c r="AH70" s="347"/>
      <c r="AI70" s="648"/>
      <c r="AJ70" s="347"/>
      <c r="AK70" s="347"/>
      <c r="AL70" s="347"/>
      <c r="AM70" s="347"/>
      <c r="AN70" s="347"/>
      <c r="AO70" s="347"/>
      <c r="AP70" s="347"/>
      <c r="AQ70" s="648"/>
      <c r="AR70" s="646"/>
      <c r="AS70" s="1404" t="s">
        <v>531</v>
      </c>
      <c r="AT70" s="1168" t="s">
        <v>369</v>
      </c>
      <c r="AU70" s="1169"/>
      <c r="AV70" s="216"/>
      <c r="AW70" s="645">
        <f t="shared" si="2"/>
        <v>0</v>
      </c>
      <c r="AX70" s="518" t="e">
        <f t="shared" si="3"/>
        <v>#DIV/0!</v>
      </c>
    </row>
    <row r="71" spans="1:50" x14ac:dyDescent="0.3">
      <c r="A71" s="1166"/>
      <c r="B71" s="1170" t="s">
        <v>417</v>
      </c>
      <c r="C71" s="1171"/>
      <c r="D71" s="296"/>
      <c r="E71" s="296"/>
      <c r="F71" s="296"/>
      <c r="G71" s="296"/>
      <c r="H71" s="296"/>
      <c r="I71" s="296"/>
      <c r="J71" s="296"/>
      <c r="K71" s="296"/>
      <c r="L71" s="296"/>
      <c r="M71" s="296"/>
      <c r="N71" s="296"/>
      <c r="O71" s="296"/>
      <c r="P71" s="296"/>
      <c r="Q71" s="296"/>
      <c r="R71" s="296"/>
      <c r="S71" s="647"/>
      <c r="T71" s="296"/>
      <c r="U71" s="296"/>
      <c r="V71" s="296"/>
      <c r="W71" s="296"/>
      <c r="X71" s="296"/>
      <c r="Y71" s="296"/>
      <c r="Z71" s="296"/>
      <c r="AA71" s="296"/>
      <c r="AB71" s="296"/>
      <c r="AC71" s="296"/>
      <c r="AD71" s="296"/>
      <c r="AE71" s="296"/>
      <c r="AF71" s="296"/>
      <c r="AG71" s="296"/>
      <c r="AH71" s="296"/>
      <c r="AI71" s="644"/>
      <c r="AJ71" s="296"/>
      <c r="AK71" s="296"/>
      <c r="AL71" s="296"/>
      <c r="AM71" s="296"/>
      <c r="AN71" s="296"/>
      <c r="AO71" s="296"/>
      <c r="AP71" s="296"/>
      <c r="AQ71" s="644"/>
      <c r="AR71" s="646"/>
      <c r="AS71" s="1402"/>
      <c r="AT71" s="1170" t="s">
        <v>417</v>
      </c>
      <c r="AU71" s="1171"/>
      <c r="AV71" s="216"/>
      <c r="AW71" s="645">
        <f t="shared" si="2"/>
        <v>0</v>
      </c>
      <c r="AX71" s="518" t="e">
        <f t="shared" si="3"/>
        <v>#DIV/0!</v>
      </c>
    </row>
    <row r="72" spans="1:50" ht="15" thickBot="1" x14ac:dyDescent="0.35">
      <c r="A72" s="1167"/>
      <c r="B72" s="1172" t="s">
        <v>370</v>
      </c>
      <c r="C72" s="1173"/>
      <c r="D72" s="348"/>
      <c r="E72" s="348"/>
      <c r="F72" s="348"/>
      <c r="G72" s="348"/>
      <c r="H72" s="348"/>
      <c r="I72" s="348"/>
      <c r="J72" s="348"/>
      <c r="K72" s="348"/>
      <c r="L72" s="348"/>
      <c r="M72" s="348"/>
      <c r="N72" s="348"/>
      <c r="O72" s="348"/>
      <c r="P72" s="348"/>
      <c r="Q72" s="348"/>
      <c r="R72" s="348"/>
      <c r="S72" s="349"/>
      <c r="T72" s="348"/>
      <c r="U72" s="348"/>
      <c r="V72" s="348"/>
      <c r="W72" s="348"/>
      <c r="X72" s="348"/>
      <c r="Y72" s="348"/>
      <c r="Z72" s="348"/>
      <c r="AA72" s="348"/>
      <c r="AB72" s="348"/>
      <c r="AC72" s="348"/>
      <c r="AD72" s="348"/>
      <c r="AE72" s="348"/>
      <c r="AF72" s="348"/>
      <c r="AG72" s="348"/>
      <c r="AH72" s="348"/>
      <c r="AI72" s="562"/>
      <c r="AJ72" s="348"/>
      <c r="AK72" s="348"/>
      <c r="AL72" s="348"/>
      <c r="AM72" s="348"/>
      <c r="AN72" s="348"/>
      <c r="AO72" s="348"/>
      <c r="AP72" s="348"/>
      <c r="AQ72" s="562"/>
      <c r="AR72" s="646"/>
      <c r="AS72" s="1403"/>
      <c r="AT72" s="1172" t="s">
        <v>370</v>
      </c>
      <c r="AU72" s="1173"/>
      <c r="AV72" s="216"/>
      <c r="AW72" s="645">
        <f t="shared" si="2"/>
        <v>0</v>
      </c>
      <c r="AX72" s="518" t="e">
        <f t="shared" si="3"/>
        <v>#DIV/0!</v>
      </c>
    </row>
    <row r="73" spans="1:50" x14ac:dyDescent="0.3">
      <c r="A73" s="1165" t="s">
        <v>530</v>
      </c>
      <c r="B73" s="1168" t="s">
        <v>369</v>
      </c>
      <c r="C73" s="1169"/>
      <c r="D73" s="344"/>
      <c r="E73" s="344"/>
      <c r="F73" s="344"/>
      <c r="G73" s="344"/>
      <c r="H73" s="344"/>
      <c r="I73" s="344"/>
      <c r="J73" s="344"/>
      <c r="K73" s="344"/>
      <c r="L73" s="344"/>
      <c r="M73" s="344"/>
      <c r="N73" s="344"/>
      <c r="O73" s="344"/>
      <c r="P73" s="344"/>
      <c r="Q73" s="344"/>
      <c r="R73" s="344"/>
      <c r="S73" s="650"/>
      <c r="T73" s="344"/>
      <c r="U73" s="344"/>
      <c r="V73" s="344"/>
      <c r="W73" s="344"/>
      <c r="X73" s="344"/>
      <c r="Y73" s="344"/>
      <c r="Z73" s="344"/>
      <c r="AA73" s="344"/>
      <c r="AB73" s="344"/>
      <c r="AC73" s="344"/>
      <c r="AD73" s="344"/>
      <c r="AE73" s="344"/>
      <c r="AF73" s="344"/>
      <c r="AG73" s="344"/>
      <c r="AH73" s="344"/>
      <c r="AI73" s="648"/>
      <c r="AJ73" s="344"/>
      <c r="AK73" s="344"/>
      <c r="AL73" s="344"/>
      <c r="AM73" s="344"/>
      <c r="AN73" s="344"/>
      <c r="AO73" s="344"/>
      <c r="AP73" s="344"/>
      <c r="AQ73" s="648"/>
      <c r="AR73" s="646"/>
      <c r="AS73" s="1404" t="s">
        <v>530</v>
      </c>
      <c r="AT73" s="1168" t="s">
        <v>369</v>
      </c>
      <c r="AU73" s="1169"/>
      <c r="AV73" s="216"/>
      <c r="AW73" s="645">
        <f t="shared" si="2"/>
        <v>0</v>
      </c>
      <c r="AX73" s="518" t="e">
        <f t="shared" si="3"/>
        <v>#DIV/0!</v>
      </c>
    </row>
    <row r="74" spans="1:50" x14ac:dyDescent="0.3">
      <c r="A74" s="1166"/>
      <c r="B74" s="1170" t="s">
        <v>417</v>
      </c>
      <c r="C74" s="1171"/>
      <c r="D74" s="296"/>
      <c r="E74" s="296"/>
      <c r="F74" s="296"/>
      <c r="G74" s="296"/>
      <c r="H74" s="296"/>
      <c r="I74" s="296"/>
      <c r="J74" s="296"/>
      <c r="K74" s="296"/>
      <c r="L74" s="296"/>
      <c r="M74" s="296"/>
      <c r="N74" s="296"/>
      <c r="O74" s="296"/>
      <c r="P74" s="296"/>
      <c r="Q74" s="296"/>
      <c r="R74" s="296"/>
      <c r="S74" s="647"/>
      <c r="T74" s="296"/>
      <c r="U74" s="296"/>
      <c r="V74" s="296"/>
      <c r="W74" s="296"/>
      <c r="X74" s="296"/>
      <c r="Y74" s="296"/>
      <c r="Z74" s="296"/>
      <c r="AA74" s="296"/>
      <c r="AB74" s="296"/>
      <c r="AC74" s="296"/>
      <c r="AD74" s="296"/>
      <c r="AE74" s="296"/>
      <c r="AF74" s="296"/>
      <c r="AG74" s="296"/>
      <c r="AH74" s="296"/>
      <c r="AI74" s="644"/>
      <c r="AJ74" s="296"/>
      <c r="AK74" s="296"/>
      <c r="AL74" s="296"/>
      <c r="AM74" s="296"/>
      <c r="AN74" s="296"/>
      <c r="AO74" s="296"/>
      <c r="AP74" s="296"/>
      <c r="AQ74" s="644"/>
      <c r="AR74" s="646"/>
      <c r="AS74" s="1402"/>
      <c r="AT74" s="1170" t="s">
        <v>417</v>
      </c>
      <c r="AU74" s="1171"/>
      <c r="AV74" s="216"/>
      <c r="AW74" s="645">
        <f t="shared" si="2"/>
        <v>0</v>
      </c>
      <c r="AX74" s="518" t="e">
        <f t="shared" si="3"/>
        <v>#DIV/0!</v>
      </c>
    </row>
    <row r="75" spans="1:50" ht="15" thickBot="1" x14ac:dyDescent="0.35">
      <c r="A75" s="1167"/>
      <c r="B75" s="1172" t="s">
        <v>370</v>
      </c>
      <c r="C75" s="1173"/>
      <c r="D75" s="296"/>
      <c r="E75" s="346"/>
      <c r="F75" s="296"/>
      <c r="G75" s="296"/>
      <c r="H75" s="296"/>
      <c r="I75" s="296"/>
      <c r="J75" s="296"/>
      <c r="K75" s="296"/>
      <c r="L75" s="296"/>
      <c r="M75" s="296"/>
      <c r="N75" s="296"/>
      <c r="O75" s="296"/>
      <c r="P75" s="296"/>
      <c r="Q75" s="296"/>
      <c r="R75" s="296"/>
      <c r="S75" s="652"/>
      <c r="T75" s="296"/>
      <c r="U75" s="346"/>
      <c r="V75" s="296"/>
      <c r="W75" s="296"/>
      <c r="X75" s="296"/>
      <c r="Y75" s="296"/>
      <c r="Z75" s="296"/>
      <c r="AA75" s="296"/>
      <c r="AB75" s="296"/>
      <c r="AC75" s="296"/>
      <c r="AD75" s="296"/>
      <c r="AE75" s="296"/>
      <c r="AF75" s="296"/>
      <c r="AG75" s="296"/>
      <c r="AH75" s="296"/>
      <c r="AI75" s="651"/>
      <c r="AJ75" s="296"/>
      <c r="AK75" s="296"/>
      <c r="AL75" s="296"/>
      <c r="AM75" s="296"/>
      <c r="AN75" s="296"/>
      <c r="AO75" s="296"/>
      <c r="AP75" s="296"/>
      <c r="AQ75" s="651"/>
      <c r="AR75" s="646"/>
      <c r="AS75" s="1403"/>
      <c r="AT75" s="1172" t="s">
        <v>370</v>
      </c>
      <c r="AU75" s="1173"/>
      <c r="AV75" s="216"/>
      <c r="AW75" s="645">
        <f t="shared" si="2"/>
        <v>0</v>
      </c>
      <c r="AX75" s="518" t="e">
        <f t="shared" si="3"/>
        <v>#DIV/0!</v>
      </c>
    </row>
    <row r="76" spans="1:50" x14ac:dyDescent="0.3">
      <c r="A76" s="1165" t="s">
        <v>529</v>
      </c>
      <c r="B76" s="1168" t="s">
        <v>369</v>
      </c>
      <c r="C76" s="1169"/>
      <c r="D76" s="347"/>
      <c r="E76" s="347"/>
      <c r="F76" s="347"/>
      <c r="G76" s="347"/>
      <c r="H76" s="347"/>
      <c r="I76" s="347"/>
      <c r="J76" s="347"/>
      <c r="K76" s="347"/>
      <c r="L76" s="347"/>
      <c r="M76" s="347"/>
      <c r="N76" s="347"/>
      <c r="O76" s="347"/>
      <c r="P76" s="347"/>
      <c r="Q76" s="347"/>
      <c r="R76" s="347"/>
      <c r="S76" s="650"/>
      <c r="T76" s="347"/>
      <c r="U76" s="347"/>
      <c r="V76" s="347"/>
      <c r="W76" s="347"/>
      <c r="X76" s="347"/>
      <c r="Y76" s="347"/>
      <c r="Z76" s="347"/>
      <c r="AA76" s="347"/>
      <c r="AB76" s="347"/>
      <c r="AC76" s="347"/>
      <c r="AD76" s="347"/>
      <c r="AE76" s="347"/>
      <c r="AF76" s="347"/>
      <c r="AG76" s="347"/>
      <c r="AH76" s="347"/>
      <c r="AI76" s="648"/>
      <c r="AJ76" s="347"/>
      <c r="AK76" s="347"/>
      <c r="AL76" s="347"/>
      <c r="AM76" s="347"/>
      <c r="AN76" s="347"/>
      <c r="AO76" s="347"/>
      <c r="AP76" s="347"/>
      <c r="AQ76" s="648"/>
      <c r="AR76" s="646"/>
      <c r="AS76" s="1404" t="s">
        <v>529</v>
      </c>
      <c r="AT76" s="1168" t="s">
        <v>369</v>
      </c>
      <c r="AU76" s="1169"/>
      <c r="AV76" s="216"/>
      <c r="AW76" s="645">
        <f t="shared" si="2"/>
        <v>0</v>
      </c>
      <c r="AX76" s="518" t="e">
        <f t="shared" si="3"/>
        <v>#DIV/0!</v>
      </c>
    </row>
    <row r="77" spans="1:50" x14ac:dyDescent="0.3">
      <c r="A77" s="1166"/>
      <c r="B77" s="1170" t="s">
        <v>417</v>
      </c>
      <c r="C77" s="1171"/>
      <c r="D77" s="296"/>
      <c r="E77" s="296"/>
      <c r="F77" s="296"/>
      <c r="G77" s="296"/>
      <c r="H77" s="296"/>
      <c r="I77" s="296"/>
      <c r="J77" s="296"/>
      <c r="K77" s="296"/>
      <c r="L77" s="296"/>
      <c r="M77" s="296"/>
      <c r="N77" s="296"/>
      <c r="O77" s="296"/>
      <c r="P77" s="296"/>
      <c r="Q77" s="296"/>
      <c r="R77" s="296"/>
      <c r="S77" s="647"/>
      <c r="T77" s="296"/>
      <c r="U77" s="296"/>
      <c r="V77" s="296"/>
      <c r="W77" s="296"/>
      <c r="X77" s="296"/>
      <c r="Y77" s="296"/>
      <c r="Z77" s="296"/>
      <c r="AA77" s="296"/>
      <c r="AB77" s="296"/>
      <c r="AC77" s="296"/>
      <c r="AD77" s="296"/>
      <c r="AE77" s="296"/>
      <c r="AF77" s="296"/>
      <c r="AG77" s="296"/>
      <c r="AH77" s="296"/>
      <c r="AI77" s="644"/>
      <c r="AJ77" s="296"/>
      <c r="AK77" s="296"/>
      <c r="AL77" s="296"/>
      <c r="AM77" s="296"/>
      <c r="AN77" s="296"/>
      <c r="AO77" s="296"/>
      <c r="AP77" s="296"/>
      <c r="AQ77" s="644"/>
      <c r="AR77" s="646"/>
      <c r="AS77" s="1402"/>
      <c r="AT77" s="1170" t="s">
        <v>417</v>
      </c>
      <c r="AU77" s="1171"/>
      <c r="AV77" s="216"/>
      <c r="AW77" s="645">
        <f t="shared" si="2"/>
        <v>0</v>
      </c>
      <c r="AX77" s="518" t="e">
        <f t="shared" si="3"/>
        <v>#DIV/0!</v>
      </c>
    </row>
    <row r="78" spans="1:50" ht="15" thickBot="1" x14ac:dyDescent="0.35">
      <c r="A78" s="1167"/>
      <c r="B78" s="1172" t="s">
        <v>370</v>
      </c>
      <c r="C78" s="1173"/>
      <c r="D78" s="296"/>
      <c r="E78" s="346"/>
      <c r="F78" s="296"/>
      <c r="G78" s="296"/>
      <c r="H78" s="296"/>
      <c r="I78" s="296"/>
      <c r="J78" s="296"/>
      <c r="K78" s="296"/>
      <c r="L78" s="296"/>
      <c r="M78" s="296"/>
      <c r="N78" s="296"/>
      <c r="O78" s="296"/>
      <c r="P78" s="296"/>
      <c r="Q78" s="296"/>
      <c r="R78" s="296"/>
      <c r="S78" s="652"/>
      <c r="T78" s="296"/>
      <c r="U78" s="346"/>
      <c r="V78" s="296"/>
      <c r="W78" s="296"/>
      <c r="X78" s="296"/>
      <c r="Y78" s="296"/>
      <c r="Z78" s="296"/>
      <c r="AA78" s="296"/>
      <c r="AB78" s="296"/>
      <c r="AC78" s="296"/>
      <c r="AD78" s="296"/>
      <c r="AE78" s="296"/>
      <c r="AF78" s="296"/>
      <c r="AG78" s="296"/>
      <c r="AH78" s="296"/>
      <c r="AI78" s="651"/>
      <c r="AJ78" s="296"/>
      <c r="AK78" s="296"/>
      <c r="AL78" s="296"/>
      <c r="AM78" s="296"/>
      <c r="AN78" s="296"/>
      <c r="AO78" s="296"/>
      <c r="AP78" s="296"/>
      <c r="AQ78" s="651"/>
      <c r="AR78" s="646"/>
      <c r="AS78" s="1403"/>
      <c r="AT78" s="1172" t="s">
        <v>370</v>
      </c>
      <c r="AU78" s="1173"/>
      <c r="AV78" s="216"/>
      <c r="AW78" s="645">
        <f t="shared" si="2"/>
        <v>0</v>
      </c>
      <c r="AX78" s="518" t="e">
        <f t="shared" si="3"/>
        <v>#DIV/0!</v>
      </c>
    </row>
    <row r="79" spans="1:50" x14ac:dyDescent="0.3">
      <c r="A79" s="1165" t="s">
        <v>528</v>
      </c>
      <c r="B79" s="1168" t="s">
        <v>369</v>
      </c>
      <c r="C79" s="1169"/>
      <c r="D79" s="347"/>
      <c r="E79" s="347"/>
      <c r="F79" s="347"/>
      <c r="G79" s="347"/>
      <c r="H79" s="347"/>
      <c r="I79" s="347"/>
      <c r="J79" s="347"/>
      <c r="K79" s="347"/>
      <c r="L79" s="347"/>
      <c r="M79" s="347"/>
      <c r="N79" s="347"/>
      <c r="O79" s="347"/>
      <c r="P79" s="347"/>
      <c r="Q79" s="347"/>
      <c r="R79" s="347"/>
      <c r="S79" s="650"/>
      <c r="T79" s="347"/>
      <c r="U79" s="347"/>
      <c r="V79" s="347"/>
      <c r="W79" s="347"/>
      <c r="X79" s="347"/>
      <c r="Y79" s="347"/>
      <c r="Z79" s="347"/>
      <c r="AA79" s="347"/>
      <c r="AB79" s="347"/>
      <c r="AC79" s="347"/>
      <c r="AD79" s="347"/>
      <c r="AE79" s="347"/>
      <c r="AF79" s="347"/>
      <c r="AG79" s="347"/>
      <c r="AH79" s="347"/>
      <c r="AI79" s="648"/>
      <c r="AJ79" s="347"/>
      <c r="AK79" s="347"/>
      <c r="AL79" s="347"/>
      <c r="AM79" s="347"/>
      <c r="AN79" s="347"/>
      <c r="AO79" s="347"/>
      <c r="AP79" s="347"/>
      <c r="AQ79" s="648"/>
      <c r="AR79" s="646"/>
      <c r="AS79" s="1404" t="s">
        <v>528</v>
      </c>
      <c r="AT79" s="1168" t="s">
        <v>369</v>
      </c>
      <c r="AU79" s="1169"/>
      <c r="AV79" s="216"/>
      <c r="AW79" s="645">
        <f t="shared" si="2"/>
        <v>0</v>
      </c>
      <c r="AX79" s="518" t="e">
        <f t="shared" si="3"/>
        <v>#DIV/0!</v>
      </c>
    </row>
    <row r="80" spans="1:50" x14ac:dyDescent="0.3">
      <c r="A80" s="1166"/>
      <c r="B80" s="1170" t="s">
        <v>417</v>
      </c>
      <c r="C80" s="1171"/>
      <c r="D80" s="296"/>
      <c r="E80" s="296"/>
      <c r="F80" s="296"/>
      <c r="G80" s="296"/>
      <c r="H80" s="296"/>
      <c r="I80" s="296"/>
      <c r="J80" s="296"/>
      <c r="K80" s="296"/>
      <c r="L80" s="296"/>
      <c r="M80" s="296"/>
      <c r="N80" s="296"/>
      <c r="O80" s="296"/>
      <c r="P80" s="296"/>
      <c r="Q80" s="296"/>
      <c r="R80" s="296"/>
      <c r="S80" s="647"/>
      <c r="T80" s="296"/>
      <c r="U80" s="296"/>
      <c r="V80" s="296"/>
      <c r="W80" s="296"/>
      <c r="X80" s="296"/>
      <c r="Y80" s="296"/>
      <c r="Z80" s="296"/>
      <c r="AA80" s="296"/>
      <c r="AB80" s="296"/>
      <c r="AC80" s="296"/>
      <c r="AD80" s="296"/>
      <c r="AE80" s="296"/>
      <c r="AF80" s="296"/>
      <c r="AG80" s="296"/>
      <c r="AH80" s="296"/>
      <c r="AI80" s="644"/>
      <c r="AJ80" s="296"/>
      <c r="AK80" s="296"/>
      <c r="AL80" s="296"/>
      <c r="AM80" s="296"/>
      <c r="AN80" s="296"/>
      <c r="AO80" s="296"/>
      <c r="AP80" s="296"/>
      <c r="AQ80" s="644"/>
      <c r="AR80" s="646"/>
      <c r="AS80" s="1402"/>
      <c r="AT80" s="1170" t="s">
        <v>417</v>
      </c>
      <c r="AU80" s="1171"/>
      <c r="AV80" s="216"/>
      <c r="AW80" s="645">
        <f t="shared" si="2"/>
        <v>0</v>
      </c>
      <c r="AX80" s="518" t="e">
        <f t="shared" si="3"/>
        <v>#DIV/0!</v>
      </c>
    </row>
    <row r="81" spans="1:50" ht="15" thickBot="1" x14ac:dyDescent="0.35">
      <c r="A81" s="1167"/>
      <c r="B81" s="1172" t="s">
        <v>370</v>
      </c>
      <c r="C81" s="1173"/>
      <c r="D81" s="296"/>
      <c r="E81" s="346"/>
      <c r="F81" s="296"/>
      <c r="G81" s="296"/>
      <c r="H81" s="296"/>
      <c r="I81" s="296"/>
      <c r="J81" s="296"/>
      <c r="K81" s="296"/>
      <c r="L81" s="296"/>
      <c r="M81" s="296"/>
      <c r="N81" s="296"/>
      <c r="O81" s="296"/>
      <c r="P81" s="296"/>
      <c r="Q81" s="296"/>
      <c r="R81" s="296"/>
      <c r="S81" s="652"/>
      <c r="T81" s="296"/>
      <c r="U81" s="346"/>
      <c r="V81" s="296"/>
      <c r="W81" s="296"/>
      <c r="X81" s="296"/>
      <c r="Y81" s="296"/>
      <c r="Z81" s="296"/>
      <c r="AA81" s="296"/>
      <c r="AB81" s="296"/>
      <c r="AC81" s="296"/>
      <c r="AD81" s="296"/>
      <c r="AE81" s="296"/>
      <c r="AF81" s="296"/>
      <c r="AG81" s="296"/>
      <c r="AH81" s="296"/>
      <c r="AI81" s="651"/>
      <c r="AJ81" s="296"/>
      <c r="AK81" s="296"/>
      <c r="AL81" s="296"/>
      <c r="AM81" s="296"/>
      <c r="AN81" s="296"/>
      <c r="AO81" s="296"/>
      <c r="AP81" s="296"/>
      <c r="AQ81" s="651"/>
      <c r="AR81" s="646"/>
      <c r="AS81" s="1403"/>
      <c r="AT81" s="1172" t="s">
        <v>370</v>
      </c>
      <c r="AU81" s="1173"/>
      <c r="AV81" s="216"/>
      <c r="AW81" s="645">
        <f t="shared" si="2"/>
        <v>0</v>
      </c>
      <c r="AX81" s="518" t="e">
        <f t="shared" si="3"/>
        <v>#DIV/0!</v>
      </c>
    </row>
    <row r="82" spans="1:50" x14ac:dyDescent="0.3">
      <c r="A82" s="1165" t="s">
        <v>527</v>
      </c>
      <c r="B82" s="1168" t="s">
        <v>369</v>
      </c>
      <c r="C82" s="1169"/>
      <c r="D82" s="649"/>
      <c r="E82" s="347"/>
      <c r="F82" s="347"/>
      <c r="G82" s="347"/>
      <c r="H82" s="347"/>
      <c r="I82" s="347"/>
      <c r="J82" s="347"/>
      <c r="K82" s="347"/>
      <c r="L82" s="347"/>
      <c r="M82" s="347"/>
      <c r="N82" s="347"/>
      <c r="O82" s="347"/>
      <c r="P82" s="347"/>
      <c r="Q82" s="347"/>
      <c r="R82" s="347"/>
      <c r="S82" s="650"/>
      <c r="T82" s="649"/>
      <c r="U82" s="347"/>
      <c r="V82" s="347"/>
      <c r="W82" s="347"/>
      <c r="X82" s="347"/>
      <c r="Y82" s="347"/>
      <c r="Z82" s="347"/>
      <c r="AA82" s="347"/>
      <c r="AB82" s="347"/>
      <c r="AC82" s="347"/>
      <c r="AD82" s="347"/>
      <c r="AE82" s="347"/>
      <c r="AF82" s="347"/>
      <c r="AG82" s="347"/>
      <c r="AH82" s="347"/>
      <c r="AI82" s="648"/>
      <c r="AJ82" s="347"/>
      <c r="AK82" s="347"/>
      <c r="AL82" s="347"/>
      <c r="AM82" s="347"/>
      <c r="AN82" s="347"/>
      <c r="AO82" s="347"/>
      <c r="AP82" s="347"/>
      <c r="AQ82" s="648"/>
      <c r="AR82" s="646"/>
      <c r="AS82" s="1404" t="s">
        <v>527</v>
      </c>
      <c r="AT82" s="1168" t="s">
        <v>369</v>
      </c>
      <c r="AU82" s="1169"/>
      <c r="AV82" s="216"/>
      <c r="AW82" s="645">
        <f t="shared" si="2"/>
        <v>0</v>
      </c>
      <c r="AX82" s="518" t="e">
        <f t="shared" si="3"/>
        <v>#DIV/0!</v>
      </c>
    </row>
    <row r="83" spans="1:50" x14ac:dyDescent="0.3">
      <c r="A83" s="1166"/>
      <c r="B83" s="1170" t="s">
        <v>417</v>
      </c>
      <c r="C83" s="1171"/>
      <c r="D83" s="346"/>
      <c r="E83" s="296"/>
      <c r="F83" s="296"/>
      <c r="G83" s="296"/>
      <c r="H83" s="296"/>
      <c r="I83" s="296"/>
      <c r="J83" s="296"/>
      <c r="K83" s="296"/>
      <c r="L83" s="296"/>
      <c r="M83" s="296"/>
      <c r="N83" s="296"/>
      <c r="O83" s="296"/>
      <c r="P83" s="296"/>
      <c r="Q83" s="296"/>
      <c r="R83" s="296"/>
      <c r="S83" s="647"/>
      <c r="T83" s="346"/>
      <c r="U83" s="296"/>
      <c r="V83" s="296"/>
      <c r="W83" s="296"/>
      <c r="X83" s="296"/>
      <c r="Y83" s="296"/>
      <c r="Z83" s="296"/>
      <c r="AA83" s="296"/>
      <c r="AB83" s="296"/>
      <c r="AC83" s="296"/>
      <c r="AD83" s="296"/>
      <c r="AE83" s="296"/>
      <c r="AF83" s="296"/>
      <c r="AG83" s="296"/>
      <c r="AH83" s="296"/>
      <c r="AI83" s="644"/>
      <c r="AJ83" s="296"/>
      <c r="AK83" s="296"/>
      <c r="AL83" s="296"/>
      <c r="AM83" s="296"/>
      <c r="AN83" s="296"/>
      <c r="AO83" s="296"/>
      <c r="AP83" s="296"/>
      <c r="AQ83" s="644"/>
      <c r="AR83" s="646"/>
      <c r="AS83" s="1402"/>
      <c r="AT83" s="1170" t="s">
        <v>417</v>
      </c>
      <c r="AU83" s="1171"/>
      <c r="AV83" s="216"/>
      <c r="AW83" s="645">
        <f t="shared" si="2"/>
        <v>0</v>
      </c>
      <c r="AX83" s="518" t="e">
        <f t="shared" si="3"/>
        <v>#DIV/0!</v>
      </c>
    </row>
    <row r="84" spans="1:50" ht="15" thickBot="1" x14ac:dyDescent="0.35">
      <c r="A84" s="1167"/>
      <c r="B84" s="1172" t="s">
        <v>370</v>
      </c>
      <c r="C84" s="1173"/>
      <c r="D84" s="348"/>
      <c r="E84" s="348"/>
      <c r="F84" s="348"/>
      <c r="G84" s="348"/>
      <c r="H84" s="348"/>
      <c r="I84" s="348"/>
      <c r="J84" s="348"/>
      <c r="K84" s="348"/>
      <c r="L84" s="348"/>
      <c r="M84" s="348"/>
      <c r="N84" s="348"/>
      <c r="O84" s="348"/>
      <c r="P84" s="348"/>
      <c r="Q84" s="348"/>
      <c r="R84" s="348"/>
      <c r="S84" s="349"/>
      <c r="T84" s="348"/>
      <c r="U84" s="348"/>
      <c r="V84" s="348"/>
      <c r="W84" s="348"/>
      <c r="X84" s="348"/>
      <c r="Y84" s="348"/>
      <c r="Z84" s="348"/>
      <c r="AA84" s="348"/>
      <c r="AB84" s="348"/>
      <c r="AC84" s="348"/>
      <c r="AD84" s="348"/>
      <c r="AE84" s="348"/>
      <c r="AF84" s="348"/>
      <c r="AG84" s="348"/>
      <c r="AH84" s="348"/>
      <c r="AI84" s="562"/>
      <c r="AJ84" s="348"/>
      <c r="AK84" s="348"/>
      <c r="AL84" s="348"/>
      <c r="AM84" s="348"/>
      <c r="AN84" s="348"/>
      <c r="AO84" s="348"/>
      <c r="AP84" s="348"/>
      <c r="AQ84" s="562"/>
      <c r="AR84" s="646"/>
      <c r="AS84" s="1403"/>
      <c r="AT84" s="1172" t="s">
        <v>370</v>
      </c>
      <c r="AU84" s="1173"/>
      <c r="AV84" s="216"/>
      <c r="AW84" s="645">
        <f t="shared" si="2"/>
        <v>0</v>
      </c>
      <c r="AX84" s="518" t="e">
        <f t="shared" si="3"/>
        <v>#DIV/0!</v>
      </c>
    </row>
  </sheetData>
  <sheetProtection algorithmName="SHA-512" hashValue="nb2dDai/QVcOnIUEoxXINqa+2aBaTRZ4tihdgNRID/W74I85HYVlXajbOreQFqoL3dBkApH9/KwxPQp1zRks+Q==" saltValue="qU/WsLG6DK87579iI0Mihw==" spinCount="100000" sheet="1" insertColumns="0" insertRows="0" deleteColumns="0" deleteRows="0"/>
  <mergeCells count="165">
    <mergeCell ref="O17:T19"/>
    <mergeCell ref="AW23:AX28"/>
    <mergeCell ref="AS79:AS81"/>
    <mergeCell ref="AT79:AU79"/>
    <mergeCell ref="AT80:AU80"/>
    <mergeCell ref="AT81:AU81"/>
    <mergeCell ref="AT54:AU54"/>
    <mergeCell ref="AS52:AS54"/>
    <mergeCell ref="AT52:AU52"/>
    <mergeCell ref="AT53:AU53"/>
    <mergeCell ref="AS43:AS45"/>
    <mergeCell ref="AT43:AU43"/>
    <mergeCell ref="AT44:AU44"/>
    <mergeCell ref="AT45:AU45"/>
    <mergeCell ref="AS46:AS48"/>
    <mergeCell ref="AT47:AU47"/>
    <mergeCell ref="AT48:AU48"/>
    <mergeCell ref="AT33:AU33"/>
    <mergeCell ref="AS34:AS36"/>
    <mergeCell ref="AT34:AU34"/>
    <mergeCell ref="AS67:AS69"/>
    <mergeCell ref="AS70:AS72"/>
    <mergeCell ref="AS64:AS66"/>
    <mergeCell ref="AT64:AU64"/>
    <mergeCell ref="AT65:AU65"/>
    <mergeCell ref="AT66:AU66"/>
    <mergeCell ref="AS55:AS57"/>
    <mergeCell ref="AT56:AU56"/>
    <mergeCell ref="AT57:AU57"/>
    <mergeCell ref="AS58:AS60"/>
    <mergeCell ref="AT58:AU58"/>
    <mergeCell ref="AT59:AU59"/>
    <mergeCell ref="AT60:AU60"/>
    <mergeCell ref="AS61:AS63"/>
    <mergeCell ref="AT61:AU61"/>
    <mergeCell ref="AT62:AU62"/>
    <mergeCell ref="AT63:AU63"/>
    <mergeCell ref="AT76:AU76"/>
    <mergeCell ref="AT77:AU77"/>
    <mergeCell ref="AT78:AU78"/>
    <mergeCell ref="AT70:AU70"/>
    <mergeCell ref="AT71:AU71"/>
    <mergeCell ref="AT73:AU73"/>
    <mergeCell ref="AT74:AU74"/>
    <mergeCell ref="AT67:AU67"/>
    <mergeCell ref="AT68:AU68"/>
    <mergeCell ref="AT69:AU69"/>
    <mergeCell ref="AT36:AU36"/>
    <mergeCell ref="AT39:AU39"/>
    <mergeCell ref="AS49:AS51"/>
    <mergeCell ref="AT49:AU49"/>
    <mergeCell ref="AT50:AU50"/>
    <mergeCell ref="AT51:AU51"/>
    <mergeCell ref="B73:C73"/>
    <mergeCell ref="B74:C74"/>
    <mergeCell ref="B75:C75"/>
    <mergeCell ref="AS37:AS39"/>
    <mergeCell ref="AT37:AU37"/>
    <mergeCell ref="AT38:AU38"/>
    <mergeCell ref="AS40:AS42"/>
    <mergeCell ref="AT40:AU40"/>
    <mergeCell ref="AT41:AU41"/>
    <mergeCell ref="AT42:AU42"/>
    <mergeCell ref="B65:C65"/>
    <mergeCell ref="B66:C66"/>
    <mergeCell ref="B53:C53"/>
    <mergeCell ref="B54:C54"/>
    <mergeCell ref="B36:C36"/>
    <mergeCell ref="AT46:AU46"/>
    <mergeCell ref="AS73:AS75"/>
    <mergeCell ref="AT55:AU55"/>
    <mergeCell ref="A82:A84"/>
    <mergeCell ref="B82:C82"/>
    <mergeCell ref="B83:C83"/>
    <mergeCell ref="B84:C84"/>
    <mergeCell ref="AT72:AU72"/>
    <mergeCell ref="A76:A78"/>
    <mergeCell ref="B76:C76"/>
    <mergeCell ref="B77:C77"/>
    <mergeCell ref="B78:C78"/>
    <mergeCell ref="A70:A72"/>
    <mergeCell ref="A79:A81"/>
    <mergeCell ref="B79:C79"/>
    <mergeCell ref="B80:C80"/>
    <mergeCell ref="B81:C81"/>
    <mergeCell ref="B70:C70"/>
    <mergeCell ref="B71:C71"/>
    <mergeCell ref="B72:C72"/>
    <mergeCell ref="A73:A75"/>
    <mergeCell ref="AS82:AS84"/>
    <mergeCell ref="AT82:AU82"/>
    <mergeCell ref="AT83:AU83"/>
    <mergeCell ref="AT84:AU84"/>
    <mergeCell ref="AT75:AU75"/>
    <mergeCell ref="AS76:AS78"/>
    <mergeCell ref="A67:A69"/>
    <mergeCell ref="B67:C67"/>
    <mergeCell ref="B68:C68"/>
    <mergeCell ref="B69:C69"/>
    <mergeCell ref="A61:A63"/>
    <mergeCell ref="B61:C61"/>
    <mergeCell ref="B62:C62"/>
    <mergeCell ref="B63:C63"/>
    <mergeCell ref="A64:A66"/>
    <mergeCell ref="B64:C64"/>
    <mergeCell ref="A55:A57"/>
    <mergeCell ref="B55:C55"/>
    <mergeCell ref="B56:C56"/>
    <mergeCell ref="B57:C57"/>
    <mergeCell ref="A37:A39"/>
    <mergeCell ref="B37:C37"/>
    <mergeCell ref="B38:C38"/>
    <mergeCell ref="B39:C39"/>
    <mergeCell ref="A58:A60"/>
    <mergeCell ref="B58:C58"/>
    <mergeCell ref="B59:C59"/>
    <mergeCell ref="B60:C60"/>
    <mergeCell ref="A52:A54"/>
    <mergeCell ref="B52:C52"/>
    <mergeCell ref="B44:C44"/>
    <mergeCell ref="B45:C45"/>
    <mergeCell ref="A46:A48"/>
    <mergeCell ref="B46:C46"/>
    <mergeCell ref="B47:C47"/>
    <mergeCell ref="B48:C48"/>
    <mergeCell ref="A49:A51"/>
    <mergeCell ref="B49:C49"/>
    <mergeCell ref="B50:C50"/>
    <mergeCell ref="B51:C51"/>
    <mergeCell ref="AT31:AU31"/>
    <mergeCell ref="AT35:AU35"/>
    <mergeCell ref="A25:S25"/>
    <mergeCell ref="A27:D28"/>
    <mergeCell ref="E27:F28"/>
    <mergeCell ref="H27:Q28"/>
    <mergeCell ref="R27:S28"/>
    <mergeCell ref="AT30:AU30"/>
    <mergeCell ref="AS31:AS33"/>
    <mergeCell ref="AT32:AU32"/>
    <mergeCell ref="B34:C34"/>
    <mergeCell ref="B35:C35"/>
    <mergeCell ref="A1:E1"/>
    <mergeCell ref="F1:G1"/>
    <mergeCell ref="I1:K1"/>
    <mergeCell ref="L1:N1"/>
    <mergeCell ref="A4:B4"/>
    <mergeCell ref="C4:H4"/>
    <mergeCell ref="J4:L4"/>
    <mergeCell ref="N4:T4"/>
    <mergeCell ref="A43:A45"/>
    <mergeCell ref="B43:C43"/>
    <mergeCell ref="A40:A42"/>
    <mergeCell ref="B40:C40"/>
    <mergeCell ref="B41:C41"/>
    <mergeCell ref="B42:C42"/>
    <mergeCell ref="B30:C30"/>
    <mergeCell ref="A31:A33"/>
    <mergeCell ref="B31:C31"/>
    <mergeCell ref="B32:C32"/>
    <mergeCell ref="B33:C33"/>
    <mergeCell ref="A34:A36"/>
    <mergeCell ref="A8:D10"/>
    <mergeCell ref="O11:P11"/>
    <mergeCell ref="A17:D19"/>
    <mergeCell ref="O7:T10"/>
  </mergeCells>
  <dataValidations count="4">
    <dataValidation type="list" allowBlank="1" showInputMessage="1" showErrorMessage="1" sqref="R27:S28" xr:uid="{E0D58984-4D6E-4AA9-A63E-92DA336B776C}">
      <formula1>"Left, Right"</formula1>
    </dataValidation>
    <dataValidation type="decimal" operator="greaterThanOrEqual" allowBlank="1" showInputMessage="1" showErrorMessage="1" sqref="D31:AU84" xr:uid="{CD55C7D5-1E02-4217-A7A9-D8F59B1BD3FD}">
      <formula1>0</formula1>
    </dataValidation>
    <dataValidation type="whole" allowBlank="1" showInputMessage="1" showErrorMessage="1" sqref="B12:J13 B14:B16 C14:D16 C20:D20" xr:uid="{361F4DA3-EFF7-4C0B-A89C-20FBD492AE34}">
      <formula1>0</formula1>
      <formula2>17</formula2>
    </dataValidation>
    <dataValidation type="whole" allowBlank="1" showInputMessage="1" showErrorMessage="1" sqref="B21:I22 J22 J21" xr:uid="{178DC90D-D80F-4EF0-8FEF-EF27F3A778AA}">
      <formula1>0</formula1>
      <formula2>330</formula2>
    </dataValidation>
  </dataValidations>
  <pageMargins left="0.7" right="0.7" top="0.75" bottom="0.75" header="0.3" footer="0.3"/>
  <pageSetup fitToWidth="3" fitToHeight="3"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BB65EEA53DC2458C81EB5D85E16BFF" ma:contentTypeVersion="18" ma:contentTypeDescription="Create a new document." ma:contentTypeScope="" ma:versionID="d0824b28fad1cc61ea1029a1bfaed4b0">
  <xsd:schema xmlns:xsd="http://www.w3.org/2001/XMLSchema" xmlns:xs="http://www.w3.org/2001/XMLSchema" xmlns:p="http://schemas.microsoft.com/office/2006/metadata/properties" xmlns:ns1="http://schemas.microsoft.com/sharepoint/v3" xmlns:ns2="3d7f3dc5-1a0e-47a8-a4e3-baca29124432" xmlns:ns3="d0bc210e-e83b-458e-991f-9940c087c845" targetNamespace="http://schemas.microsoft.com/office/2006/metadata/properties" ma:root="true" ma:fieldsID="0e6a598560f83bbe6058eb8591bd1aaf" ns1:_="" ns2:_="" ns3:_="">
    <xsd:import namespace="http://schemas.microsoft.com/sharepoint/v3"/>
    <xsd:import namespace="3d7f3dc5-1a0e-47a8-a4e3-baca29124432"/>
    <xsd:import namespace="d0bc210e-e83b-458e-991f-9940c087c845"/>
    <xsd:element name="properties">
      <xsd:complexType>
        <xsd:sequence>
          <xsd:element name="documentManagement">
            <xsd:complexType>
              <xsd:all>
                <xsd:element ref="ns1:PublishingStartDate" minOccurs="0"/>
                <xsd:element ref="ns1:PublishingExpirationDate" minOccurs="0"/>
                <xsd:element ref="ns2:File_x0020_Type0" minOccurs="0"/>
                <xsd:element ref="ns2:q7rr" minOccurs="0"/>
                <xsd:element ref="ns2:Page" minOccurs="0"/>
                <xsd:element ref="ns2:ju8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7f3dc5-1a0e-47a8-a4e3-baca29124432" elementFormDefault="qualified">
    <xsd:import namespace="http://schemas.microsoft.com/office/2006/documentManagement/types"/>
    <xsd:import namespace="http://schemas.microsoft.com/office/infopath/2007/PartnerControls"/>
    <xsd:element name="File_x0020_Type0" ma:index="6" nillable="true" ma:displayName="File Type" ma:description="Some lists (like &quot;Mitigation Forms&quot; and &quot;Removal-Fill Forms&quot;) on webpages are filtered by &quot;File Type&quot; selected. It is important you select the correct file type." ma:format="Dropdown" ma:internalName="File_x0020_Type0" ma:readOnly="false">
      <xsd:simpleType>
        <xsd:restriction base="dms:Choice">
          <xsd:enumeration value="Form"/>
          <xsd:enumeration value="Publication"/>
          <xsd:enumeration value="Map"/>
          <xsd:enumeration value="Inventory"/>
          <xsd:enumeration value="Technical resource"/>
          <xsd:enumeration value="Other supporting document"/>
        </xsd:restriction>
      </xsd:simpleType>
    </xsd:element>
    <xsd:element name="q7rr" ma:index="7" nillable="true" ma:displayName="Title" ma:internalName="q7rr">
      <xsd:simpleType>
        <xsd:restriction base="dms:Text">
          <xsd:maxLength value="255"/>
        </xsd:restriction>
      </xsd:simpleType>
    </xsd:element>
    <xsd:element name="Page" ma:index="8" nillable="true" ma:displayName="Page" ma:description="Some lists (like &quot;Mitigation Forms&quot; and &quot;Removal-Fill Forms&quot;) on webpages are filtered by &quot;Page&quot; type selected. It is important you select the correct pages." ma:internalName="Page" ma:readOnly="false">
      <xsd:complexType>
        <xsd:complexContent>
          <xsd:extension base="dms:MultiChoice">
            <xsd:sequence>
              <xsd:element name="Value" maxOccurs="unbounded" minOccurs="0" nillable="true">
                <xsd:simpleType>
                  <xsd:restriction base="dms:Choice">
                    <xsd:enumeration value="Work in Wetlands and Waters"/>
                    <xsd:enumeration value="Removal-Fill"/>
                    <xsd:enumeration value="Inventories and Maps"/>
                    <xsd:enumeration value="Essential Salmonid Habitat"/>
                    <xsd:enumeration value="Identifying Wetlands and Waters"/>
                    <xsd:enumeration value="Mitigating Project Impacts"/>
                    <xsd:enumeration value="Planning for Local Governments"/>
                    <xsd:enumeration value="Delineation Resources"/>
                    <xsd:enumeration value="Tools to Assess Wetlands and Waters"/>
                    <xsd:enumeration value="Pre-Application Meetings"/>
                    <xsd:enumeration value="State Scenic Waterways"/>
                  </xsd:restriction>
                </xsd:simpleType>
              </xsd:element>
            </xsd:sequence>
          </xsd:extension>
        </xsd:complexContent>
      </xsd:complexType>
    </xsd:element>
    <xsd:element name="ju8c" ma:index="10" nillable="true" ma:displayName="Topic" ma:internalName="ju8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bc210e-e83b-458e-991f-9940c087c84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ile_x0020_Type0 xmlns="3d7f3dc5-1a0e-47a8-a4e3-baca29124432">Technical resource</File_x0020_Type0>
    <q7rr xmlns="3d7f3dc5-1a0e-47a8-a4e3-baca29124432">Stream Function Assessment Method (SFAM), v. 1.1, Workbook</q7rr>
    <Page xmlns="3d7f3dc5-1a0e-47a8-a4e3-baca29124432">
      <Value>Tools to Assess Wetlands and Waters</Value>
    </Page>
    <ju8c xmlns="3d7f3dc5-1a0e-47a8-a4e3-baca29124432" xsi:nil="true"/>
  </documentManagement>
</p:properties>
</file>

<file path=customXml/itemProps1.xml><?xml version="1.0" encoding="utf-8"?>
<ds:datastoreItem xmlns:ds="http://schemas.openxmlformats.org/officeDocument/2006/customXml" ds:itemID="{705F441F-C58C-4DB2-A348-5B221F14C04E}">
  <ds:schemaRefs>
    <ds:schemaRef ds:uri="http://schemas.microsoft.com/sharepoint/v3/contenttype/forms"/>
  </ds:schemaRefs>
</ds:datastoreItem>
</file>

<file path=customXml/itemProps2.xml><?xml version="1.0" encoding="utf-8"?>
<ds:datastoreItem xmlns:ds="http://schemas.openxmlformats.org/officeDocument/2006/customXml" ds:itemID="{48E53B5D-8A5D-4D31-AF4E-BBC73C13B480}"/>
</file>

<file path=customXml/itemProps3.xml><?xml version="1.0" encoding="utf-8"?>
<ds:datastoreItem xmlns:ds="http://schemas.openxmlformats.org/officeDocument/2006/customXml" ds:itemID="{8DF03DC4-DFD0-466A-A9E5-093B3344DC4E}">
  <ds:schemaRefs>
    <ds:schemaRef ds:uri="http://schemas.microsoft.com/office/2006/metadata/properties"/>
    <ds:schemaRef ds:uri="http://schemas.microsoft.com/office/infopath/2007/PartnerControls"/>
    <ds:schemaRef ds:uri="e2ce6f67-2a85-45e2-a688-14eecda3208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79</vt:i4>
      </vt:variant>
    </vt:vector>
  </HeadingPairs>
  <TitlesOfParts>
    <vt:vector size="90" baseType="lpstr">
      <vt:lpstr>Cover Page</vt:lpstr>
      <vt:lpstr>Values</vt:lpstr>
      <vt:lpstr>Functions</vt:lpstr>
      <vt:lpstr>Subscores</vt:lpstr>
      <vt:lpstr>Scores</vt:lpstr>
      <vt:lpstr>Site Layout Field Form</vt:lpstr>
      <vt:lpstr>PAA Field Form</vt:lpstr>
      <vt:lpstr>EAA Field Form</vt:lpstr>
      <vt:lpstr>Extra PAA Transects or Data</vt:lpstr>
      <vt:lpstr>lists</vt:lpstr>
      <vt:lpstr>KEY</vt:lpstr>
      <vt:lpstr>ABC</vt:lpstr>
      <vt:lpstr>ABCD</vt:lpstr>
      <vt:lpstr>ABCDE</vt:lpstr>
      <vt:lpstr>ABCDEFG</vt:lpstr>
      <vt:lpstr>AqPerm</vt:lpstr>
      <vt:lpstr>AquaPerm</vt:lpstr>
      <vt:lpstr>Armor</vt:lpstr>
      <vt:lpstr>Barriers</vt:lpstr>
      <vt:lpstr>BedVar</vt:lpstr>
      <vt:lpstr>Cover</vt:lpstr>
      <vt:lpstr>CoverContext</vt:lpstr>
      <vt:lpstr>DomStreamType</vt:lpstr>
      <vt:lpstr>DwnFld</vt:lpstr>
      <vt:lpstr>DwnFP</vt:lpstr>
      <vt:lpstr>Ecoregion</vt:lpstr>
      <vt:lpstr>Embed</vt:lpstr>
      <vt:lpstr>Erode</vt:lpstr>
      <vt:lpstr>ErodeOptions</vt:lpstr>
      <vt:lpstr>Erodibility</vt:lpstr>
      <vt:lpstr>Erosion</vt:lpstr>
      <vt:lpstr>Exclusion</vt:lpstr>
      <vt:lpstr>Fish</vt:lpstr>
      <vt:lpstr>Flow</vt:lpstr>
      <vt:lpstr>FlowMod</vt:lpstr>
      <vt:lpstr>FlowRest</vt:lpstr>
      <vt:lpstr>Gradient</vt:lpstr>
      <vt:lpstr>HabFeat</vt:lpstr>
      <vt:lpstr>HL</vt:lpstr>
      <vt:lpstr>ImpArea</vt:lpstr>
      <vt:lpstr>ImpoundDS</vt:lpstr>
      <vt:lpstr>ImpoundUS</vt:lpstr>
      <vt:lpstr>Incision</vt:lpstr>
      <vt:lpstr>InvVeg</vt:lpstr>
      <vt:lpstr>LatMigr</vt:lpstr>
      <vt:lpstr>LgTree</vt:lpstr>
      <vt:lpstr>NoxWeed</vt:lpstr>
      <vt:lpstr>NutrImp</vt:lpstr>
      <vt:lpstr>OBFlow</vt:lpstr>
      <vt:lpstr>Passage</vt:lpstr>
      <vt:lpstr>PassageDn</vt:lpstr>
      <vt:lpstr>PassageUp</vt:lpstr>
      <vt:lpstr>Position</vt:lpstr>
      <vt:lpstr>'Cover Page'!Print_Area</vt:lpstr>
      <vt:lpstr>'EAA Field Form'!Print_Area</vt:lpstr>
      <vt:lpstr>Functions!Print_Area</vt:lpstr>
      <vt:lpstr>'PAA Field Form'!Print_Area</vt:lpstr>
      <vt:lpstr>Scores!Print_Area</vt:lpstr>
      <vt:lpstr>'Site Layout Field Form'!Print_Area</vt:lpstr>
      <vt:lpstr>Values!Print_Area</vt:lpstr>
      <vt:lpstr>Protect</vt:lpstr>
      <vt:lpstr>RarAmRep</vt:lpstr>
      <vt:lpstr>RarBdMm</vt:lpstr>
      <vt:lpstr>RarInvert</vt:lpstr>
      <vt:lpstr>RarPlant</vt:lpstr>
      <vt:lpstr>RipArea</vt:lpstr>
      <vt:lpstr>RipCon</vt:lpstr>
      <vt:lpstr>RipWidth</vt:lpstr>
      <vt:lpstr>Runoff</vt:lpstr>
      <vt:lpstr>SedList</vt:lpstr>
      <vt:lpstr>SideChan</vt:lpstr>
      <vt:lpstr>SoilPerm</vt:lpstr>
      <vt:lpstr>SoilPerm_local</vt:lpstr>
      <vt:lpstr>Source</vt:lpstr>
      <vt:lpstr>Species</vt:lpstr>
      <vt:lpstr>StreamType</vt:lpstr>
      <vt:lpstr>SubFeat</vt:lpstr>
      <vt:lpstr>SurrLand</vt:lpstr>
      <vt:lpstr>TempImp</vt:lpstr>
      <vt:lpstr>ThermFeat</vt:lpstr>
      <vt:lpstr>ToxImp</vt:lpstr>
      <vt:lpstr>Waterbird</vt:lpstr>
      <vt:lpstr>waterbirds</vt:lpstr>
      <vt:lpstr>Watershed</vt:lpstr>
      <vt:lpstr>WetVeg</vt:lpstr>
      <vt:lpstr>Wood</vt:lpstr>
      <vt:lpstr>WoodyVeg</vt:lpstr>
      <vt:lpstr>YN</vt:lpstr>
      <vt:lpstr>ZeroOne</vt:lpstr>
      <vt:lpstr>Zoning</vt:lpstr>
    </vt:vector>
  </TitlesOfParts>
  <Company>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Stream Function Assessment Method (SFAM), v. 1.1, Workbook</dc:title>
  <dc:creator>nmc</dc:creator>
  <cp:lastModifiedBy>ONEILL Liane</cp:lastModifiedBy>
  <cp:lastPrinted>2020-03-25T19:43:16Z</cp:lastPrinted>
  <dcterms:created xsi:type="dcterms:W3CDTF">2012-12-12T22:38:49Z</dcterms:created>
  <dcterms:modified xsi:type="dcterms:W3CDTF">2023-01-28T02:22:49Z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099e27b2d52a4ae8919c932f94963d89</vt:lpwstr>
  </property>
  <property fmtid="{D5CDD505-2E9C-101B-9397-08002B2CF9AE}" pid="3" name="ContentTypeId">
    <vt:lpwstr>0x01010076BB65EEA53DC2458C81EB5D85E16BFF</vt:lpwstr>
  </property>
</Properties>
</file>