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EO 17-20\6 Analysis of Cost\"/>
    </mc:Choice>
  </mc:AlternateContent>
  <xr:revisionPtr revIDLastSave="0" documentId="8_{F0CE9A9D-6CDE-411F-915F-59246B5EFE5F}" xr6:coauthVersionLast="47" xr6:coauthVersionMax="47" xr10:uidLastSave="{00000000-0000-0000-0000-000000000000}"/>
  <bookViews>
    <workbookView xWindow="1837" yWindow="1837" windowWidth="15391" windowHeight="9533" xr2:uid="{00000000-000D-0000-FFFF-FFFF00000000}"/>
  </bookViews>
  <sheets>
    <sheet name="Cost&amp;Savings Calcs" sheetId="1" r:id="rId1"/>
    <sheet name="Project Calcs" sheetId="7" r:id="rId2"/>
  </sheets>
  <externalReferences>
    <externalReference r:id="rId3"/>
  </externalReferences>
  <definedNames>
    <definedName name="Combined">'Cost&amp;Savings Calcs'!$Q$27</definedName>
    <definedName name="OffsetValue">'[1]Scenario Variables'!$F$11</definedName>
    <definedName name="_xlnm.Print_Area" localSheetId="0">'Cost&amp;Savings Calcs'!$A$8:$P$58</definedName>
    <definedName name="ProjectList">'[1]Project List'!$F$2:$H$22</definedName>
    <definedName name="RPU">'Cost&amp;Savings Calcs'!$L$30</definedName>
    <definedName name="SCE">'Cost&amp;Savings Calcs'!#REF!</definedName>
    <definedName name="UtilityCostEscalator">'[1]Scenario Variables'!$F$17</definedName>
    <definedName name="Yes">'Cost&amp;Savings Calcs'!$Q$15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" i="1" l="1"/>
  <c r="Q18" i="1" s="1"/>
  <c r="K39" i="1" s="1"/>
  <c r="Q24" i="1"/>
  <c r="Q23" i="1"/>
  <c r="D39" i="1"/>
  <c r="C39" i="1"/>
  <c r="A29" i="1"/>
  <c r="A30" i="1" l="1"/>
  <c r="E10" i="1" l="1"/>
  <c r="AE39" i="1"/>
  <c r="AD39" i="1"/>
  <c r="N39" i="1" l="1"/>
  <c r="I15" i="1" l="1"/>
  <c r="F13" i="7" l="1"/>
  <c r="F17" i="7" s="1"/>
  <c r="F16" i="7"/>
  <c r="A13" i="7"/>
  <c r="A14" i="7" s="1"/>
  <c r="A15" i="7" s="1"/>
  <c r="A8" i="7"/>
  <c r="C6" i="1" l="1"/>
  <c r="S31" i="1"/>
  <c r="S29" i="1"/>
  <c r="L28" i="1" l="1"/>
  <c r="B39" i="1" l="1"/>
  <c r="R39" i="1" s="1"/>
  <c r="A33" i="1" s="1"/>
  <c r="I16" i="1"/>
  <c r="I30" i="1"/>
  <c r="O39" i="1" l="1"/>
  <c r="J39" i="1"/>
  <c r="A40" i="1"/>
  <c r="D40" i="1" s="1"/>
  <c r="C40" i="1" l="1"/>
  <c r="Q39" i="1"/>
  <c r="M39" i="1"/>
  <c r="T39" i="1" s="1"/>
  <c r="F40" i="1"/>
  <c r="E40" i="1"/>
  <c r="W39" i="1" l="1"/>
  <c r="X40" i="1"/>
  <c r="AC40" i="1"/>
  <c r="X41" i="1"/>
  <c r="AC41" i="1"/>
  <c r="X42" i="1"/>
  <c r="AC42" i="1"/>
  <c r="X43" i="1"/>
  <c r="AC43" i="1"/>
  <c r="X44" i="1"/>
  <c r="AC44" i="1"/>
  <c r="X45" i="1"/>
  <c r="AC45" i="1"/>
  <c r="X46" i="1"/>
  <c r="AC46" i="1"/>
  <c r="X47" i="1"/>
  <c r="AC47" i="1"/>
  <c r="X48" i="1"/>
  <c r="AC48" i="1"/>
  <c r="X49" i="1"/>
  <c r="AC49" i="1"/>
  <c r="X50" i="1"/>
  <c r="AC50" i="1"/>
  <c r="X51" i="1"/>
  <c r="AC51" i="1"/>
  <c r="X52" i="1"/>
  <c r="AC52" i="1"/>
  <c r="X53" i="1"/>
  <c r="AC53" i="1"/>
  <c r="X54" i="1"/>
  <c r="AC54" i="1"/>
  <c r="X55" i="1"/>
  <c r="AC55" i="1"/>
  <c r="X56" i="1"/>
  <c r="AC56" i="1"/>
  <c r="X57" i="1"/>
  <c r="AC57" i="1"/>
  <c r="X58" i="1"/>
  <c r="AC58" i="1"/>
  <c r="X59" i="1"/>
  <c r="AC59" i="1"/>
  <c r="X60" i="1"/>
  <c r="AC60" i="1"/>
  <c r="X61" i="1"/>
  <c r="AC61" i="1"/>
  <c r="X62" i="1"/>
  <c r="AC62" i="1"/>
  <c r="X63" i="1"/>
  <c r="AC63" i="1"/>
  <c r="X64" i="1"/>
  <c r="AC64" i="1"/>
  <c r="X65" i="1"/>
  <c r="AC65" i="1"/>
  <c r="X66" i="1"/>
  <c r="AC66" i="1"/>
  <c r="X67" i="1"/>
  <c r="AC67" i="1"/>
  <c r="X68" i="1"/>
  <c r="AC68" i="1"/>
  <c r="X69" i="1"/>
  <c r="AC69" i="1"/>
  <c r="X70" i="1"/>
  <c r="AC70" i="1"/>
  <c r="X71" i="1"/>
  <c r="AC71" i="1"/>
  <c r="X72" i="1"/>
  <c r="AC72" i="1"/>
  <c r="X73" i="1"/>
  <c r="AC73" i="1"/>
  <c r="X74" i="1"/>
  <c r="AC74" i="1"/>
  <c r="X75" i="1"/>
  <c r="AC75" i="1"/>
  <c r="X76" i="1"/>
  <c r="AC76" i="1"/>
  <c r="X77" i="1"/>
  <c r="AC77" i="1"/>
  <c r="AD40" i="1" l="1"/>
  <c r="AE40" i="1"/>
  <c r="N40" i="1" s="1"/>
  <c r="AC39" i="1"/>
  <c r="X39" i="1"/>
  <c r="F24" i="1" l="1"/>
  <c r="A19" i="1" l="1"/>
  <c r="F39" i="1" s="1"/>
  <c r="E39" i="1"/>
  <c r="A41" i="1"/>
  <c r="D41" i="1" s="1"/>
  <c r="B40" i="1"/>
  <c r="K40" i="1" l="1"/>
  <c r="R40" i="1"/>
  <c r="O40" i="1" s="1"/>
  <c r="C41" i="1"/>
  <c r="AE41" i="1"/>
  <c r="AD41" i="1"/>
  <c r="J40" i="1"/>
  <c r="W40" i="1" s="1"/>
  <c r="F41" i="1"/>
  <c r="E41" i="1"/>
  <c r="G40" i="1"/>
  <c r="H40" i="1" s="1"/>
  <c r="Q40" i="1"/>
  <c r="A42" i="1"/>
  <c r="D42" i="1" s="1"/>
  <c r="B41" i="1"/>
  <c r="G39" i="1"/>
  <c r="R41" i="1" l="1"/>
  <c r="H39" i="1"/>
  <c r="I39" i="1" s="1"/>
  <c r="AE42" i="1"/>
  <c r="N41" i="1"/>
  <c r="AD42" i="1"/>
  <c r="C42" i="1"/>
  <c r="D10" i="1"/>
  <c r="F42" i="1"/>
  <c r="E42" i="1"/>
  <c r="J41" i="1"/>
  <c r="G41" i="1"/>
  <c r="H41" i="1" s="1"/>
  <c r="B42" i="1"/>
  <c r="A43" i="1"/>
  <c r="D43" i="1" s="1"/>
  <c r="Q41" i="1"/>
  <c r="R42" i="1" l="1"/>
  <c r="T38" i="1"/>
  <c r="AE43" i="1"/>
  <c r="O41" i="1"/>
  <c r="N42" i="1"/>
  <c r="O42" i="1"/>
  <c r="M40" i="1"/>
  <c r="T40" i="1" s="1"/>
  <c r="F33" i="1"/>
  <c r="AD43" i="1"/>
  <c r="C43" i="1"/>
  <c r="M41" i="1"/>
  <c r="C10" i="1"/>
  <c r="M42" i="1"/>
  <c r="J42" i="1"/>
  <c r="W42" i="1" s="1"/>
  <c r="B43" i="1"/>
  <c r="R43" i="1" s="1"/>
  <c r="E43" i="1"/>
  <c r="F43" i="1"/>
  <c r="W41" i="1"/>
  <c r="G42" i="1"/>
  <c r="H42" i="1" s="1"/>
  <c r="A44" i="1"/>
  <c r="D44" i="1" s="1"/>
  <c r="Q42" i="1"/>
  <c r="L39" i="1" l="1"/>
  <c r="P39" i="1" s="1"/>
  <c r="AA42" i="1"/>
  <c r="AA41" i="1"/>
  <c r="AE44" i="1"/>
  <c r="N43" i="1"/>
  <c r="O43" i="1"/>
  <c r="AA40" i="1"/>
  <c r="AD44" i="1"/>
  <c r="C44" i="1"/>
  <c r="AA39" i="1"/>
  <c r="E44" i="1"/>
  <c r="F44" i="1"/>
  <c r="J43" i="1"/>
  <c r="I40" i="1"/>
  <c r="M43" i="1"/>
  <c r="B44" i="1"/>
  <c r="R44" i="1" s="1"/>
  <c r="A45" i="1"/>
  <c r="V39" i="1"/>
  <c r="G43" i="1"/>
  <c r="H43" i="1" s="1"/>
  <c r="Q43" i="1"/>
  <c r="C45" i="1" l="1"/>
  <c r="D45" i="1"/>
  <c r="I41" i="1"/>
  <c r="V41" i="1" s="1"/>
  <c r="L40" i="1"/>
  <c r="P40" i="1" s="1"/>
  <c r="AE45" i="1"/>
  <c r="N44" i="1"/>
  <c r="O44" i="1"/>
  <c r="A46" i="1"/>
  <c r="D46" i="1" s="1"/>
  <c r="B45" i="1"/>
  <c r="R45" i="1" s="1"/>
  <c r="AD45" i="1"/>
  <c r="G44" i="1"/>
  <c r="H44" i="1" s="1"/>
  <c r="V40" i="1"/>
  <c r="M44" i="1"/>
  <c r="F45" i="1"/>
  <c r="E45" i="1"/>
  <c r="J44" i="1"/>
  <c r="J45" i="1" s="1"/>
  <c r="AA43" i="1"/>
  <c r="Q44" i="1"/>
  <c r="W43" i="1"/>
  <c r="A47" i="1" l="1"/>
  <c r="D47" i="1" s="1"/>
  <c r="E46" i="1"/>
  <c r="F46" i="1"/>
  <c r="AD46" i="1"/>
  <c r="M46" i="1" s="1"/>
  <c r="B46" i="1"/>
  <c r="R46" i="1" s="1"/>
  <c r="AA44" i="1"/>
  <c r="I42" i="1"/>
  <c r="C47" i="1"/>
  <c r="C46" i="1"/>
  <c r="AE46" i="1"/>
  <c r="AE47" i="1" s="1"/>
  <c r="N45" i="1"/>
  <c r="G45" i="1"/>
  <c r="H45" i="1" s="1"/>
  <c r="M45" i="1"/>
  <c r="Q45" i="1"/>
  <c r="E47" i="1"/>
  <c r="F47" i="1"/>
  <c r="J46" i="1"/>
  <c r="W44" i="1"/>
  <c r="G46" i="1"/>
  <c r="H46" i="1" s="1"/>
  <c r="Q46" i="1"/>
  <c r="A48" i="1"/>
  <c r="D48" i="1" s="1"/>
  <c r="B47" i="1"/>
  <c r="R47" i="1" s="1"/>
  <c r="AD47" i="1" l="1"/>
  <c r="N47" i="1"/>
  <c r="N46" i="1"/>
  <c r="AA45" i="1"/>
  <c r="AA46" i="1"/>
  <c r="V42" i="1"/>
  <c r="I43" i="1"/>
  <c r="C48" i="1"/>
  <c r="AE48" i="1"/>
  <c r="O46" i="1"/>
  <c r="O45" i="1"/>
  <c r="O47" i="1"/>
  <c r="AD48" i="1"/>
  <c r="E48" i="1"/>
  <c r="F48" i="1"/>
  <c r="J47" i="1"/>
  <c r="M47" i="1"/>
  <c r="W45" i="1"/>
  <c r="G47" i="1"/>
  <c r="H47" i="1" s="1"/>
  <c r="Q47" i="1"/>
  <c r="A49" i="1"/>
  <c r="B48" i="1"/>
  <c r="R48" i="1" l="1"/>
  <c r="C49" i="1"/>
  <c r="D49" i="1"/>
  <c r="AE49" i="1"/>
  <c r="N49" i="1" s="1"/>
  <c r="N48" i="1"/>
  <c r="AA47" i="1"/>
  <c r="I44" i="1"/>
  <c r="V43" i="1"/>
  <c r="O48" i="1"/>
  <c r="AD49" i="1"/>
  <c r="F49" i="1"/>
  <c r="E49" i="1"/>
  <c r="J48" i="1"/>
  <c r="M48" i="1"/>
  <c r="W46" i="1"/>
  <c r="G48" i="1"/>
  <c r="H48" i="1" s="1"/>
  <c r="Q48" i="1"/>
  <c r="A50" i="1"/>
  <c r="B49" i="1"/>
  <c r="R49" i="1" s="1"/>
  <c r="AE50" i="1" l="1"/>
  <c r="D50" i="1"/>
  <c r="AA48" i="1"/>
  <c r="V44" i="1"/>
  <c r="I45" i="1"/>
  <c r="C50" i="1"/>
  <c r="N50" i="1" s="1"/>
  <c r="B50" i="1"/>
  <c r="O49" i="1"/>
  <c r="AD50" i="1"/>
  <c r="E50" i="1"/>
  <c r="F50" i="1"/>
  <c r="J49" i="1"/>
  <c r="M49" i="1"/>
  <c r="W47" i="1"/>
  <c r="G49" i="1"/>
  <c r="H49" i="1" s="1"/>
  <c r="Q49" i="1"/>
  <c r="A51" i="1"/>
  <c r="C51" i="1" l="1"/>
  <c r="D51" i="1"/>
  <c r="AA49" i="1"/>
  <c r="R50" i="1"/>
  <c r="O50" i="1" s="1"/>
  <c r="V45" i="1"/>
  <c r="I46" i="1"/>
  <c r="AE51" i="1"/>
  <c r="AE52" i="1" s="1"/>
  <c r="AD51" i="1"/>
  <c r="E51" i="1"/>
  <c r="F51" i="1"/>
  <c r="J50" i="1"/>
  <c r="M50" i="1"/>
  <c r="W48" i="1"/>
  <c r="G50" i="1"/>
  <c r="H50" i="1" s="1"/>
  <c r="Q50" i="1"/>
  <c r="A52" i="1"/>
  <c r="B51" i="1"/>
  <c r="R51" i="1" s="1"/>
  <c r="C52" i="1" l="1"/>
  <c r="D52" i="1"/>
  <c r="N51" i="1"/>
  <c r="AA50" i="1"/>
  <c r="V46" i="1"/>
  <c r="I47" i="1"/>
  <c r="N52" i="1"/>
  <c r="AD52" i="1"/>
  <c r="E52" i="1"/>
  <c r="F52" i="1"/>
  <c r="J51" i="1"/>
  <c r="M51" i="1"/>
  <c r="W49" i="1"/>
  <c r="G51" i="1"/>
  <c r="H51" i="1" s="1"/>
  <c r="Q51" i="1"/>
  <c r="A53" i="1"/>
  <c r="B52" i="1"/>
  <c r="R52" i="1" s="1"/>
  <c r="C53" i="1" l="1"/>
  <c r="D53" i="1"/>
  <c r="AA51" i="1"/>
  <c r="V47" i="1"/>
  <c r="I48" i="1"/>
  <c r="O51" i="1"/>
  <c r="AE53" i="1"/>
  <c r="AE54" i="1" s="1"/>
  <c r="O52" i="1"/>
  <c r="AD53" i="1"/>
  <c r="J52" i="1"/>
  <c r="F53" i="1"/>
  <c r="E53" i="1"/>
  <c r="M52" i="1"/>
  <c r="W50" i="1"/>
  <c r="G52" i="1"/>
  <c r="H52" i="1" s="1"/>
  <c r="Q52" i="1"/>
  <c r="A54" i="1"/>
  <c r="B53" i="1"/>
  <c r="R53" i="1" s="1"/>
  <c r="C54" i="1" l="1"/>
  <c r="D54" i="1"/>
  <c r="AA52" i="1"/>
  <c r="V48" i="1"/>
  <c r="I49" i="1"/>
  <c r="N53" i="1"/>
  <c r="O53" i="1"/>
  <c r="N54" i="1"/>
  <c r="AD54" i="1"/>
  <c r="F54" i="1"/>
  <c r="E54" i="1"/>
  <c r="J53" i="1"/>
  <c r="M53" i="1"/>
  <c r="G53" i="1"/>
  <c r="H53" i="1" s="1"/>
  <c r="W51" i="1"/>
  <c r="Q53" i="1"/>
  <c r="A55" i="1"/>
  <c r="B54" i="1"/>
  <c r="R54" i="1" s="1"/>
  <c r="C55" i="1" l="1"/>
  <c r="D55" i="1"/>
  <c r="AA53" i="1"/>
  <c r="I50" i="1"/>
  <c r="V49" i="1"/>
  <c r="AE55" i="1"/>
  <c r="N55" i="1" s="1"/>
  <c r="O54" i="1"/>
  <c r="AD55" i="1"/>
  <c r="E55" i="1"/>
  <c r="F55" i="1"/>
  <c r="J54" i="1"/>
  <c r="M54" i="1"/>
  <c r="G54" i="1"/>
  <c r="H54" i="1" s="1"/>
  <c r="W52" i="1"/>
  <c r="Q54" i="1"/>
  <c r="A56" i="1"/>
  <c r="B55" i="1"/>
  <c r="R55" i="1" s="1"/>
  <c r="C56" i="1" l="1"/>
  <c r="D56" i="1"/>
  <c r="AA54" i="1"/>
  <c r="V50" i="1"/>
  <c r="I51" i="1"/>
  <c r="AE56" i="1"/>
  <c r="AE57" i="1" s="1"/>
  <c r="O55" i="1"/>
  <c r="AD56" i="1"/>
  <c r="E56" i="1"/>
  <c r="F56" i="1"/>
  <c r="J55" i="1"/>
  <c r="M55" i="1"/>
  <c r="G55" i="1"/>
  <c r="H55" i="1" s="1"/>
  <c r="W53" i="1"/>
  <c r="Q55" i="1"/>
  <c r="A57" i="1"/>
  <c r="B56" i="1"/>
  <c r="R56" i="1" s="1"/>
  <c r="C57" i="1" l="1"/>
  <c r="D57" i="1"/>
  <c r="AA55" i="1"/>
  <c r="V51" i="1"/>
  <c r="I52" i="1"/>
  <c r="N56" i="1"/>
  <c r="O56" i="1"/>
  <c r="N57" i="1"/>
  <c r="AD57" i="1"/>
  <c r="J56" i="1"/>
  <c r="F57" i="1"/>
  <c r="E57" i="1"/>
  <c r="M56" i="1"/>
  <c r="W54" i="1"/>
  <c r="G56" i="1"/>
  <c r="H56" i="1" s="1"/>
  <c r="Q56" i="1"/>
  <c r="A58" i="1"/>
  <c r="B57" i="1"/>
  <c r="R57" i="1" s="1"/>
  <c r="C58" i="1" l="1"/>
  <c r="D58" i="1"/>
  <c r="AA56" i="1"/>
  <c r="V52" i="1"/>
  <c r="I53" i="1"/>
  <c r="AE58" i="1"/>
  <c r="N58" i="1" s="1"/>
  <c r="O57" i="1"/>
  <c r="AD58" i="1"/>
  <c r="F58" i="1"/>
  <c r="E58" i="1"/>
  <c r="J57" i="1"/>
  <c r="M57" i="1"/>
  <c r="W55" i="1"/>
  <c r="G57" i="1"/>
  <c r="H57" i="1" s="1"/>
  <c r="Q57" i="1"/>
  <c r="A59" i="1"/>
  <c r="B58" i="1"/>
  <c r="R58" i="1" s="1"/>
  <c r="C59" i="1" l="1"/>
  <c r="D59" i="1"/>
  <c r="AA57" i="1"/>
  <c r="V53" i="1"/>
  <c r="I54" i="1"/>
  <c r="AE59" i="1"/>
  <c r="O58" i="1"/>
  <c r="N59" i="1"/>
  <c r="AD59" i="1"/>
  <c r="E59" i="1"/>
  <c r="F59" i="1"/>
  <c r="J58" i="1"/>
  <c r="M58" i="1"/>
  <c r="W56" i="1"/>
  <c r="G58" i="1"/>
  <c r="H58" i="1" s="1"/>
  <c r="A60" i="1"/>
  <c r="B59" i="1"/>
  <c r="R59" i="1" s="1"/>
  <c r="C60" i="1" l="1"/>
  <c r="D60" i="1"/>
  <c r="V54" i="1"/>
  <c r="I55" i="1"/>
  <c r="O59" i="1"/>
  <c r="AE60" i="1"/>
  <c r="N60" i="1"/>
  <c r="AD60" i="1"/>
  <c r="Y59" i="1"/>
  <c r="K59" i="1"/>
  <c r="E60" i="1"/>
  <c r="F60" i="1"/>
  <c r="M59" i="1"/>
  <c r="J59" i="1"/>
  <c r="W57" i="1"/>
  <c r="G59" i="1"/>
  <c r="H59" i="1" s="1"/>
  <c r="A61" i="1"/>
  <c r="D61" i="1" s="1"/>
  <c r="B60" i="1"/>
  <c r="AA58" i="1"/>
  <c r="T59" i="1" l="1"/>
  <c r="O60" i="1"/>
  <c r="R60" i="1"/>
  <c r="V55" i="1"/>
  <c r="I56" i="1"/>
  <c r="AE61" i="1"/>
  <c r="AE62" i="1" s="1"/>
  <c r="AD61" i="1"/>
  <c r="C61" i="1"/>
  <c r="K60" i="1"/>
  <c r="J60" i="1"/>
  <c r="Y60" i="1"/>
  <c r="F61" i="1"/>
  <c r="E61" i="1"/>
  <c r="M60" i="1"/>
  <c r="T60" i="1" s="1"/>
  <c r="W58" i="1"/>
  <c r="G60" i="1"/>
  <c r="H60" i="1" s="1"/>
  <c r="A62" i="1"/>
  <c r="D62" i="1" s="1"/>
  <c r="B61" i="1"/>
  <c r="Q58" i="1"/>
  <c r="AA59" i="1"/>
  <c r="O61" i="1" l="1"/>
  <c r="R61" i="1"/>
  <c r="V56" i="1"/>
  <c r="I57" i="1"/>
  <c r="AE63" i="1"/>
  <c r="N61" i="1"/>
  <c r="AD62" i="1"/>
  <c r="C62" i="1"/>
  <c r="K61" i="1"/>
  <c r="F62" i="1"/>
  <c r="E62" i="1"/>
  <c r="Y61" i="1"/>
  <c r="J61" i="1"/>
  <c r="M61" i="1"/>
  <c r="W59" i="1"/>
  <c r="G61" i="1"/>
  <c r="H61" i="1" s="1"/>
  <c r="A63" i="1"/>
  <c r="D63" i="1" s="1"/>
  <c r="B62" i="1"/>
  <c r="Q59" i="1"/>
  <c r="AA60" i="1"/>
  <c r="AA61" i="1" l="1"/>
  <c r="T61" i="1"/>
  <c r="O62" i="1"/>
  <c r="R62" i="1"/>
  <c r="V57" i="1"/>
  <c r="I58" i="1"/>
  <c r="N62" i="1"/>
  <c r="K62" i="1"/>
  <c r="AD63" i="1"/>
  <c r="C63" i="1"/>
  <c r="M62" i="1"/>
  <c r="J62" i="1"/>
  <c r="E63" i="1"/>
  <c r="F63" i="1"/>
  <c r="Y62" i="1"/>
  <c r="W60" i="1"/>
  <c r="G62" i="1"/>
  <c r="H62" i="1" s="1"/>
  <c r="Q60" i="1"/>
  <c r="A64" i="1"/>
  <c r="B63" i="1"/>
  <c r="AE64" i="1" l="1"/>
  <c r="D64" i="1"/>
  <c r="AA62" i="1"/>
  <c r="T62" i="1"/>
  <c r="O63" i="1"/>
  <c r="R63" i="1"/>
  <c r="V58" i="1"/>
  <c r="I59" i="1"/>
  <c r="N63" i="1"/>
  <c r="K63" i="1"/>
  <c r="AD64" i="1"/>
  <c r="C64" i="1"/>
  <c r="J63" i="1"/>
  <c r="M63" i="1"/>
  <c r="F64" i="1"/>
  <c r="E64" i="1"/>
  <c r="Y63" i="1"/>
  <c r="W61" i="1"/>
  <c r="G63" i="1"/>
  <c r="H63" i="1" s="1"/>
  <c r="A65" i="1"/>
  <c r="B64" i="1"/>
  <c r="Q61" i="1"/>
  <c r="AE65" i="1" l="1"/>
  <c r="D65" i="1"/>
  <c r="AA63" i="1"/>
  <c r="T63" i="1"/>
  <c r="O64" i="1"/>
  <c r="R64" i="1"/>
  <c r="V59" i="1"/>
  <c r="Z59" i="1" s="1"/>
  <c r="AB59" i="1" s="1"/>
  <c r="AF59" i="1" s="1"/>
  <c r="AG59" i="1" s="1"/>
  <c r="L59" i="1"/>
  <c r="P59" i="1" s="1"/>
  <c r="I60" i="1"/>
  <c r="N64" i="1"/>
  <c r="K64" i="1"/>
  <c r="AD65" i="1"/>
  <c r="C65" i="1"/>
  <c r="M64" i="1"/>
  <c r="Y64" i="1"/>
  <c r="F65" i="1"/>
  <c r="E65" i="1"/>
  <c r="J64" i="1"/>
  <c r="W62" i="1"/>
  <c r="G64" i="1"/>
  <c r="H64" i="1" s="1"/>
  <c r="A66" i="1"/>
  <c r="B65" i="1"/>
  <c r="Q62" i="1"/>
  <c r="AE66" i="1" l="1"/>
  <c r="D66" i="1"/>
  <c r="AA64" i="1"/>
  <c r="T64" i="1"/>
  <c r="O65" i="1"/>
  <c r="R65" i="1"/>
  <c r="V60" i="1"/>
  <c r="Z60" i="1" s="1"/>
  <c r="AB60" i="1" s="1"/>
  <c r="AF60" i="1" s="1"/>
  <c r="AG60" i="1" s="1"/>
  <c r="L60" i="1"/>
  <c r="P60" i="1" s="1"/>
  <c r="I61" i="1"/>
  <c r="S59" i="1"/>
  <c r="N65" i="1"/>
  <c r="K65" i="1"/>
  <c r="AD66" i="1"/>
  <c r="C66" i="1"/>
  <c r="M65" i="1"/>
  <c r="E66" i="1"/>
  <c r="F66" i="1"/>
  <c r="Y65" i="1"/>
  <c r="J65" i="1"/>
  <c r="W63" i="1"/>
  <c r="G65" i="1"/>
  <c r="H65" i="1" s="1"/>
  <c r="Q63" i="1"/>
  <c r="A67" i="1"/>
  <c r="B66" i="1"/>
  <c r="AE67" i="1" l="1"/>
  <c r="D67" i="1"/>
  <c r="AA65" i="1"/>
  <c r="T65" i="1"/>
  <c r="O66" i="1"/>
  <c r="R66" i="1"/>
  <c r="V61" i="1"/>
  <c r="Z61" i="1" s="1"/>
  <c r="AB61" i="1" s="1"/>
  <c r="AF61" i="1" s="1"/>
  <c r="AG61" i="1" s="1"/>
  <c r="L61" i="1"/>
  <c r="P61" i="1" s="1"/>
  <c r="I62" i="1"/>
  <c r="S60" i="1"/>
  <c r="N66" i="1"/>
  <c r="AD67" i="1"/>
  <c r="C67" i="1"/>
  <c r="Y66" i="1"/>
  <c r="K66" i="1"/>
  <c r="E67" i="1"/>
  <c r="F67" i="1"/>
  <c r="J66" i="1"/>
  <c r="M66" i="1"/>
  <c r="G66" i="1"/>
  <c r="H66" i="1" s="1"/>
  <c r="W64" i="1"/>
  <c r="A68" i="1"/>
  <c r="B67" i="1"/>
  <c r="Q64" i="1"/>
  <c r="AE68" i="1" l="1"/>
  <c r="D68" i="1"/>
  <c r="AA66" i="1"/>
  <c r="T66" i="1"/>
  <c r="O67" i="1"/>
  <c r="R67" i="1"/>
  <c r="V62" i="1"/>
  <c r="Z62" i="1" s="1"/>
  <c r="AB62" i="1" s="1"/>
  <c r="AF62" i="1" s="1"/>
  <c r="AG62" i="1" s="1"/>
  <c r="L62" i="1"/>
  <c r="P62" i="1" s="1"/>
  <c r="I63" i="1"/>
  <c r="S61" i="1"/>
  <c r="N67" i="1"/>
  <c r="K67" i="1"/>
  <c r="AD68" i="1"/>
  <c r="C68" i="1"/>
  <c r="M67" i="1"/>
  <c r="Y67" i="1"/>
  <c r="E68" i="1"/>
  <c r="F68" i="1"/>
  <c r="J67" i="1"/>
  <c r="W65" i="1"/>
  <c r="G67" i="1"/>
  <c r="Q65" i="1"/>
  <c r="A69" i="1"/>
  <c r="B68" i="1"/>
  <c r="AE69" i="1" l="1"/>
  <c r="D69" i="1"/>
  <c r="AA67" i="1"/>
  <c r="T67" i="1"/>
  <c r="O68" i="1"/>
  <c r="R68" i="1"/>
  <c r="V63" i="1"/>
  <c r="Z63" i="1" s="1"/>
  <c r="AB63" i="1" s="1"/>
  <c r="AF63" i="1" s="1"/>
  <c r="AG63" i="1" s="1"/>
  <c r="L63" i="1"/>
  <c r="P63" i="1" s="1"/>
  <c r="I64" i="1"/>
  <c r="S62" i="1"/>
  <c r="N68" i="1"/>
  <c r="K68" i="1"/>
  <c r="H67" i="1"/>
  <c r="AD69" i="1"/>
  <c r="C69" i="1"/>
  <c r="Y68" i="1"/>
  <c r="J68" i="1"/>
  <c r="M68" i="1"/>
  <c r="F69" i="1"/>
  <c r="E69" i="1"/>
  <c r="W66" i="1"/>
  <c r="G68" i="1"/>
  <c r="Q66" i="1"/>
  <c r="A70" i="1"/>
  <c r="B69" i="1"/>
  <c r="AE70" i="1" l="1"/>
  <c r="D70" i="1"/>
  <c r="AA68" i="1"/>
  <c r="T68" i="1"/>
  <c r="O69" i="1"/>
  <c r="R69" i="1"/>
  <c r="V64" i="1"/>
  <c r="Z64" i="1" s="1"/>
  <c r="AB64" i="1" s="1"/>
  <c r="AF64" i="1" s="1"/>
  <c r="AG64" i="1" s="1"/>
  <c r="L64" i="1"/>
  <c r="P64" i="1" s="1"/>
  <c r="I65" i="1"/>
  <c r="S63" i="1"/>
  <c r="N69" i="1"/>
  <c r="H68" i="1"/>
  <c r="AD70" i="1"/>
  <c r="C70" i="1"/>
  <c r="Y69" i="1"/>
  <c r="K69" i="1"/>
  <c r="M69" i="1"/>
  <c r="F70" i="1"/>
  <c r="E70" i="1"/>
  <c r="J69" i="1"/>
  <c r="G69" i="1"/>
  <c r="W67" i="1"/>
  <c r="A71" i="1"/>
  <c r="B70" i="1"/>
  <c r="Q67" i="1"/>
  <c r="AE71" i="1" l="1"/>
  <c r="D71" i="1"/>
  <c r="AA69" i="1"/>
  <c r="T69" i="1"/>
  <c r="O70" i="1"/>
  <c r="R70" i="1"/>
  <c r="V65" i="1"/>
  <c r="Z65" i="1" s="1"/>
  <c r="AB65" i="1" s="1"/>
  <c r="AF65" i="1" s="1"/>
  <c r="AG65" i="1" s="1"/>
  <c r="L65" i="1"/>
  <c r="P65" i="1" s="1"/>
  <c r="I66" i="1"/>
  <c r="S64" i="1"/>
  <c r="N70" i="1"/>
  <c r="H69" i="1"/>
  <c r="AD71" i="1"/>
  <c r="C71" i="1"/>
  <c r="Y70" i="1"/>
  <c r="K70" i="1"/>
  <c r="J70" i="1"/>
  <c r="E71" i="1"/>
  <c r="F71" i="1"/>
  <c r="M70" i="1"/>
  <c r="W68" i="1"/>
  <c r="G70" i="1"/>
  <c r="Q68" i="1"/>
  <c r="L18" i="1"/>
  <c r="A72" i="1"/>
  <c r="D72" i="1" s="1"/>
  <c r="B71" i="1"/>
  <c r="AE72" i="1" l="1"/>
  <c r="AA70" i="1"/>
  <c r="T70" i="1"/>
  <c r="O71" i="1"/>
  <c r="R71" i="1"/>
  <c r="V66" i="1"/>
  <c r="Z66" i="1" s="1"/>
  <c r="AB66" i="1" s="1"/>
  <c r="AF66" i="1" s="1"/>
  <c r="AG66" i="1" s="1"/>
  <c r="L66" i="1"/>
  <c r="P66" i="1" s="1"/>
  <c r="I67" i="1"/>
  <c r="S65" i="1"/>
  <c r="N71" i="1"/>
  <c r="H70" i="1"/>
  <c r="AD72" i="1"/>
  <c r="C72" i="1"/>
  <c r="Y71" i="1"/>
  <c r="K71" i="1"/>
  <c r="M71" i="1"/>
  <c r="E72" i="1"/>
  <c r="F72" i="1"/>
  <c r="J71" i="1"/>
  <c r="W69" i="1"/>
  <c r="G71" i="1"/>
  <c r="Q69" i="1"/>
  <c r="A73" i="1"/>
  <c r="B72" i="1"/>
  <c r="AE73" i="1" l="1"/>
  <c r="D73" i="1"/>
  <c r="AA71" i="1"/>
  <c r="T71" i="1"/>
  <c r="O72" i="1"/>
  <c r="R72" i="1"/>
  <c r="V67" i="1"/>
  <c r="Z67" i="1" s="1"/>
  <c r="AB67" i="1" s="1"/>
  <c r="AF67" i="1" s="1"/>
  <c r="AG67" i="1" s="1"/>
  <c r="L67" i="1"/>
  <c r="P67" i="1" s="1"/>
  <c r="I68" i="1"/>
  <c r="S66" i="1"/>
  <c r="N72" i="1"/>
  <c r="K72" i="1"/>
  <c r="H71" i="1"/>
  <c r="AD73" i="1"/>
  <c r="C73" i="1"/>
  <c r="J72" i="1"/>
  <c r="M72" i="1"/>
  <c r="F73" i="1"/>
  <c r="E73" i="1"/>
  <c r="Y72" i="1"/>
  <c r="W70" i="1"/>
  <c r="G72" i="1"/>
  <c r="A74" i="1"/>
  <c r="B73" i="1"/>
  <c r="Q70" i="1"/>
  <c r="AE74" i="1" l="1"/>
  <c r="D74" i="1"/>
  <c r="AA72" i="1"/>
  <c r="T72" i="1"/>
  <c r="O73" i="1"/>
  <c r="R73" i="1"/>
  <c r="V68" i="1"/>
  <c r="Z68" i="1" s="1"/>
  <c r="AB68" i="1" s="1"/>
  <c r="AF68" i="1" s="1"/>
  <c r="AG68" i="1" s="1"/>
  <c r="L68" i="1"/>
  <c r="P68" i="1" s="1"/>
  <c r="I69" i="1"/>
  <c r="N73" i="1"/>
  <c r="H72" i="1"/>
  <c r="AD74" i="1"/>
  <c r="C74" i="1"/>
  <c r="Y73" i="1"/>
  <c r="K73" i="1"/>
  <c r="M73" i="1"/>
  <c r="F74" i="1"/>
  <c r="E74" i="1"/>
  <c r="J73" i="1"/>
  <c r="W71" i="1"/>
  <c r="G73" i="1"/>
  <c r="A75" i="1"/>
  <c r="B74" i="1"/>
  <c r="Q71" i="1"/>
  <c r="AE75" i="1" l="1"/>
  <c r="D75" i="1"/>
  <c r="AA73" i="1"/>
  <c r="T73" i="1"/>
  <c r="O74" i="1"/>
  <c r="R74" i="1"/>
  <c r="V69" i="1"/>
  <c r="Z69" i="1" s="1"/>
  <c r="AB69" i="1" s="1"/>
  <c r="AF69" i="1" s="1"/>
  <c r="AG69" i="1" s="1"/>
  <c r="L69" i="1"/>
  <c r="P69" i="1" s="1"/>
  <c r="I70" i="1"/>
  <c r="S68" i="1"/>
  <c r="N74" i="1"/>
  <c r="K74" i="1"/>
  <c r="H73" i="1"/>
  <c r="AD75" i="1"/>
  <c r="C75" i="1"/>
  <c r="M74" i="1"/>
  <c r="E75" i="1"/>
  <c r="F75" i="1"/>
  <c r="J74" i="1"/>
  <c r="Y74" i="1"/>
  <c r="W72" i="1"/>
  <c r="G74" i="1"/>
  <c r="A76" i="1"/>
  <c r="B75" i="1"/>
  <c r="Q72" i="1"/>
  <c r="AE76" i="1" l="1"/>
  <c r="D76" i="1"/>
  <c r="AA74" i="1"/>
  <c r="T74" i="1"/>
  <c r="O75" i="1"/>
  <c r="R75" i="1"/>
  <c r="V70" i="1"/>
  <c r="Z70" i="1" s="1"/>
  <c r="AB70" i="1" s="1"/>
  <c r="AF70" i="1" s="1"/>
  <c r="AG70" i="1" s="1"/>
  <c r="L70" i="1"/>
  <c r="P70" i="1" s="1"/>
  <c r="I71" i="1"/>
  <c r="S69" i="1"/>
  <c r="N75" i="1"/>
  <c r="H74" i="1"/>
  <c r="AD76" i="1"/>
  <c r="C76" i="1"/>
  <c r="Y75" i="1"/>
  <c r="K75" i="1"/>
  <c r="J75" i="1"/>
  <c r="M75" i="1"/>
  <c r="F76" i="1"/>
  <c r="E76" i="1"/>
  <c r="G75" i="1"/>
  <c r="W73" i="1"/>
  <c r="Q73" i="1"/>
  <c r="A77" i="1"/>
  <c r="B76" i="1"/>
  <c r="AE77" i="1" l="1"/>
  <c r="D77" i="1"/>
  <c r="AA75" i="1"/>
  <c r="T75" i="1"/>
  <c r="O76" i="1"/>
  <c r="R76" i="1"/>
  <c r="S70" i="1"/>
  <c r="V71" i="1"/>
  <c r="Z71" i="1" s="1"/>
  <c r="AB71" i="1" s="1"/>
  <c r="AF71" i="1" s="1"/>
  <c r="AG71" i="1" s="1"/>
  <c r="L71" i="1"/>
  <c r="P71" i="1" s="1"/>
  <c r="I72" i="1"/>
  <c r="N76" i="1"/>
  <c r="H75" i="1"/>
  <c r="AD77" i="1"/>
  <c r="C77" i="1"/>
  <c r="Y76" i="1"/>
  <c r="K76" i="1"/>
  <c r="F77" i="1"/>
  <c r="E77" i="1"/>
  <c r="M76" i="1"/>
  <c r="J76" i="1"/>
  <c r="W74" i="1"/>
  <c r="G76" i="1"/>
  <c r="Q74" i="1"/>
  <c r="B77" i="1"/>
  <c r="AA76" i="1" l="1"/>
  <c r="T76" i="1"/>
  <c r="O77" i="1"/>
  <c r="O37" i="1" s="1"/>
  <c r="R77" i="1"/>
  <c r="S71" i="1"/>
  <c r="V72" i="1"/>
  <c r="Z72" i="1" s="1"/>
  <c r="AB72" i="1" s="1"/>
  <c r="AF72" i="1" s="1"/>
  <c r="AG72" i="1" s="1"/>
  <c r="L72" i="1"/>
  <c r="P72" i="1" s="1"/>
  <c r="I73" i="1"/>
  <c r="N77" i="1"/>
  <c r="B35" i="1"/>
  <c r="A10" i="1" s="1"/>
  <c r="H76" i="1"/>
  <c r="N37" i="1"/>
  <c r="K77" i="1"/>
  <c r="J77" i="1"/>
  <c r="J37" i="1" s="1"/>
  <c r="Y77" i="1"/>
  <c r="M77" i="1"/>
  <c r="G77" i="1"/>
  <c r="W75" i="1"/>
  <c r="Q75" i="1"/>
  <c r="T77" i="1" l="1"/>
  <c r="V73" i="1"/>
  <c r="Z73" i="1" s="1"/>
  <c r="AB73" i="1" s="1"/>
  <c r="AF73" i="1" s="1"/>
  <c r="AG73" i="1" s="1"/>
  <c r="L73" i="1"/>
  <c r="P73" i="1" s="1"/>
  <c r="I74" i="1"/>
  <c r="S72" i="1"/>
  <c r="J10" i="1"/>
  <c r="R37" i="1"/>
  <c r="H77" i="1"/>
  <c r="S67" i="1"/>
  <c r="AA77" i="1"/>
  <c r="M37" i="1"/>
  <c r="W77" i="1"/>
  <c r="W76" i="1"/>
  <c r="Q76" i="1"/>
  <c r="V74" i="1" l="1"/>
  <c r="Z74" i="1" s="1"/>
  <c r="AB74" i="1" s="1"/>
  <c r="AF74" i="1" s="1"/>
  <c r="AG74" i="1" s="1"/>
  <c r="L74" i="1"/>
  <c r="P74" i="1" s="1"/>
  <c r="I75" i="1"/>
  <c r="S73" i="1"/>
  <c r="Q77" i="1"/>
  <c r="L20" i="1" s="1"/>
  <c r="V75" i="1" l="1"/>
  <c r="Z75" i="1" s="1"/>
  <c r="AB75" i="1" s="1"/>
  <c r="AF75" i="1" s="1"/>
  <c r="AG75" i="1" s="1"/>
  <c r="L75" i="1"/>
  <c r="P75" i="1" s="1"/>
  <c r="I76" i="1"/>
  <c r="S74" i="1"/>
  <c r="Q37" i="1"/>
  <c r="V76" i="1" l="1"/>
  <c r="Z76" i="1" s="1"/>
  <c r="AB76" i="1" s="1"/>
  <c r="AF76" i="1" s="1"/>
  <c r="AG76" i="1" s="1"/>
  <c r="L76" i="1"/>
  <c r="P76" i="1" s="1"/>
  <c r="I77" i="1"/>
  <c r="S75" i="1"/>
  <c r="S76" i="1" l="1"/>
  <c r="I37" i="1"/>
  <c r="L77" i="1"/>
  <c r="P77" i="1" s="1"/>
  <c r="V77" i="1"/>
  <c r="Z77" i="1" s="1"/>
  <c r="AB77" i="1" s="1"/>
  <c r="AF77" i="1" s="1"/>
  <c r="AG77" i="1" s="1"/>
  <c r="Y39" i="1"/>
  <c r="Z39" i="1" s="1"/>
  <c r="AB39" i="1" s="1"/>
  <c r="A20" i="1"/>
  <c r="S77" i="1" l="1"/>
  <c r="B10" i="1"/>
  <c r="Y40" i="1"/>
  <c r="Y41" i="1" s="1"/>
  <c r="AF39" i="1"/>
  <c r="AG39" i="1" s="1"/>
  <c r="Z40" i="1" l="1"/>
  <c r="AB40" i="1" s="1"/>
  <c r="AF40" i="1" s="1"/>
  <c r="AG40" i="1" s="1"/>
  <c r="K41" i="1"/>
  <c r="Y42" i="1"/>
  <c r="Z41" i="1"/>
  <c r="AB41" i="1" s="1"/>
  <c r="AF41" i="1" s="1"/>
  <c r="AG41" i="1" s="1"/>
  <c r="L41" i="1" l="1"/>
  <c r="P41" i="1" s="1"/>
  <c r="T41" i="1"/>
  <c r="S40" i="1"/>
  <c r="S39" i="1"/>
  <c r="K42" i="1"/>
  <c r="Z42" i="1"/>
  <c r="AB42" i="1" s="1"/>
  <c r="AF42" i="1" s="1"/>
  <c r="AG42" i="1" s="1"/>
  <c r="Y43" i="1"/>
  <c r="L42" i="1" l="1"/>
  <c r="T42" i="1"/>
  <c r="Y44" i="1"/>
  <c r="Z43" i="1"/>
  <c r="AB43" i="1" s="1"/>
  <c r="AF43" i="1" s="1"/>
  <c r="AG43" i="1" s="1"/>
  <c r="K43" i="1"/>
  <c r="L43" i="1" l="1"/>
  <c r="P43" i="1" s="1"/>
  <c r="T43" i="1"/>
  <c r="P42" i="1"/>
  <c r="S41" i="1"/>
  <c r="K44" i="1"/>
  <c r="Z44" i="1"/>
  <c r="AB44" i="1" s="1"/>
  <c r="AF44" i="1" s="1"/>
  <c r="AG44" i="1" s="1"/>
  <c r="Y45" i="1"/>
  <c r="L44" i="1" l="1"/>
  <c r="T44" i="1"/>
  <c r="S42" i="1"/>
  <c r="K45" i="1"/>
  <c r="Y46" i="1"/>
  <c r="Z45" i="1"/>
  <c r="AB45" i="1" s="1"/>
  <c r="AF45" i="1" s="1"/>
  <c r="AG45" i="1" s="1"/>
  <c r="S43" i="1"/>
  <c r="L45" i="1" l="1"/>
  <c r="T45" i="1"/>
  <c r="P44" i="1"/>
  <c r="Y47" i="1"/>
  <c r="Z46" i="1"/>
  <c r="AB46" i="1" s="1"/>
  <c r="AF46" i="1" s="1"/>
  <c r="AG46" i="1" s="1"/>
  <c r="K46" i="1"/>
  <c r="L46" i="1" l="1"/>
  <c r="T46" i="1"/>
  <c r="P45" i="1"/>
  <c r="S44" i="1"/>
  <c r="Y48" i="1"/>
  <c r="Z47" i="1"/>
  <c r="AB47" i="1" s="1"/>
  <c r="AF47" i="1" s="1"/>
  <c r="AG47" i="1" s="1"/>
  <c r="K47" i="1"/>
  <c r="L47" i="1" l="1"/>
  <c r="P47" i="1" s="1"/>
  <c r="T47" i="1"/>
  <c r="S45" i="1"/>
  <c r="P46" i="1"/>
  <c r="K48" i="1"/>
  <c r="Z48" i="1"/>
  <c r="AB48" i="1" s="1"/>
  <c r="AF48" i="1" s="1"/>
  <c r="AG48" i="1" s="1"/>
  <c r="Y49" i="1"/>
  <c r="L48" i="1" l="1"/>
  <c r="T48" i="1"/>
  <c r="S46" i="1"/>
  <c r="S47" i="1"/>
  <c r="Z49" i="1"/>
  <c r="AB49" i="1" s="1"/>
  <c r="AF49" i="1" s="1"/>
  <c r="AG49" i="1" s="1"/>
  <c r="Y50" i="1"/>
  <c r="K49" i="1"/>
  <c r="L49" i="1" l="1"/>
  <c r="T49" i="1"/>
  <c r="P48" i="1"/>
  <c r="Z50" i="1"/>
  <c r="AB50" i="1" s="1"/>
  <c r="AF50" i="1" s="1"/>
  <c r="AG50" i="1" s="1"/>
  <c r="Y51" i="1"/>
  <c r="K50" i="1"/>
  <c r="L50" i="1" l="1"/>
  <c r="T50" i="1"/>
  <c r="S48" i="1"/>
  <c r="P49" i="1"/>
  <c r="K51" i="1"/>
  <c r="Z51" i="1"/>
  <c r="AB51" i="1" s="1"/>
  <c r="AF51" i="1" s="1"/>
  <c r="AG51" i="1" s="1"/>
  <c r="Y52" i="1"/>
  <c r="L51" i="1" l="1"/>
  <c r="T51" i="1"/>
  <c r="S49" i="1"/>
  <c r="P50" i="1"/>
  <c r="K52" i="1"/>
  <c r="Z52" i="1"/>
  <c r="AB52" i="1" s="1"/>
  <c r="AF52" i="1" s="1"/>
  <c r="AG52" i="1" s="1"/>
  <c r="Y53" i="1"/>
  <c r="L52" i="1" l="1"/>
  <c r="T52" i="1"/>
  <c r="S50" i="1"/>
  <c r="P51" i="1"/>
  <c r="Y54" i="1"/>
  <c r="Z53" i="1"/>
  <c r="AB53" i="1" s="1"/>
  <c r="AF53" i="1" s="1"/>
  <c r="AG53" i="1" s="1"/>
  <c r="K53" i="1"/>
  <c r="L53" i="1" l="1"/>
  <c r="T53" i="1"/>
  <c r="S51" i="1"/>
  <c r="P52" i="1"/>
  <c r="K54" i="1"/>
  <c r="Y55" i="1"/>
  <c r="Z54" i="1"/>
  <c r="AB54" i="1" s="1"/>
  <c r="AF54" i="1" s="1"/>
  <c r="AG54" i="1" s="1"/>
  <c r="L54" i="1" l="1"/>
  <c r="T54" i="1"/>
  <c r="S52" i="1"/>
  <c r="P53" i="1"/>
  <c r="K55" i="1"/>
  <c r="Y56" i="1"/>
  <c r="Z55" i="1"/>
  <c r="AB55" i="1" s="1"/>
  <c r="AF55" i="1" s="1"/>
  <c r="AG55" i="1" s="1"/>
  <c r="L55" i="1" l="1"/>
  <c r="T55" i="1"/>
  <c r="S53" i="1"/>
  <c r="P54" i="1"/>
  <c r="Y57" i="1"/>
  <c r="Z56" i="1"/>
  <c r="AB56" i="1" s="1"/>
  <c r="AF56" i="1" s="1"/>
  <c r="AG56" i="1" s="1"/>
  <c r="K56" i="1"/>
  <c r="L56" i="1" l="1"/>
  <c r="T56" i="1"/>
  <c r="S54" i="1"/>
  <c r="P55" i="1"/>
  <c r="K57" i="1"/>
  <c r="Z57" i="1"/>
  <c r="AB57" i="1" s="1"/>
  <c r="AF57" i="1" s="1"/>
  <c r="AG57" i="1" s="1"/>
  <c r="Y58" i="1"/>
  <c r="Z58" i="1" s="1"/>
  <c r="AB58" i="1" s="1"/>
  <c r="L57" i="1" l="1"/>
  <c r="T57" i="1"/>
  <c r="S55" i="1"/>
  <c r="P56" i="1"/>
  <c r="L17" i="1"/>
  <c r="K58" i="1"/>
  <c r="T58" i="1" s="1"/>
  <c r="AF58" i="1"/>
  <c r="AG58" i="1" s="1"/>
  <c r="L15" i="1" a="1"/>
  <c r="L15" i="1" s="1"/>
  <c r="K37" i="1" l="1"/>
  <c r="L58" i="1"/>
  <c r="P58" i="1" s="1"/>
  <c r="H10" i="1" s="1"/>
  <c r="S56" i="1"/>
  <c r="P57" i="1"/>
  <c r="I10" i="1" l="1"/>
  <c r="G10" i="1"/>
  <c r="F10" i="1"/>
  <c r="S57" i="1"/>
  <c r="S58" i="1"/>
  <c r="L37" i="1"/>
  <c r="L19" i="1" l="1"/>
  <c r="P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Alan Zelenka</author>
    <author>AlanZelenka</author>
    <author>SherriP</author>
  </authors>
  <commentList>
    <comment ref="E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This is the formula start year, entering a later date will increase cost per inflation and cause the calculations to begin later. </t>
        </r>
      </text>
    </comment>
    <comment ref="C5" authorId="1" shapeId="0" xr:uid="{00000000-0006-0000-0000-000002000000}">
      <text>
        <r>
          <rPr>
            <b/>
            <sz val="10"/>
            <color indexed="81"/>
            <rFont val="Tahoma"/>
            <family val="2"/>
          </rPr>
          <t>AlanZelenka:</t>
        </r>
        <r>
          <rPr>
            <sz val="10"/>
            <color indexed="81"/>
            <rFont val="Tahoma"/>
            <family val="2"/>
          </rPr>
          <t xml:space="preserve">
Use to adjust the size of the Project (e.g., two project = 200%)</t>
        </r>
      </text>
    </comment>
    <comment ref="U21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From ODOE- ERM
G:\Policy Development\Trans Data\Oregon Fuel Use\2017 Fuel Mix
</t>
        </r>
      </text>
    </comment>
    <comment ref="F24" authorId="1" shapeId="0" xr:uid="{00000000-0006-0000-0000-000005000000}">
      <text>
        <r>
          <rPr>
            <b/>
            <sz val="10"/>
            <color indexed="81"/>
            <rFont val="Tahoma"/>
            <family val="2"/>
          </rPr>
          <t>AlanZelenka:</t>
        </r>
        <r>
          <rPr>
            <sz val="10"/>
            <color indexed="81"/>
            <rFont val="Tahoma"/>
            <family val="2"/>
          </rPr>
          <t xml:space="preserve">
Added to cell C32</t>
        </r>
      </text>
    </comment>
    <comment ref="L24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Weighted Cost of Capital for Residential from 7th NWPCC Plan (Appendix A)</t>
        </r>
      </text>
    </comment>
    <comment ref="A2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If a Savings Project than this should be 100%</t>
        </r>
      </text>
    </comment>
    <comment ref="M26" authorId="0" shapeId="0" xr:uid="{00000000-0006-0000-0000-000008000000}">
      <text>
        <r>
          <rPr>
            <b/>
            <sz val="8"/>
            <color indexed="81"/>
            <rFont val="Tahoma"/>
            <family val="2"/>
          </rPr>
          <t>Alan Zelenka:</t>
        </r>
        <r>
          <rPr>
            <sz val="8"/>
            <color indexed="81"/>
            <rFont val="Tahoma"/>
            <family val="2"/>
          </rPr>
          <t xml:space="preserve">
http://www.philadelphiafed.org/files/spf/survq208.html
</t>
        </r>
      </text>
    </comment>
    <comment ref="L27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from 7th NWPCC Plan (Appendix A)</t>
        </r>
      </text>
    </comment>
    <comment ref="A29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>This value should remain 0 if the project saves
 energy.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0" authorId="2" shapeId="0" xr:uid="{00000000-0006-0000-0000-00000B000000}">
      <text>
        <r>
          <rPr>
            <b/>
            <sz val="9"/>
            <color indexed="81"/>
            <rFont val="Tahoma"/>
            <family val="2"/>
          </rPr>
          <t>This value should remain 0 if the project generates energy.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0" authorId="2" shapeId="0" xr:uid="{00000000-0006-0000-0000-00000C000000}">
      <text>
        <r>
          <rPr>
            <b/>
            <sz val="9"/>
            <color indexed="81"/>
            <rFont val="Tahoma"/>
            <family val="2"/>
          </rPr>
          <t>Input the number of years the incentive will be paid/available.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39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Alan Zelenka:</t>
        </r>
        <r>
          <rPr>
            <sz val="9"/>
            <color indexed="81"/>
            <rFont val="Tahoma"/>
            <family val="2"/>
          </rPr>
          <t xml:space="preserve">
Escalated from 2013 Rate to Implementation Year</t>
        </r>
      </text>
    </comment>
  </commentList>
</comments>
</file>

<file path=xl/sharedStrings.xml><?xml version="1.0" encoding="utf-8"?>
<sst xmlns="http://schemas.openxmlformats.org/spreadsheetml/2006/main" count="168" uniqueCount="157">
  <si>
    <t xml:space="preserve">Project Number: </t>
  </si>
  <si>
    <t>Project Title:</t>
  </si>
  <si>
    <t>Implementation Year:</t>
  </si>
  <si>
    <t>Allocation Percentage:</t>
  </si>
  <si>
    <t>Primary Equipment/Program Costs</t>
  </si>
  <si>
    <t>O&amp;M Costs</t>
  </si>
  <si>
    <t>Primary Equipment/Program Cost</t>
  </si>
  <si>
    <t>Number of FTEs, if applicable</t>
  </si>
  <si>
    <t>Number of Units</t>
  </si>
  <si>
    <t>Equipment Life</t>
  </si>
  <si>
    <t>Total Fuel Costs ($/Yr)</t>
  </si>
  <si>
    <t>Engineering Costs (% of Project Cost)</t>
  </si>
  <si>
    <t>Engineering Costs</t>
  </si>
  <si>
    <t>Fuel Costs ($/Yr)</t>
  </si>
  <si>
    <t>kW per Unit</t>
  </si>
  <si>
    <t>TOTAL</t>
  </si>
  <si>
    <t>Capacity Factor</t>
  </si>
  <si>
    <t>Loan/Bond Rate</t>
  </si>
  <si>
    <t>Incentives</t>
  </si>
  <si>
    <t>Loan/Bond Issuance Cost %</t>
  </si>
  <si>
    <t>Annual kWh Saved</t>
  </si>
  <si>
    <t>Description of incentive</t>
  </si>
  <si>
    <t>Inflation</t>
  </si>
  <si>
    <t>Real Discount Rate</t>
  </si>
  <si>
    <t>GHG Reductions</t>
  </si>
  <si>
    <t>No. of years for incentive</t>
  </si>
  <si>
    <t>Nominal Discount Rate</t>
  </si>
  <si>
    <t>Annual CO2e Reduction (metric tons)</t>
  </si>
  <si>
    <t>Offset value ($/metric tons CO2e)</t>
  </si>
  <si>
    <t>Cost per FTE ($/yr)</t>
  </si>
  <si>
    <t>Avg Annual Savings (kWh)</t>
  </si>
  <si>
    <t>Year</t>
  </si>
  <si>
    <t>Equipment Cost</t>
  </si>
  <si>
    <t>Engineering Cost</t>
  </si>
  <si>
    <t>Total Capital Cost</t>
  </si>
  <si>
    <t>Annual Debt Service ($/Yr)</t>
  </si>
  <si>
    <t>O&amp;M Cost ($/Yr)</t>
  </si>
  <si>
    <t>Total Cost ($/Yr)</t>
  </si>
  <si>
    <t>Utility Cost ($/Yr)</t>
  </si>
  <si>
    <t>$/MT</t>
  </si>
  <si>
    <t>Annual Debt Service ($/kWh)</t>
  </si>
  <si>
    <t>Fuel Cost ($/kWh)</t>
  </si>
  <si>
    <t>Total Cost ($/kWh)</t>
  </si>
  <si>
    <t>Difference ($/kWh)</t>
  </si>
  <si>
    <t>Difference ($/Yr)</t>
  </si>
  <si>
    <t>Electric Service Area:</t>
  </si>
  <si>
    <t>Total Net Savings ($/Yr)</t>
  </si>
  <si>
    <t>Avg Annual Net Savings ($/Yr)</t>
  </si>
  <si>
    <t>Incentives &amp; Avoided Elec ($/kWh)</t>
  </si>
  <si>
    <t>Total Net Savings ($/kWh)</t>
  </si>
  <si>
    <t>First Year Electricity Cost</t>
  </si>
  <si>
    <t>10 Year Average Electricity Cost</t>
  </si>
  <si>
    <t xml:space="preserve">First Year Project Cost </t>
  </si>
  <si>
    <t>10 Year Average Project Cost</t>
  </si>
  <si>
    <t>Use Cash or Borrow</t>
  </si>
  <si>
    <t>Utility Escalator (%)</t>
  </si>
  <si>
    <t>Fuel Escalator (%)</t>
  </si>
  <si>
    <t>GHG Emission Reduction (MT/Yr)</t>
  </si>
  <si>
    <t>Cumulative Net Savings ($)</t>
  </si>
  <si>
    <t>Capital Cost ($)</t>
  </si>
  <si>
    <t>NPV of Cumulative Net Savings ($)</t>
  </si>
  <si>
    <t>Cumulative GHG Reductions (MT)</t>
  </si>
  <si>
    <t>Results</t>
  </si>
  <si>
    <t>Cum Costs =</t>
  </si>
  <si>
    <t>O&amp;M Cost ($/kWh), if applicable</t>
  </si>
  <si>
    <t>O&amp;M Cost ($/kWh)</t>
  </si>
  <si>
    <t>kW Savings</t>
  </si>
  <si>
    <t>$/kW Saved</t>
  </si>
  <si>
    <t>Total $</t>
  </si>
  <si>
    <t>Uses Fuel?</t>
  </si>
  <si>
    <t>Hrs/week</t>
  </si>
  <si>
    <t>Hrs/Year</t>
  </si>
  <si>
    <t>Savings or Generation Project?</t>
  </si>
  <si>
    <t>Annual kWh Generated</t>
  </si>
  <si>
    <t>Energy Incentive ($/kWh)</t>
  </si>
  <si>
    <t>Demand Savings</t>
  </si>
  <si>
    <t>ROR</t>
  </si>
  <si>
    <t>Equipment #1</t>
  </si>
  <si>
    <t>Equipment #2</t>
  </si>
  <si>
    <t>Equipment #3</t>
  </si>
  <si>
    <t>Electricity/Fuel Escalation Rates</t>
  </si>
  <si>
    <t>EEM-1</t>
  </si>
  <si>
    <t>Lifecycle/Levelized Project Cost</t>
  </si>
  <si>
    <t>Lifecycle /Levelized Electricity Cost</t>
  </si>
  <si>
    <t>Electricity Cost Comparison  ($/kWh)</t>
  </si>
  <si>
    <t>Rate Assumptions</t>
  </si>
  <si>
    <t>Cost Analysis Tool</t>
  </si>
  <si>
    <t>Electricity Rate Escalator:</t>
  </si>
  <si>
    <t>Natural Gas Fuel Rate Escalator:</t>
  </si>
  <si>
    <t>PGE</t>
  </si>
  <si>
    <t>EWEB</t>
  </si>
  <si>
    <t>COU/BPA</t>
  </si>
  <si>
    <t>PAC</t>
  </si>
  <si>
    <t>Oregon</t>
  </si>
  <si>
    <t>Utility</t>
  </si>
  <si>
    <t>Average Electricity Savings (kWh/Yr)</t>
  </si>
  <si>
    <r>
      <t>First Year Savings ($/</t>
    </r>
    <r>
      <rPr>
        <b/>
        <sz val="11"/>
        <color theme="1"/>
        <rFont val="Arial"/>
        <family val="2"/>
      </rPr>
      <t>Yr)</t>
    </r>
  </si>
  <si>
    <t>Annual kWh Savings</t>
  </si>
  <si>
    <t>Other Equipment/Program Costs</t>
  </si>
  <si>
    <t>Lump Sum Incentive</t>
  </si>
  <si>
    <t>ROR                 ($)</t>
  </si>
  <si>
    <t>Component 1</t>
  </si>
  <si>
    <t>Component 2</t>
  </si>
  <si>
    <t>Component 3</t>
  </si>
  <si>
    <t>Capacity Factor (hrs used per day)</t>
  </si>
  <si>
    <t>New Equipment Energy Use (kWh)</t>
  </si>
  <si>
    <t>Net Energy Savings (kWh/Yr)</t>
  </si>
  <si>
    <t>Previous Equipment (kWh/Yr)</t>
  </si>
  <si>
    <t>Example Energy Efficiency Measure</t>
  </si>
  <si>
    <t>New Equipment Nameplate Rating (kW)</t>
  </si>
  <si>
    <t>New Pump Nameplate Rating (kW)</t>
  </si>
  <si>
    <t>Old Pump Nameplate Rating (kW)</t>
  </si>
  <si>
    <t>Old Pump Energy Use (kWhYr)</t>
  </si>
  <si>
    <t>New Pump Energy Use (kWhYr)</t>
  </si>
  <si>
    <t>Gas Equipment Cost</t>
  </si>
  <si>
    <t>Gas Savings (Therms/Yr)</t>
  </si>
  <si>
    <t>Gas Euipment Cost</t>
  </si>
  <si>
    <t>Gas Equipment</t>
  </si>
  <si>
    <t>Avg Elect Cost Year 1 ($/kWh)</t>
  </si>
  <si>
    <t>Enter values into the yellow and orange boxes only.</t>
  </si>
  <si>
    <t>pounds/metric tonne</t>
  </si>
  <si>
    <t>Annual Fuel Savings (therms)</t>
  </si>
  <si>
    <t>Fuel Cost for Generation (at 100% Capacity Factor)</t>
  </si>
  <si>
    <t>Avg Fuel Cost Year 1 ($/therm)</t>
  </si>
  <si>
    <t>Generation Fuel Cost ($/Yr)</t>
  </si>
  <si>
    <t>Annual Fuel Savings (therms/Yr)</t>
  </si>
  <si>
    <t>Annual Electric Generation or Savings (kWh/Yr)</t>
  </si>
  <si>
    <t>Avoided Fuel ($/Yr)</t>
  </si>
  <si>
    <t>Total Capital Cost Less Lump Sum Incentives</t>
  </si>
  <si>
    <t>Avoided Elec ($/yr)</t>
  </si>
  <si>
    <t>Elec Utility Cost ($/kWh)</t>
  </si>
  <si>
    <t>Fuel Utility  Costs ($/therm)</t>
  </si>
  <si>
    <t>=formula start year</t>
  </si>
  <si>
    <t>Equipment/Program Utility Savings</t>
  </si>
  <si>
    <t>Prod/Gen Incentives+ CO2 Red. Value</t>
  </si>
  <si>
    <t>Lump Sum Incentive Amount    ($)</t>
  </si>
  <si>
    <t xml:space="preserve">Emission Factors </t>
  </si>
  <si>
    <t>Fuel Type</t>
  </si>
  <si>
    <t>Natural Gas</t>
  </si>
  <si>
    <t>Propane</t>
  </si>
  <si>
    <t>Diesel / #2 FO</t>
  </si>
  <si>
    <t>Oregon Electricity Emissions Factors (lb CO2/kWh)</t>
  </si>
  <si>
    <t>Stationary Fuel Emissions Factors (kg CO2 per million Btu)</t>
  </si>
  <si>
    <t>No Fuel</t>
  </si>
  <si>
    <t>CO2 MT/Yr Reduction</t>
  </si>
  <si>
    <t>Cost/Therm</t>
  </si>
  <si>
    <t>Fuel Use/Yr (Therm)</t>
  </si>
  <si>
    <t>Yes</t>
  </si>
  <si>
    <t>Annual Fuel Use for Generation (therms/yr)</t>
  </si>
  <si>
    <t>Fuel EF (kg/million Btu)</t>
  </si>
  <si>
    <t>Electricity EF (lb CO2/kWh)</t>
  </si>
  <si>
    <t>Borrow</t>
  </si>
  <si>
    <t>Examples:</t>
  </si>
  <si>
    <t>Show all Work Here and Link Back to "Cost&amp;SavingsCalc" tab</t>
  </si>
  <si>
    <t>Generation</t>
  </si>
  <si>
    <t>Principle ($/Yr)</t>
  </si>
  <si>
    <t>Interest ($/Yr)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</si>
</sst>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43" formatCode="_(* #,##0.00_);_(* \(#,##0.00\);_(* &quot;-&quot;??_);_(@_)"/>
    <numFmt numFmtId="164" formatCode="&quot;$&quot;#,##0"/>
    <numFmt numFmtId="165" formatCode="0.0"/>
    <numFmt numFmtId="166" formatCode="&quot;$&quot;#,##0.0000"/>
    <numFmt numFmtId="167" formatCode="&quot;$&quot;#,##0.000"/>
    <numFmt numFmtId="168" formatCode="_(* #,##0.0000_);_(* \(#,##0.0000\);_(* &quot;-&quot;??_);_(@_)"/>
    <numFmt numFmtId="169" formatCode="0.0%"/>
    <numFmt numFmtId="170" formatCode="&quot;$&quot;#,##0.0000_);[Red]\(&quot;$&quot;#,##0.0000\)"/>
    <numFmt numFmtId="171" formatCode="&quot;$&quot;#,##0.000_);[Red]\(&quot;$&quot;#,##0.000\)"/>
    <numFmt numFmtId="172" formatCode="_(* #,##0_);_(* \(#,##0\);_(* &quot;-&quot;??_);_(@_)"/>
    <numFmt numFmtId="173" formatCode="&quot;$&quot;#,##0.00000"/>
    <numFmt numFmtId="174" formatCode="0.0000"/>
    <numFmt numFmtId="175" formatCode="0.000"/>
    <numFmt numFmtId="176" formatCode="&quot;$&quot;#,##0.00"/>
  </numFmts>
  <fonts count="2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name val="Arial"/>
      <family val="2"/>
    </font>
    <font>
      <sz val="14"/>
      <name val="Arial"/>
      <family val="2"/>
    </font>
    <font>
      <b/>
      <u/>
      <sz val="16"/>
      <color theme="1"/>
      <name val="Arial"/>
      <family val="2"/>
    </font>
    <font>
      <b/>
      <u/>
      <sz val="18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i/>
      <sz val="16"/>
      <name val="Arial"/>
      <family val="2"/>
    </font>
    <font>
      <b/>
      <sz val="16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B3F0B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" fontId="19" fillId="0" borderId="1">
      <alignment horizontal="center"/>
    </xf>
    <xf numFmtId="0" fontId="2" fillId="0" borderId="0"/>
  </cellStyleXfs>
  <cellXfs count="256">
    <xf numFmtId="0" fontId="0" fillId="0" borderId="0" xfId="0"/>
    <xf numFmtId="0" fontId="2" fillId="0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/>
    <xf numFmtId="0" fontId="2" fillId="0" borderId="0" xfId="0" applyFont="1"/>
    <xf numFmtId="0" fontId="0" fillId="0" borderId="0" xfId="0" applyFill="1" applyBorder="1" applyAlignment="1"/>
    <xf numFmtId="0" fontId="5" fillId="0" borderId="0" xfId="0" applyFont="1"/>
    <xf numFmtId="0" fontId="6" fillId="0" borderId="0" xfId="0" applyFont="1"/>
    <xf numFmtId="9" fontId="0" fillId="2" borderId="11" xfId="2" applyFont="1" applyFill="1" applyBorder="1"/>
    <xf numFmtId="0" fontId="2" fillId="3" borderId="14" xfId="0" applyFont="1" applyFill="1" applyBorder="1" applyAlignment="1">
      <alignment horizontal="left"/>
    </xf>
    <xf numFmtId="169" fontId="0" fillId="4" borderId="4" xfId="2" applyNumberFormat="1" applyFont="1" applyFill="1" applyBorder="1" applyAlignment="1">
      <alignment horizontal="right"/>
    </xf>
    <xf numFmtId="169" fontId="0" fillId="4" borderId="11" xfId="2" applyNumberFormat="1" applyFont="1" applyFill="1" applyBorder="1"/>
    <xf numFmtId="3" fontId="0" fillId="2" borderId="11" xfId="2" applyNumberFormat="1" applyFont="1" applyFill="1" applyBorder="1"/>
    <xf numFmtId="38" fontId="0" fillId="3" borderId="24" xfId="2" applyNumberFormat="1" applyFont="1" applyFill="1" applyBorder="1"/>
    <xf numFmtId="0" fontId="0" fillId="0" borderId="0" xfId="0" applyFill="1"/>
    <xf numFmtId="9" fontId="0" fillId="0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applyAlignment="1"/>
    <xf numFmtId="171" fontId="0" fillId="0" borderId="0" xfId="0" applyNumberFormat="1" applyFill="1" applyBorder="1" applyAlignment="1">
      <alignment horizontal="center" wrapText="1"/>
    </xf>
    <xf numFmtId="0" fontId="0" fillId="0" borderId="0" xfId="0" applyFill="1" applyAlignment="1">
      <alignment wrapText="1"/>
    </xf>
    <xf numFmtId="3" fontId="0" fillId="0" borderId="0" xfId="0" applyNumberFormat="1"/>
    <xf numFmtId="166" fontId="0" fillId="0" borderId="0" xfId="0" applyNumberFormat="1"/>
    <xf numFmtId="166" fontId="0" fillId="0" borderId="0" xfId="0" applyNumberFormat="1" applyFill="1"/>
    <xf numFmtId="173" fontId="0" fillId="0" borderId="0" xfId="0" applyNumberFormat="1"/>
    <xf numFmtId="174" fontId="0" fillId="0" borderId="0" xfId="0" applyNumberFormat="1"/>
    <xf numFmtId="0" fontId="0" fillId="2" borderId="16" xfId="0" applyFill="1" applyBorder="1" applyAlignment="1">
      <alignment horizontal="left"/>
    </xf>
    <xf numFmtId="0" fontId="2" fillId="2" borderId="16" xfId="0" applyFont="1" applyFill="1" applyBorder="1" applyAlignment="1">
      <alignment horizontal="left"/>
    </xf>
    <xf numFmtId="9" fontId="2" fillId="2" borderId="16" xfId="2" applyFont="1" applyFill="1" applyBorder="1" applyAlignment="1">
      <alignment horizontal="left"/>
    </xf>
    <xf numFmtId="0" fontId="4" fillId="0" borderId="0" xfId="0" applyFont="1" applyBorder="1"/>
    <xf numFmtId="0" fontId="14" fillId="3" borderId="16" xfId="0" applyFont="1" applyFill="1" applyBorder="1"/>
    <xf numFmtId="164" fontId="0" fillId="2" borderId="4" xfId="0" applyNumberFormat="1" applyFont="1" applyFill="1" applyBorder="1"/>
    <xf numFmtId="0" fontId="13" fillId="3" borderId="7" xfId="0" applyFont="1" applyFill="1" applyBorder="1" applyAlignment="1">
      <alignment horizontal="left"/>
    </xf>
    <xf numFmtId="0" fontId="0" fillId="2" borderId="11" xfId="0" applyFont="1" applyFill="1" applyBorder="1"/>
    <xf numFmtId="166" fontId="0" fillId="3" borderId="11" xfId="0" applyNumberFormat="1" applyFont="1" applyFill="1" applyBorder="1"/>
    <xf numFmtId="3" fontId="0" fillId="2" borderId="11" xfId="0" applyNumberFormat="1" applyFont="1" applyFill="1" applyBorder="1"/>
    <xf numFmtId="164" fontId="0" fillId="3" borderId="11" xfId="0" applyNumberFormat="1" applyFont="1" applyFill="1" applyBorder="1"/>
    <xf numFmtId="164" fontId="0" fillId="2" borderId="21" xfId="0" applyNumberFormat="1" applyFont="1" applyFill="1" applyBorder="1"/>
    <xf numFmtId="166" fontId="0" fillId="3" borderId="11" xfId="0" quotePrefix="1" applyNumberFormat="1" applyFont="1" applyFill="1" applyBorder="1"/>
    <xf numFmtId="164" fontId="0" fillId="3" borderId="13" xfId="0" applyNumberFormat="1" applyFont="1" applyFill="1" applyBorder="1"/>
    <xf numFmtId="164" fontId="0" fillId="2" borderId="11" xfId="0" applyNumberFormat="1" applyFont="1" applyFill="1" applyBorder="1"/>
    <xf numFmtId="166" fontId="0" fillId="3" borderId="13" xfId="0" applyNumberFormat="1" applyFont="1" applyFill="1" applyBorder="1"/>
    <xf numFmtId="164" fontId="0" fillId="2" borderId="23" xfId="0" applyNumberFormat="1" applyFont="1" applyFill="1" applyBorder="1"/>
    <xf numFmtId="164" fontId="0" fillId="3" borderId="24" xfId="0" applyNumberFormat="1" applyFont="1" applyFill="1" applyBorder="1"/>
    <xf numFmtId="0" fontId="15" fillId="3" borderId="25" xfId="0" applyFont="1" applyFill="1" applyBorder="1" applyAlignment="1">
      <alignment horizontal="left"/>
    </xf>
    <xf numFmtId="0" fontId="15" fillId="3" borderId="26" xfId="0" applyFont="1" applyFill="1" applyBorder="1" applyAlignment="1">
      <alignment horizontal="left"/>
    </xf>
    <xf numFmtId="0" fontId="13" fillId="3" borderId="9" xfId="0" applyFont="1" applyFill="1" applyBorder="1" applyAlignment="1">
      <alignment horizontal="left"/>
    </xf>
    <xf numFmtId="0" fontId="0" fillId="0" borderId="0" xfId="0" applyFont="1" applyFill="1" applyBorder="1"/>
    <xf numFmtId="0" fontId="13" fillId="3" borderId="16" xfId="0" applyFont="1" applyFill="1" applyBorder="1" applyAlignment="1">
      <alignment horizontal="left"/>
    </xf>
    <xf numFmtId="0" fontId="13" fillId="3" borderId="27" xfId="0" applyFont="1" applyFill="1" applyBorder="1" applyAlignment="1">
      <alignment horizontal="left"/>
    </xf>
    <xf numFmtId="0" fontId="0" fillId="3" borderId="27" xfId="0" applyFont="1" applyFill="1" applyBorder="1" applyAlignment="1">
      <alignment horizontal="left"/>
    </xf>
    <xf numFmtId="0" fontId="0" fillId="3" borderId="28" xfId="0" applyFont="1" applyFill="1" applyBorder="1" applyAlignment="1">
      <alignment horizontal="left"/>
    </xf>
    <xf numFmtId="164" fontId="0" fillId="4" borderId="11" xfId="0" applyNumberFormat="1" applyFont="1" applyFill="1" applyBorder="1"/>
    <xf numFmtId="0" fontId="0" fillId="3" borderId="17" xfId="0" applyFont="1" applyFill="1" applyBorder="1"/>
    <xf numFmtId="0" fontId="0" fillId="0" borderId="0" xfId="0" applyFont="1" applyFill="1"/>
    <xf numFmtId="164" fontId="0" fillId="0" borderId="0" xfId="0" applyNumberFormat="1" applyFont="1" applyFill="1" applyBorder="1"/>
    <xf numFmtId="164" fontId="0" fillId="0" borderId="0" xfId="0" applyNumberFormat="1" applyFont="1" applyFill="1"/>
    <xf numFmtId="0" fontId="12" fillId="0" borderId="0" xfId="0" applyFont="1"/>
    <xf numFmtId="0" fontId="0" fillId="6" borderId="4" xfId="0" applyFill="1" applyBorder="1"/>
    <xf numFmtId="0" fontId="0" fillId="3" borderId="5" xfId="0" applyFill="1" applyBorder="1" applyAlignment="1"/>
    <xf numFmtId="0" fontId="0" fillId="3" borderId="6" xfId="0" applyFill="1" applyBorder="1" applyAlignment="1"/>
    <xf numFmtId="0" fontId="0" fillId="3" borderId="2" xfId="0" applyFill="1" applyBorder="1" applyAlignment="1"/>
    <xf numFmtId="0" fontId="0" fillId="3" borderId="12" xfId="0" applyFill="1" applyBorder="1" applyAlignment="1"/>
    <xf numFmtId="0" fontId="0" fillId="6" borderId="11" xfId="0" applyFill="1" applyBorder="1"/>
    <xf numFmtId="10" fontId="0" fillId="4" borderId="21" xfId="2" applyNumberFormat="1" applyFont="1" applyFill="1" applyBorder="1"/>
    <xf numFmtId="164" fontId="1" fillId="4" borderId="11" xfId="2" applyNumberFormat="1" applyFont="1" applyFill="1" applyBorder="1"/>
    <xf numFmtId="38" fontId="15" fillId="0" borderId="16" xfId="1" applyNumberFormat="1" applyFont="1" applyFill="1" applyBorder="1" applyAlignment="1">
      <alignment horizontal="center"/>
    </xf>
    <xf numFmtId="6" fontId="12" fillId="0" borderId="16" xfId="0" applyNumberFormat="1" applyFont="1" applyFill="1" applyBorder="1" applyAlignment="1">
      <alignment horizontal="center"/>
    </xf>
    <xf numFmtId="38" fontId="12" fillId="0" borderId="16" xfId="0" applyNumberFormat="1" applyFont="1" applyFill="1" applyBorder="1" applyAlignment="1">
      <alignment horizontal="center"/>
    </xf>
    <xf numFmtId="169" fontId="15" fillId="0" borderId="16" xfId="2" applyNumberFormat="1" applyFont="1" applyBorder="1" applyAlignment="1">
      <alignment horizontal="center" wrapText="1"/>
    </xf>
    <xf numFmtId="0" fontId="0" fillId="3" borderId="18" xfId="0" applyFont="1" applyFill="1" applyBorder="1" applyAlignment="1">
      <alignment horizontal="left"/>
    </xf>
    <xf numFmtId="0" fontId="0" fillId="3" borderId="19" xfId="0" applyFont="1" applyFill="1" applyBorder="1" applyAlignment="1">
      <alignment horizontal="left"/>
    </xf>
    <xf numFmtId="0" fontId="12" fillId="8" borderId="16" xfId="0" applyFont="1" applyFill="1" applyBorder="1" applyAlignment="1">
      <alignment horizontal="center" wrapText="1"/>
    </xf>
    <xf numFmtId="167" fontId="0" fillId="2" borderId="13" xfId="0" applyNumberFormat="1" applyFont="1" applyFill="1" applyBorder="1"/>
    <xf numFmtId="0" fontId="7" fillId="0" borderId="0" xfId="0" applyFont="1" applyFill="1" applyAlignment="1">
      <alignment horizontal="right" wrapText="1"/>
    </xf>
    <xf numFmtId="0" fontId="0" fillId="3" borderId="10" xfId="0" applyFont="1" applyFill="1" applyBorder="1"/>
    <xf numFmtId="0" fontId="0" fillId="3" borderId="19" xfId="0" applyFont="1" applyFill="1" applyBorder="1"/>
    <xf numFmtId="175" fontId="0" fillId="2" borderId="4" xfId="0" applyNumberFormat="1" applyFont="1" applyFill="1" applyBorder="1"/>
    <xf numFmtId="10" fontId="0" fillId="4" borderId="13" xfId="2" applyNumberFormat="1" applyFont="1" applyFill="1" applyBorder="1"/>
    <xf numFmtId="0" fontId="0" fillId="3" borderId="2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169" fontId="0" fillId="2" borderId="4" xfId="2" applyNumberFormat="1" applyFont="1" applyFill="1" applyBorder="1" applyAlignment="1" applyProtection="1">
      <alignment horizontal="right"/>
    </xf>
    <xf numFmtId="169" fontId="0" fillId="2" borderId="4" xfId="2" applyNumberFormat="1" applyFont="1" applyFill="1" applyBorder="1" applyAlignment="1" applyProtection="1">
      <alignment horizontal="left"/>
    </xf>
    <xf numFmtId="0" fontId="0" fillId="3" borderId="8" xfId="0" applyFill="1" applyBorder="1" applyAlignment="1">
      <alignment horizontal="left"/>
    </xf>
    <xf numFmtId="0" fontId="15" fillId="3" borderId="14" xfId="0" applyFont="1" applyFill="1" applyBorder="1" applyAlignment="1">
      <alignment horizontal="left"/>
    </xf>
    <xf numFmtId="0" fontId="15" fillId="3" borderId="15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13" fillId="3" borderId="19" xfId="0" applyFont="1" applyFill="1" applyBorder="1" applyAlignment="1">
      <alignment horizontal="left"/>
    </xf>
    <xf numFmtId="165" fontId="0" fillId="6" borderId="4" xfId="0" applyNumberFormat="1" applyFont="1" applyFill="1" applyBorder="1"/>
    <xf numFmtId="165" fontId="0" fillId="6" borderId="13" xfId="0" applyNumberFormat="1" applyFont="1" applyFill="1" applyBorder="1"/>
    <xf numFmtId="0" fontId="0" fillId="6" borderId="4" xfId="0" applyFont="1" applyFill="1" applyBorder="1" applyAlignment="1">
      <alignment horizontal="right"/>
    </xf>
    <xf numFmtId="0" fontId="0" fillId="6" borderId="16" xfId="0" applyFill="1" applyBorder="1"/>
    <xf numFmtId="3" fontId="0" fillId="3" borderId="11" xfId="2" applyNumberFormat="1" applyFont="1" applyFill="1" applyBorder="1"/>
    <xf numFmtId="3" fontId="0" fillId="3" borderId="13" xfId="2" applyNumberFormat="1" applyFont="1" applyFill="1" applyBorder="1"/>
    <xf numFmtId="0" fontId="20" fillId="0" borderId="0" xfId="0" applyFont="1"/>
    <xf numFmtId="0" fontId="21" fillId="0" borderId="0" xfId="0" applyFont="1" applyAlignment="1">
      <alignment vertical="center"/>
    </xf>
    <xf numFmtId="169" fontId="0" fillId="3" borderId="16" xfId="2" applyNumberFormat="1" applyFont="1" applyFill="1" applyBorder="1" applyAlignment="1">
      <alignment horizontal="left"/>
    </xf>
    <xf numFmtId="0" fontId="4" fillId="0" borderId="0" xfId="0" applyFont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22" fillId="0" borderId="0" xfId="0" applyFont="1"/>
    <xf numFmtId="0" fontId="23" fillId="0" borderId="0" xfId="0" applyFont="1"/>
    <xf numFmtId="0" fontId="22" fillId="0" borderId="0" xfId="0" applyFont="1" applyAlignment="1">
      <alignment vertical="center"/>
    </xf>
    <xf numFmtId="0" fontId="22" fillId="0" borderId="0" xfId="0" applyFont="1" applyBorder="1"/>
    <xf numFmtId="3" fontId="15" fillId="3" borderId="30" xfId="1" applyNumberFormat="1" applyFont="1" applyFill="1" applyBorder="1"/>
    <xf numFmtId="167" fontId="12" fillId="2" borderId="11" xfId="0" applyNumberFormat="1" applyFont="1" applyFill="1" applyBorder="1"/>
    <xf numFmtId="0" fontId="0" fillId="2" borderId="11" xfId="0" applyNumberFormat="1" applyFont="1" applyFill="1" applyBorder="1"/>
    <xf numFmtId="0" fontId="12" fillId="5" borderId="29" xfId="0" applyFont="1" applyFill="1" applyBorder="1" applyAlignment="1">
      <alignment horizontal="center"/>
    </xf>
    <xf numFmtId="164" fontId="12" fillId="3" borderId="3" xfId="0" applyNumberFormat="1" applyFont="1" applyFill="1" applyBorder="1" applyAlignment="1">
      <alignment horizontal="center"/>
    </xf>
    <xf numFmtId="164" fontId="0" fillId="3" borderId="32" xfId="0" applyNumberFormat="1" applyFont="1" applyFill="1" applyBorder="1" applyAlignment="1">
      <alignment horizontal="center"/>
    </xf>
    <xf numFmtId="166" fontId="0" fillId="3" borderId="4" xfId="0" applyNumberFormat="1" applyFont="1" applyFill="1" applyBorder="1"/>
    <xf numFmtId="9" fontId="0" fillId="0" borderId="20" xfId="2" applyFont="1" applyBorder="1" applyAlignment="1">
      <alignment wrapText="1"/>
    </xf>
    <xf numFmtId="0" fontId="0" fillId="0" borderId="20" xfId="0" applyBorder="1" applyAlignment="1">
      <alignment wrapText="1"/>
    </xf>
    <xf numFmtId="0" fontId="0" fillId="0" borderId="20" xfId="0" applyBorder="1"/>
    <xf numFmtId="164" fontId="0" fillId="0" borderId="16" xfId="0" applyNumberFormat="1" applyBorder="1"/>
    <xf numFmtId="0" fontId="0" fillId="0" borderId="16" xfId="0" applyBorder="1"/>
    <xf numFmtId="164" fontId="12" fillId="7" borderId="16" xfId="0" applyNumberFormat="1" applyFont="1" applyFill="1" applyBorder="1"/>
    <xf numFmtId="172" fontId="0" fillId="0" borderId="16" xfId="1" applyNumberFormat="1" applyFont="1" applyBorder="1"/>
    <xf numFmtId="9" fontId="0" fillId="0" borderId="16" xfId="2" applyFont="1" applyBorder="1"/>
    <xf numFmtId="172" fontId="12" fillId="7" borderId="16" xfId="0" applyNumberFormat="1" applyFont="1" applyFill="1" applyBorder="1"/>
    <xf numFmtId="0" fontId="12" fillId="7" borderId="16" xfId="0" applyFont="1" applyFill="1" applyBorder="1"/>
    <xf numFmtId="0" fontId="0" fillId="7" borderId="16" xfId="0" applyFill="1" applyBorder="1" applyAlignment="1"/>
    <xf numFmtId="172" fontId="0" fillId="6" borderId="16" xfId="1" applyNumberFormat="1" applyFont="1" applyFill="1" applyBorder="1"/>
    <xf numFmtId="9" fontId="0" fillId="6" borderId="16" xfId="2" applyFont="1" applyFill="1" applyBorder="1"/>
    <xf numFmtId="38" fontId="0" fillId="0" borderId="16" xfId="1" applyNumberFormat="1" applyFont="1" applyBorder="1"/>
    <xf numFmtId="0" fontId="7" fillId="8" borderId="16" xfId="0" applyFont="1" applyFill="1" applyBorder="1" applyAlignment="1">
      <alignment horizontal="right" wrapText="1"/>
    </xf>
    <xf numFmtId="0" fontId="7" fillId="0" borderId="16" xfId="0" applyFont="1" applyBorder="1" applyAlignment="1">
      <alignment horizontal="right" wrapText="1"/>
    </xf>
    <xf numFmtId="164" fontId="0" fillId="8" borderId="16" xfId="0" applyNumberFormat="1" applyFill="1" applyBorder="1"/>
    <xf numFmtId="164" fontId="0" fillId="0" borderId="16" xfId="0" applyNumberFormat="1" applyFill="1" applyBorder="1"/>
    <xf numFmtId="166" fontId="0" fillId="0" borderId="16" xfId="0" applyNumberFormat="1" applyBorder="1"/>
    <xf numFmtId="166" fontId="0" fillId="0" borderId="16" xfId="0" applyNumberFormat="1" applyFill="1" applyBorder="1"/>
    <xf numFmtId="169" fontId="1" fillId="0" borderId="16" xfId="2" applyNumberFormat="1" applyFont="1" applyBorder="1"/>
    <xf numFmtId="173" fontId="0" fillId="0" borderId="16" xfId="0" applyNumberFormat="1" applyBorder="1"/>
    <xf numFmtId="0" fontId="7" fillId="5" borderId="16" xfId="0" applyFont="1" applyFill="1" applyBorder="1" applyAlignment="1">
      <alignment horizontal="right" wrapText="1"/>
    </xf>
    <xf numFmtId="164" fontId="0" fillId="5" borderId="16" xfId="0" applyNumberFormat="1" applyFill="1" applyBorder="1"/>
    <xf numFmtId="164" fontId="0" fillId="9" borderId="16" xfId="0" applyNumberFormat="1" applyFill="1" applyBorder="1" applyAlignment="1">
      <alignment wrapText="1"/>
    </xf>
    <xf numFmtId="0" fontId="0" fillId="3" borderId="9" xfId="0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  <xf numFmtId="0" fontId="0" fillId="3" borderId="5" xfId="0" applyFont="1" applyFill="1" applyBorder="1" applyAlignment="1">
      <alignment horizontal="left"/>
    </xf>
    <xf numFmtId="0" fontId="0" fillId="3" borderId="6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/>
    </xf>
    <xf numFmtId="0" fontId="0" fillId="3" borderId="12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0" fillId="3" borderId="16" xfId="0" applyFont="1" applyFill="1" applyBorder="1" applyAlignment="1">
      <alignment horizontal="left"/>
    </xf>
    <xf numFmtId="0" fontId="0" fillId="3" borderId="17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13" fillId="3" borderId="12" xfId="0" applyFont="1" applyFill="1" applyBorder="1" applyAlignment="1">
      <alignment horizontal="left"/>
    </xf>
    <xf numFmtId="0" fontId="0" fillId="3" borderId="14" xfId="0" applyFont="1" applyFill="1" applyBorder="1" applyAlignment="1">
      <alignment horizontal="left"/>
    </xf>
    <xf numFmtId="0" fontId="0" fillId="3" borderId="22" xfId="0" applyFont="1" applyFill="1" applyBorder="1" applyAlignment="1">
      <alignment horizontal="left"/>
    </xf>
    <xf numFmtId="0" fontId="0" fillId="3" borderId="15" xfId="0" applyFont="1" applyFill="1" applyBorder="1" applyAlignment="1">
      <alignment horizontal="left"/>
    </xf>
    <xf numFmtId="0" fontId="0" fillId="3" borderId="11" xfId="0" applyFont="1" applyFill="1" applyBorder="1" applyAlignment="1">
      <alignment horizontal="right"/>
    </xf>
    <xf numFmtId="0" fontId="5" fillId="7" borderId="35" xfId="0" applyFont="1" applyFill="1" applyBorder="1"/>
    <xf numFmtId="0" fontId="5" fillId="7" borderId="36" xfId="0" applyFont="1" applyFill="1" applyBorder="1"/>
    <xf numFmtId="0" fontId="6" fillId="7" borderId="0" xfId="0" applyFont="1" applyFill="1" applyBorder="1"/>
    <xf numFmtId="0" fontId="6" fillId="7" borderId="38" xfId="0" applyFont="1" applyFill="1" applyBorder="1"/>
    <xf numFmtId="0" fontId="0" fillId="7" borderId="0" xfId="0" applyFill="1" applyBorder="1"/>
    <xf numFmtId="0" fontId="0" fillId="7" borderId="38" xfId="0" applyFill="1" applyBorder="1"/>
    <xf numFmtId="0" fontId="13" fillId="7" borderId="0" xfId="0" applyFont="1" applyFill="1" applyBorder="1"/>
    <xf numFmtId="175" fontId="0" fillId="7" borderId="0" xfId="0" applyNumberFormat="1" applyFill="1" applyBorder="1"/>
    <xf numFmtId="0" fontId="2" fillId="7" borderId="0" xfId="0" applyFont="1" applyFill="1" applyBorder="1"/>
    <xf numFmtId="0" fontId="15" fillId="7" borderId="0" xfId="0" applyFont="1" applyFill="1" applyBorder="1"/>
    <xf numFmtId="0" fontId="0" fillId="7" borderId="0" xfId="0" applyFill="1" applyBorder="1" applyAlignment="1">
      <alignment horizontal="left" wrapText="1"/>
    </xf>
    <xf numFmtId="0" fontId="5" fillId="7" borderId="0" xfId="0" applyFont="1" applyFill="1" applyBorder="1"/>
    <xf numFmtId="0" fontId="0" fillId="7" borderId="20" xfId="0" applyFill="1" applyBorder="1" applyAlignment="1">
      <alignment wrapText="1"/>
    </xf>
    <xf numFmtId="170" fontId="0" fillId="7" borderId="0" xfId="0" applyNumberFormat="1" applyFill="1" applyBorder="1"/>
    <xf numFmtId="0" fontId="0" fillId="7" borderId="40" xfId="0" applyFill="1" applyBorder="1" applyAlignment="1">
      <alignment wrapText="1"/>
    </xf>
    <xf numFmtId="0" fontId="22" fillId="7" borderId="37" xfId="0" applyFont="1" applyFill="1" applyBorder="1"/>
    <xf numFmtId="0" fontId="22" fillId="7" borderId="0" xfId="0" applyFont="1" applyFill="1" applyBorder="1"/>
    <xf numFmtId="0" fontId="0" fillId="7" borderId="0" xfId="0" applyFont="1" applyFill="1" applyBorder="1" applyAlignment="1">
      <alignment horizontal="right"/>
    </xf>
    <xf numFmtId="0" fontId="0" fillId="7" borderId="20" xfId="0" applyFill="1" applyBorder="1"/>
    <xf numFmtId="0" fontId="0" fillId="7" borderId="0" xfId="0" applyFont="1" applyFill="1" applyBorder="1"/>
    <xf numFmtId="0" fontId="0" fillId="7" borderId="0" xfId="0" applyFont="1" applyFill="1" applyBorder="1" applyAlignment="1">
      <alignment horizontal="left"/>
    </xf>
    <xf numFmtId="0" fontId="12" fillId="7" borderId="0" xfId="0" applyFont="1" applyFill="1" applyBorder="1"/>
    <xf numFmtId="168" fontId="0" fillId="7" borderId="0" xfId="0" applyNumberFormat="1" applyFont="1" applyFill="1" applyBorder="1" applyAlignment="1">
      <alignment horizontal="left"/>
    </xf>
    <xf numFmtId="0" fontId="24" fillId="7" borderId="0" xfId="0" applyFont="1" applyFill="1" applyBorder="1"/>
    <xf numFmtId="167" fontId="22" fillId="7" borderId="20" xfId="0" applyNumberFormat="1" applyFont="1" applyFill="1" applyBorder="1" applyAlignment="1">
      <alignment horizontal="left"/>
    </xf>
    <xf numFmtId="167" fontId="15" fillId="7" borderId="20" xfId="0" applyNumberFormat="1" applyFont="1" applyFill="1" applyBorder="1" applyAlignment="1">
      <alignment horizontal="left"/>
    </xf>
    <xf numFmtId="164" fontId="0" fillId="7" borderId="0" xfId="0" applyNumberFormat="1" applyFill="1" applyBorder="1"/>
    <xf numFmtId="164" fontId="0" fillId="7" borderId="0" xfId="0" applyNumberFormat="1" applyFont="1" applyFill="1" applyBorder="1" applyAlignment="1">
      <alignment horizontal="center"/>
    </xf>
    <xf numFmtId="0" fontId="0" fillId="7" borderId="37" xfId="0" applyFont="1" applyFill="1" applyBorder="1"/>
    <xf numFmtId="9" fontId="0" fillId="7" borderId="39" xfId="2" applyFont="1" applyFill="1" applyBorder="1" applyAlignment="1">
      <alignment wrapText="1"/>
    </xf>
    <xf numFmtId="9" fontId="0" fillId="10" borderId="0" xfId="2" applyFont="1" applyFill="1" applyAlignment="1">
      <alignment wrapText="1"/>
    </xf>
    <xf numFmtId="3" fontId="0" fillId="10" borderId="0" xfId="0" applyNumberFormat="1" applyFont="1" applyFill="1" applyAlignment="1">
      <alignment wrapText="1"/>
    </xf>
    <xf numFmtId="0" fontId="0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13" fillId="10" borderId="33" xfId="0" applyFont="1" applyFill="1" applyBorder="1" applyAlignment="1">
      <alignment wrapText="1"/>
    </xf>
    <xf numFmtId="164" fontId="0" fillId="10" borderId="33" xfId="0" applyNumberFormat="1" applyFont="1" applyFill="1" applyBorder="1" applyAlignment="1">
      <alignment horizontal="center"/>
    </xf>
    <xf numFmtId="0" fontId="7" fillId="10" borderId="16" xfId="0" applyFont="1" applyFill="1" applyBorder="1" applyAlignment="1">
      <alignment horizontal="right" wrapText="1"/>
    </xf>
    <xf numFmtId="0" fontId="0" fillId="10" borderId="16" xfId="0" applyFill="1" applyBorder="1"/>
    <xf numFmtId="3" fontId="0" fillId="10" borderId="16" xfId="0" applyNumberFormat="1" applyFill="1" applyBorder="1"/>
    <xf numFmtId="164" fontId="0" fillId="10" borderId="16" xfId="0" applyNumberFormat="1" applyFill="1" applyBorder="1"/>
    <xf numFmtId="164" fontId="0" fillId="10" borderId="16" xfId="0" quotePrefix="1" applyNumberFormat="1" applyFill="1" applyBorder="1"/>
    <xf numFmtId="3" fontId="0" fillId="10" borderId="33" xfId="0" applyNumberFormat="1" applyFont="1" applyFill="1" applyBorder="1" applyAlignment="1">
      <alignment horizontal="center"/>
    </xf>
    <xf numFmtId="0" fontId="25" fillId="7" borderId="34" xfId="0" applyFont="1" applyFill="1" applyBorder="1"/>
    <xf numFmtId="0" fontId="25" fillId="7" borderId="37" xfId="0" applyFont="1" applyFill="1" applyBorder="1"/>
    <xf numFmtId="0" fontId="5" fillId="7" borderId="38" xfId="0" applyFont="1" applyFill="1" applyBorder="1"/>
    <xf numFmtId="0" fontId="13" fillId="3" borderId="14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/>
    </xf>
    <xf numFmtId="0" fontId="0" fillId="3" borderId="12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left"/>
    </xf>
    <xf numFmtId="0" fontId="0" fillId="3" borderId="22" xfId="0" applyFont="1" applyFill="1" applyBorder="1" applyAlignment="1">
      <alignment horizontal="left"/>
    </xf>
    <xf numFmtId="0" fontId="0" fillId="3" borderId="15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/>
    </xf>
    <xf numFmtId="0" fontId="0" fillId="3" borderId="12" xfId="0" applyFont="1" applyFill="1" applyBorder="1" applyAlignment="1">
      <alignment horizontal="left"/>
    </xf>
    <xf numFmtId="0" fontId="0" fillId="3" borderId="14" xfId="0" applyFont="1" applyFill="1" applyBorder="1" applyAlignment="1">
      <alignment horizontal="left"/>
    </xf>
    <xf numFmtId="0" fontId="0" fillId="3" borderId="22" xfId="0" applyFont="1" applyFill="1" applyBorder="1" applyAlignment="1">
      <alignment horizontal="left"/>
    </xf>
    <xf numFmtId="0" fontId="0" fillId="3" borderId="15" xfId="0" applyFont="1" applyFill="1" applyBorder="1" applyAlignment="1">
      <alignment horizontal="left"/>
    </xf>
    <xf numFmtId="167" fontId="1" fillId="4" borderId="11" xfId="2" applyNumberFormat="1" applyFont="1" applyFill="1" applyBorder="1"/>
    <xf numFmtId="167" fontId="0" fillId="4" borderId="13" xfId="2" applyNumberFormat="1" applyFont="1" applyFill="1" applyBorder="1"/>
    <xf numFmtId="0" fontId="0" fillId="0" borderId="0" xfId="0" quotePrefix="1"/>
    <xf numFmtId="167" fontId="0" fillId="0" borderId="16" xfId="0" applyNumberFormat="1" applyBorder="1"/>
    <xf numFmtId="0" fontId="0" fillId="3" borderId="16" xfId="0" applyFont="1" applyFill="1" applyBorder="1" applyAlignment="1">
      <alignment horizontal="left"/>
    </xf>
    <xf numFmtId="0" fontId="0" fillId="3" borderId="17" xfId="0" applyFont="1" applyFill="1" applyBorder="1" applyAlignment="1">
      <alignment horizontal="left"/>
    </xf>
    <xf numFmtId="0" fontId="0" fillId="3" borderId="16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/>
    </xf>
    <xf numFmtId="165" fontId="0" fillId="3" borderId="13" xfId="0" applyNumberFormat="1" applyFont="1" applyFill="1" applyBorder="1"/>
    <xf numFmtId="0" fontId="0" fillId="3" borderId="31" xfId="0" applyFont="1" applyFill="1" applyBorder="1" applyAlignment="1"/>
    <xf numFmtId="0" fontId="0" fillId="3" borderId="26" xfId="0" applyFont="1" applyFill="1" applyBorder="1" applyAlignment="1"/>
    <xf numFmtId="3" fontId="0" fillId="2" borderId="11" xfId="2" applyNumberFormat="1" applyFont="1" applyFill="1" applyBorder="1" applyAlignment="1">
      <alignment horizontal="right"/>
    </xf>
    <xf numFmtId="176" fontId="0" fillId="3" borderId="11" xfId="0" applyNumberFormat="1" applyFont="1" applyFill="1" applyBorder="1"/>
    <xf numFmtId="0" fontId="26" fillId="0" borderId="0" xfId="0" applyFont="1"/>
    <xf numFmtId="0" fontId="0" fillId="3" borderId="1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/>
    </xf>
    <xf numFmtId="0" fontId="0" fillId="3" borderId="12" xfId="0" applyFont="1" applyFill="1" applyBorder="1" applyAlignment="1">
      <alignment horizontal="left"/>
    </xf>
    <xf numFmtId="0" fontId="0" fillId="3" borderId="16" xfId="0" applyFont="1" applyFill="1" applyBorder="1" applyAlignment="1">
      <alignment horizontal="left" wrapText="1"/>
    </xf>
    <xf numFmtId="0" fontId="0" fillId="3" borderId="17" xfId="0" applyFont="1" applyFill="1" applyBorder="1" applyAlignment="1">
      <alignment horizontal="left" wrapText="1"/>
    </xf>
    <xf numFmtId="0" fontId="0" fillId="3" borderId="9" xfId="0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  <xf numFmtId="0" fontId="13" fillId="3" borderId="5" xfId="0" applyFont="1" applyFill="1" applyBorder="1" applyAlignment="1">
      <alignment horizontal="left"/>
    </xf>
    <xf numFmtId="0" fontId="0" fillId="3" borderId="5" xfId="0" applyFont="1" applyFill="1" applyBorder="1" applyAlignment="1">
      <alignment horizontal="left"/>
    </xf>
    <xf numFmtId="0" fontId="0" fillId="3" borderId="6" xfId="0" applyFont="1" applyFill="1" applyBorder="1" applyAlignment="1">
      <alignment horizontal="left"/>
    </xf>
    <xf numFmtId="0" fontId="0" fillId="3" borderId="8" xfId="0" applyFont="1" applyFill="1" applyBorder="1" applyAlignment="1">
      <alignment horizontal="left"/>
    </xf>
    <xf numFmtId="0" fontId="13" fillId="3" borderId="14" xfId="0" applyFont="1" applyFill="1" applyBorder="1" applyAlignment="1">
      <alignment horizontal="left"/>
    </xf>
    <xf numFmtId="0" fontId="13" fillId="3" borderId="22" xfId="0" applyFont="1" applyFill="1" applyBorder="1" applyAlignment="1">
      <alignment horizontal="left"/>
    </xf>
    <xf numFmtId="0" fontId="13" fillId="3" borderId="15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19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13" fillId="3" borderId="1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 wrapText="1"/>
    </xf>
    <xf numFmtId="0" fontId="0" fillId="3" borderId="10" xfId="0" applyFont="1" applyFill="1" applyBorder="1" applyAlignment="1">
      <alignment horizontal="left" wrapText="1"/>
    </xf>
    <xf numFmtId="0" fontId="13" fillId="3" borderId="8" xfId="0" applyFont="1" applyFill="1" applyBorder="1" applyAlignment="1">
      <alignment horizontal="left"/>
    </xf>
    <xf numFmtId="0" fontId="13" fillId="3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3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</cellXfs>
  <cellStyles count="13">
    <cellStyle name="Comma" xfId="1" builtinId="3"/>
    <cellStyle name="Comma 2" xfId="10" xr:uid="{00000000-0005-0000-0000-000001000000}"/>
    <cellStyle name="Normal" xfId="0" builtinId="0"/>
    <cellStyle name="Normal 10" xfId="12" xr:uid="{00000000-0005-0000-0000-000003000000}"/>
    <cellStyle name="Normal 2" xfId="3" xr:uid="{00000000-0005-0000-0000-000004000000}"/>
    <cellStyle name="Normal 2 2" xfId="7" xr:uid="{00000000-0005-0000-0000-000005000000}"/>
    <cellStyle name="Normal 3" xfId="5" xr:uid="{00000000-0005-0000-0000-000006000000}"/>
    <cellStyle name="Normal 3 2" xfId="11" xr:uid="{00000000-0005-0000-0000-000007000000}"/>
    <cellStyle name="Normal 4" xfId="8" xr:uid="{00000000-0005-0000-0000-000008000000}"/>
    <cellStyle name="Percent" xfId="2" builtinId="5"/>
    <cellStyle name="Percent 2" xfId="4" xr:uid="{00000000-0005-0000-0000-00000A000000}"/>
    <cellStyle name="Percent 2 2" xfId="9" xr:uid="{00000000-0005-0000-0000-00000B000000}"/>
    <cellStyle name="Percent 3" xfId="6" xr:uid="{00000000-0005-0000-0000-00000C000000}"/>
  </cellStyles>
  <dxfs count="0"/>
  <tableStyles count="0" defaultTableStyle="TableStyleMedium9" defaultPivotStyle="PivotStyleLight16"/>
  <colors>
    <mruColors>
      <color rgb="FF99CCFF"/>
      <color rgb="FFFAC090"/>
      <color rgb="FFB3F0B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yfs1\2010\1083047_00%20IRWD%20Energy%20&amp;%20Green%20House%20Gas\Task%204.1%20&amp;%204.2%20-%20Scenarios\Scenarios\Preferrerd%20Portfolio%20plus%20Project%20%23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enario Sheet"/>
      <sheetName val="Scenario Variables"/>
      <sheetName val="Financial Charts"/>
      <sheetName val="Energy Charts"/>
      <sheetName val="Summary of Costs"/>
      <sheetName val="Project Cost Summary"/>
      <sheetName val="Project Data"/>
      <sheetName val="Usage"/>
      <sheetName val="Assumptions"/>
      <sheetName val="First"/>
      <sheetName val="Project 1 Costs"/>
      <sheetName val="Project 3 Costs"/>
      <sheetName val="Project 4 Costs"/>
      <sheetName val="Project 6 Costs"/>
      <sheetName val="Project 8 Costs"/>
      <sheetName val="Project 9 Costs"/>
      <sheetName val="Project 10 Costs"/>
      <sheetName val="Project 12a Costs"/>
      <sheetName val="Project 12b Costs"/>
      <sheetName val="Project 12c Costs"/>
      <sheetName val="Project 13 Costs"/>
      <sheetName val="Project 14a Costs"/>
      <sheetName val="Project 14b Costs"/>
      <sheetName val="Project 15 Costs"/>
      <sheetName val="Project 17a Costs"/>
      <sheetName val="Project 17b Costs"/>
      <sheetName val="Project 18 Costs"/>
      <sheetName val="Project 20 Costs"/>
      <sheetName val="MT Costs"/>
      <sheetName val="Last"/>
      <sheetName val="Project List"/>
    </sheetNames>
    <sheetDataSet>
      <sheetData sheetId="0" refreshError="1"/>
      <sheetData sheetId="1" refreshError="1">
        <row r="11">
          <cell r="F11">
            <v>0</v>
          </cell>
        </row>
        <row r="17">
          <cell r="F17">
            <v>1.9699999999999999E-2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2">
          <cell r="F2" t="str">
            <v>None</v>
          </cell>
          <cell r="G2">
            <v>0</v>
          </cell>
          <cell r="H2">
            <v>1</v>
          </cell>
        </row>
        <row r="3">
          <cell r="F3" t="str">
            <v>Pump Optimization (2% savings)</v>
          </cell>
          <cell r="G3" t="str">
            <v>1a</v>
          </cell>
          <cell r="H3">
            <v>2</v>
          </cell>
        </row>
        <row r="4">
          <cell r="F4" t="str">
            <v>Pump Optimization (4% savings)</v>
          </cell>
          <cell r="G4" t="str">
            <v>1b</v>
          </cell>
          <cell r="H4">
            <v>3</v>
          </cell>
        </row>
        <row r="5">
          <cell r="F5" t="str">
            <v>Accelerated Local GW Supplies</v>
          </cell>
          <cell r="G5">
            <v>3</v>
          </cell>
          <cell r="H5">
            <v>4</v>
          </cell>
        </row>
        <row r="6">
          <cell r="F6" t="str">
            <v>LAWRP Automated DO Control</v>
          </cell>
          <cell r="G6">
            <v>4</v>
          </cell>
          <cell r="H6">
            <v>5</v>
          </cell>
        </row>
        <row r="7">
          <cell r="F7" t="str">
            <v>San Joaquin Marsh Pumping Optimization</v>
          </cell>
          <cell r="G7">
            <v>6</v>
          </cell>
          <cell r="H7">
            <v>6</v>
          </cell>
        </row>
        <row r="8">
          <cell r="F8" t="str">
            <v>Food Waste-to-Energy</v>
          </cell>
          <cell r="G8">
            <v>8</v>
          </cell>
          <cell r="H8">
            <v>7</v>
          </cell>
        </row>
        <row r="9">
          <cell r="F9" t="str">
            <v>Pump Efficiency Improvement Program</v>
          </cell>
          <cell r="G9">
            <v>9</v>
          </cell>
          <cell r="H9">
            <v>8</v>
          </cell>
        </row>
        <row r="10">
          <cell r="F10" t="str">
            <v>Energy Efficiency Measures</v>
          </cell>
          <cell r="G10">
            <v>10</v>
          </cell>
          <cell r="H10">
            <v>9</v>
          </cell>
        </row>
        <row r="11">
          <cell r="F11" t="str">
            <v>Solar PV Program - Own &amp; Operate</v>
          </cell>
          <cell r="G11" t="str">
            <v>12a</v>
          </cell>
          <cell r="H11">
            <v>10</v>
          </cell>
        </row>
        <row r="12">
          <cell r="F12" t="str">
            <v>Solar PV Program - Land Lease Jackson Ranch</v>
          </cell>
          <cell r="G12" t="str">
            <v>12b</v>
          </cell>
          <cell r="H12">
            <v>11</v>
          </cell>
        </row>
        <row r="13">
          <cell r="F13" t="str">
            <v>Solar PV Program - PPA</v>
          </cell>
          <cell r="G13" t="str">
            <v>12c</v>
          </cell>
          <cell r="H13">
            <v>12</v>
          </cell>
        </row>
        <row r="14">
          <cell r="F14" t="str">
            <v>Well Efficiency Testing and Rehabilitation</v>
          </cell>
          <cell r="G14">
            <v>13</v>
          </cell>
          <cell r="H14">
            <v>13</v>
          </cell>
        </row>
        <row r="15">
          <cell r="F15" t="str">
            <v>MWRP Phase 2 Optimization  - 25% Flow Diversion</v>
          </cell>
          <cell r="G15" t="str">
            <v>14a</v>
          </cell>
          <cell r="H15">
            <v>14</v>
          </cell>
        </row>
        <row r="16">
          <cell r="F16" t="str">
            <v>MWRP Phase 2 Optimization  - 38% Flow Diversion</v>
          </cell>
          <cell r="G16" t="str">
            <v>14b</v>
          </cell>
          <cell r="H16">
            <v>15</v>
          </cell>
        </row>
        <row r="17">
          <cell r="F17" t="str">
            <v>Process Energy Audit</v>
          </cell>
          <cell r="G17">
            <v>15</v>
          </cell>
          <cell r="H17">
            <v>16</v>
          </cell>
        </row>
        <row r="18">
          <cell r="F18" t="str">
            <v>Renewables Purchase - Direct Access PPA</v>
          </cell>
          <cell r="G18" t="str">
            <v>17a</v>
          </cell>
          <cell r="H18">
            <v>17</v>
          </cell>
        </row>
        <row r="19">
          <cell r="F19" t="str">
            <v>Renewables Purchase - REC</v>
          </cell>
          <cell r="G19" t="str">
            <v>17b</v>
          </cell>
          <cell r="H19">
            <v>18</v>
          </cell>
        </row>
        <row r="20">
          <cell r="F20" t="str">
            <v>Fleet Fuel Reduction - Alternative Vehicles</v>
          </cell>
          <cell r="G20">
            <v>18</v>
          </cell>
          <cell r="H20">
            <v>19</v>
          </cell>
        </row>
        <row r="21">
          <cell r="F21" t="str">
            <v>Additional Water Conservation - Combined Program</v>
          </cell>
          <cell r="G21">
            <v>20</v>
          </cell>
          <cell r="H21">
            <v>20</v>
          </cell>
        </row>
        <row r="22">
          <cell r="F22" t="str">
            <v>Microturbines from Biosolids Project</v>
          </cell>
          <cell r="G22">
            <v>0</v>
          </cell>
          <cell r="H22">
            <v>21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I78"/>
  <sheetViews>
    <sheetView tabSelected="1" zoomScale="85" zoomScaleNormal="85" workbookViewId="0">
      <selection activeCell="G3" sqref="G3"/>
    </sheetView>
  </sheetViews>
  <sheetFormatPr defaultRowHeight="13.5" x14ac:dyDescent="0.35"/>
  <cols>
    <col min="1" max="1" width="13.625" customWidth="1"/>
    <col min="2" max="2" width="12.625" customWidth="1"/>
    <col min="3" max="3" width="11.25" customWidth="1"/>
    <col min="4" max="4" width="12" customWidth="1"/>
    <col min="5" max="5" width="11.75" customWidth="1"/>
    <col min="6" max="6" width="12.25" customWidth="1"/>
    <col min="7" max="7" width="13.375" customWidth="1"/>
    <col min="8" max="8" width="13.625" customWidth="1"/>
    <col min="9" max="9" width="12.625" customWidth="1"/>
    <col min="10" max="10" width="11.625" customWidth="1"/>
    <col min="11" max="11" width="12" customWidth="1"/>
    <col min="12" max="12" width="12.25" customWidth="1"/>
    <col min="13" max="14" width="11" customWidth="1"/>
    <col min="15" max="15" width="12.875" customWidth="1"/>
    <col min="16" max="16" width="12" customWidth="1"/>
    <col min="17" max="17" width="12.5" customWidth="1"/>
    <col min="18" max="18" width="14.625" customWidth="1"/>
    <col min="19" max="19" width="14.375" customWidth="1"/>
    <col min="20" max="20" width="13.5" customWidth="1"/>
    <col min="21" max="21" width="13.625" customWidth="1"/>
    <col min="22" max="22" width="9.625" customWidth="1"/>
    <col min="23" max="23" width="13.25" bestFit="1" customWidth="1"/>
    <col min="24" max="31" width="9.625" customWidth="1"/>
    <col min="32" max="32" width="10.8125" customWidth="1"/>
    <col min="33" max="33" width="11.125" customWidth="1"/>
  </cols>
  <sheetData>
    <row r="1" spans="1:26" ht="22.5" x14ac:dyDescent="0.35">
      <c r="A1" s="98" t="s">
        <v>86</v>
      </c>
    </row>
    <row r="2" spans="1:26" ht="15" x14ac:dyDescent="0.4">
      <c r="A2" s="104" t="s">
        <v>0</v>
      </c>
      <c r="B2" s="105"/>
      <c r="C2" s="26" t="s">
        <v>81</v>
      </c>
      <c r="D2" s="2"/>
    </row>
    <row r="3" spans="1:26" ht="15" x14ac:dyDescent="0.35">
      <c r="A3" s="106" t="s">
        <v>1</v>
      </c>
      <c r="B3" s="100"/>
      <c r="C3" s="101" t="s">
        <v>108</v>
      </c>
      <c r="D3" s="102"/>
      <c r="E3" s="103"/>
    </row>
    <row r="4" spans="1:26" ht="15" x14ac:dyDescent="0.4">
      <c r="A4" s="104" t="s">
        <v>2</v>
      </c>
      <c r="B4" s="3"/>
      <c r="C4" s="27">
        <v>2020</v>
      </c>
      <c r="E4" s="125">
        <v>2020</v>
      </c>
      <c r="F4" s="216" t="s">
        <v>132</v>
      </c>
    </row>
    <row r="5" spans="1:26" ht="15" x14ac:dyDescent="0.4">
      <c r="A5" s="104" t="s">
        <v>3</v>
      </c>
      <c r="B5" s="3"/>
      <c r="C5" s="28">
        <v>1</v>
      </c>
      <c r="D5" s="5"/>
      <c r="E5" s="5"/>
    </row>
    <row r="6" spans="1:26" ht="15" x14ac:dyDescent="0.4">
      <c r="A6" s="107" t="s">
        <v>45</v>
      </c>
      <c r="B6" s="29"/>
      <c r="C6" s="99" t="str">
        <f>+Q22</f>
        <v>Oregon</v>
      </c>
      <c r="D6" s="6"/>
    </row>
    <row r="7" spans="1:26" ht="15" x14ac:dyDescent="0.4">
      <c r="A7" s="107"/>
      <c r="B7" s="29"/>
      <c r="C7" s="6"/>
      <c r="D7" s="6"/>
    </row>
    <row r="8" spans="1:26" ht="16.5" customHeight="1" x14ac:dyDescent="0.4">
      <c r="A8" s="104" t="s">
        <v>62</v>
      </c>
      <c r="B8" s="54"/>
      <c r="C8" s="55"/>
      <c r="D8" s="47"/>
      <c r="E8" s="15"/>
      <c r="F8" s="14"/>
      <c r="G8" s="54"/>
      <c r="H8" s="56"/>
      <c r="I8" s="54"/>
      <c r="J8" s="54"/>
      <c r="Y8" s="1"/>
    </row>
    <row r="9" spans="1:26" ht="55.5" x14ac:dyDescent="0.4">
      <c r="A9" s="72" t="s">
        <v>95</v>
      </c>
      <c r="B9" s="72" t="s">
        <v>96</v>
      </c>
      <c r="C9" s="72" t="s">
        <v>57</v>
      </c>
      <c r="D9" s="72" t="s">
        <v>59</v>
      </c>
      <c r="E9" s="72" t="s">
        <v>135</v>
      </c>
      <c r="F9" s="72" t="s">
        <v>47</v>
      </c>
      <c r="G9" s="72" t="s">
        <v>58</v>
      </c>
      <c r="H9" s="72" t="s">
        <v>60</v>
      </c>
      <c r="I9" s="72" t="s">
        <v>100</v>
      </c>
      <c r="J9" s="72" t="s">
        <v>61</v>
      </c>
      <c r="Y9" s="1"/>
    </row>
    <row r="10" spans="1:26" ht="21.75" customHeight="1" x14ac:dyDescent="0.4">
      <c r="A10" s="68">
        <f>+B35</f>
        <v>8322000</v>
      </c>
      <c r="B10" s="67">
        <f>P39</f>
        <v>673234.14909278788</v>
      </c>
      <c r="C10" s="68">
        <f>+A33</f>
        <v>3242.5880874569539</v>
      </c>
      <c r="D10" s="67">
        <f>+G39</f>
        <v>1116500</v>
      </c>
      <c r="E10" s="67">
        <f>+F31</f>
        <v>0</v>
      </c>
      <c r="F10" s="67">
        <f>IF(ISERROR(SUMIF($P$39:$P$77,"&lt;&gt;0")/COUNTIF($P$39:$P$77,"&lt;&gt;0")),0,SUMIF($P$39:$P$77,"&lt;&gt;0")/COUNTIF($P$39:$P$77,"&lt;&gt;0"))</f>
        <v>785336.53907129169</v>
      </c>
      <c r="G10" s="67">
        <f>SUM(P39:P77)</f>
        <v>15706730.781425834</v>
      </c>
      <c r="H10" s="67">
        <f>NPV($L$27,P39:P77)</f>
        <v>10457832.569505556</v>
      </c>
      <c r="I10" s="69">
        <f>IRR(T38:T77,0.3)</f>
        <v>0.68528780775112019</v>
      </c>
      <c r="J10" s="66">
        <f>SUM(R39:R77)</f>
        <v>64851.761749139099</v>
      </c>
      <c r="Y10" s="4"/>
    </row>
    <row r="11" spans="1:26" ht="13.9" thickBot="1" x14ac:dyDescent="0.4">
      <c r="Y11" s="4"/>
    </row>
    <row r="12" spans="1:26" s="6" customFormat="1" ht="20.25" x14ac:dyDescent="0.55000000000000004">
      <c r="A12" s="198" t="s">
        <v>119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7"/>
    </row>
    <row r="13" spans="1:26" s="6" customFormat="1" ht="20.25" x14ac:dyDescent="0.55000000000000004">
      <c r="A13" s="199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200"/>
    </row>
    <row r="14" spans="1:26" s="7" customFormat="1" ht="15.4" thickBot="1" x14ac:dyDescent="0.45">
      <c r="A14" s="171" t="s">
        <v>4</v>
      </c>
      <c r="B14" s="158"/>
      <c r="C14" s="158"/>
      <c r="D14" s="158"/>
      <c r="E14" s="158"/>
      <c r="F14" s="172" t="s">
        <v>5</v>
      </c>
      <c r="G14" s="158"/>
      <c r="H14" s="158"/>
      <c r="I14" s="158"/>
      <c r="J14" s="158"/>
      <c r="K14" s="158"/>
      <c r="L14" s="172" t="s">
        <v>84</v>
      </c>
      <c r="M14" s="158"/>
      <c r="N14" s="158"/>
      <c r="O14" s="158"/>
      <c r="P14" s="158"/>
      <c r="Q14" s="165" t="s">
        <v>122</v>
      </c>
      <c r="R14" s="158"/>
      <c r="S14" s="158"/>
      <c r="T14" s="158"/>
      <c r="U14" s="158"/>
      <c r="V14" s="158"/>
      <c r="W14" s="158"/>
      <c r="X14" s="158"/>
      <c r="Y14" s="158"/>
      <c r="Z14" s="159"/>
    </row>
    <row r="15" spans="1:26" x14ac:dyDescent="0.35">
      <c r="A15" s="31">
        <v>1000000</v>
      </c>
      <c r="B15" s="235" t="s">
        <v>6</v>
      </c>
      <c r="C15" s="236"/>
      <c r="D15" s="237"/>
      <c r="E15" s="175"/>
      <c r="F15" s="77">
        <v>0</v>
      </c>
      <c r="G15" s="32" t="s">
        <v>7</v>
      </c>
      <c r="H15" s="142"/>
      <c r="I15" s="91">
        <f>2080*F15/52</f>
        <v>0</v>
      </c>
      <c r="J15" s="89" t="s">
        <v>70</v>
      </c>
      <c r="K15" s="160"/>
      <c r="L15" s="114">
        <f t="array" ref="L15">IF(ISERROR(INDEX(AB39:AB77,MATCH(TRUE,AB39:AB77&lt;&gt;0,0))),0,INDEX(AB39:AB77,MATCH(TRUE,AB39:AB77&lt;&gt;0,0)))</f>
        <v>8.077195374823215E-2</v>
      </c>
      <c r="M15" s="238" t="s">
        <v>52</v>
      </c>
      <c r="N15" s="236"/>
      <c r="O15" s="237"/>
      <c r="P15" s="175"/>
      <c r="Q15" s="83" t="s">
        <v>147</v>
      </c>
      <c r="R15" s="233" t="s">
        <v>69</v>
      </c>
      <c r="S15" s="234"/>
      <c r="T15" s="160"/>
      <c r="U15" s="160"/>
      <c r="V15" s="160"/>
      <c r="W15" s="160"/>
      <c r="X15" s="160"/>
      <c r="Y15" s="160"/>
      <c r="Z15" s="161"/>
    </row>
    <row r="16" spans="1:26" ht="13.9" thickBot="1" x14ac:dyDescent="0.4">
      <c r="A16" s="33">
        <v>1</v>
      </c>
      <c r="B16" s="229" t="s">
        <v>8</v>
      </c>
      <c r="C16" s="229"/>
      <c r="D16" s="230"/>
      <c r="E16" s="175"/>
      <c r="F16" s="73">
        <v>0.01</v>
      </c>
      <c r="G16" s="9" t="s">
        <v>64</v>
      </c>
      <c r="H16" s="153"/>
      <c r="I16" s="92">
        <f>+I15*52</f>
        <v>0</v>
      </c>
      <c r="J16" s="90" t="s">
        <v>71</v>
      </c>
      <c r="K16" s="160"/>
      <c r="L16" s="34">
        <v>0.11600000000000001</v>
      </c>
      <c r="M16" s="228" t="s">
        <v>50</v>
      </c>
      <c r="N16" s="229"/>
      <c r="O16" s="230"/>
      <c r="P16" s="175"/>
      <c r="Q16" s="226">
        <f>L31</f>
        <v>1</v>
      </c>
      <c r="R16" s="228" t="s">
        <v>145</v>
      </c>
      <c r="S16" s="230"/>
      <c r="T16" s="160"/>
      <c r="U16" s="160"/>
      <c r="V16" s="160"/>
      <c r="W16" s="160"/>
      <c r="X16" s="160"/>
      <c r="Y16" s="160"/>
      <c r="Z16" s="161"/>
    </row>
    <row r="17" spans="1:28" x14ac:dyDescent="0.35">
      <c r="A17" s="33">
        <v>20</v>
      </c>
      <c r="B17" s="150" t="s">
        <v>9</v>
      </c>
      <c r="C17" s="144"/>
      <c r="D17" s="145"/>
      <c r="E17" s="175"/>
      <c r="F17" s="175"/>
      <c r="G17" s="175"/>
      <c r="H17" s="175"/>
      <c r="I17" s="175"/>
      <c r="J17" s="176"/>
      <c r="K17" s="160"/>
      <c r="L17" s="34">
        <f>AVERAGE(AB39:AB68)</f>
        <v>6.2815237071019325E-2</v>
      </c>
      <c r="M17" s="147" t="s">
        <v>53</v>
      </c>
      <c r="N17" s="147"/>
      <c r="O17" s="148"/>
      <c r="P17" s="175"/>
      <c r="Q17" s="35">
        <v>999</v>
      </c>
      <c r="R17" s="218" t="s">
        <v>146</v>
      </c>
      <c r="S17" s="219"/>
      <c r="T17" s="160"/>
      <c r="U17" s="160"/>
      <c r="V17" s="160"/>
      <c r="W17" s="160"/>
      <c r="X17" s="160"/>
      <c r="Y17" s="160"/>
      <c r="Z17" s="161"/>
    </row>
    <row r="18" spans="1:28" ht="15.4" thickBot="1" x14ac:dyDescent="0.45">
      <c r="A18" s="8">
        <v>0.1</v>
      </c>
      <c r="B18" s="144" t="s">
        <v>11</v>
      </c>
      <c r="C18" s="144"/>
      <c r="D18" s="145"/>
      <c r="E18" s="175"/>
      <c r="F18" s="180" t="s">
        <v>98</v>
      </c>
      <c r="G18" s="181"/>
      <c r="H18" s="181"/>
      <c r="I18" s="175"/>
      <c r="J18" s="176"/>
      <c r="K18" s="160"/>
      <c r="L18" s="34">
        <f>AVERAGE(AD39:AD68)</f>
        <v>0.12512893788685672</v>
      </c>
      <c r="M18" s="147" t="s">
        <v>51</v>
      </c>
      <c r="N18" s="147"/>
      <c r="O18" s="148"/>
      <c r="P18" s="175"/>
      <c r="Q18" s="39">
        <f>IF(Yes="No",0,Q17*Q16)</f>
        <v>999</v>
      </c>
      <c r="R18" s="70" t="s">
        <v>10</v>
      </c>
      <c r="S18" s="71"/>
      <c r="T18" s="160"/>
      <c r="U18" s="160"/>
      <c r="V18" s="160"/>
      <c r="W18" s="160"/>
      <c r="X18" s="160"/>
      <c r="Y18" s="160"/>
      <c r="Z18" s="161"/>
    </row>
    <row r="19" spans="1:28" x14ac:dyDescent="0.35">
      <c r="A19" s="36">
        <f>(A15*A16+F24)*A18</f>
        <v>101500</v>
      </c>
      <c r="B19" s="144" t="s">
        <v>12</v>
      </c>
      <c r="C19" s="144"/>
      <c r="D19" s="145"/>
      <c r="E19" s="175"/>
      <c r="F19" s="37">
        <v>5000</v>
      </c>
      <c r="G19" s="85" t="s">
        <v>77</v>
      </c>
      <c r="H19" s="143"/>
      <c r="I19" s="175"/>
      <c r="J19" s="178"/>
      <c r="K19" s="160"/>
      <c r="L19" s="38">
        <f>-PMT($L$27,$A$17,NPV($L$28,P39:P77))/($A$29+$A$30)</f>
        <v>7.7292433872586858E-2</v>
      </c>
      <c r="M19" s="244" t="s">
        <v>82</v>
      </c>
      <c r="N19" s="245"/>
      <c r="O19" s="246"/>
      <c r="P19" s="175"/>
      <c r="Q19" s="160"/>
      <c r="R19" s="160"/>
      <c r="S19" s="160"/>
      <c r="T19" s="160"/>
      <c r="U19" s="160"/>
      <c r="V19" s="160"/>
      <c r="W19" s="160"/>
      <c r="X19" s="160"/>
      <c r="Y19" s="160"/>
      <c r="Z19" s="161"/>
    </row>
    <row r="20" spans="1:28" ht="15" customHeight="1" thickBot="1" x14ac:dyDescent="0.4">
      <c r="A20" s="39">
        <f>+Q18</f>
        <v>999</v>
      </c>
      <c r="B20" s="153" t="s">
        <v>13</v>
      </c>
      <c r="C20" s="153"/>
      <c r="D20" s="154"/>
      <c r="E20" s="175"/>
      <c r="F20" s="40">
        <v>5000</v>
      </c>
      <c r="G20" s="88" t="s">
        <v>78</v>
      </c>
      <c r="H20" s="145"/>
      <c r="I20" s="175"/>
      <c r="J20" s="175"/>
      <c r="K20" s="160"/>
      <c r="L20" s="41">
        <f>-PMT($L$27,$A$17,NPV($L$28,Q39:Q77))/($A$29+$A$30)</f>
        <v>9.4845934740483168E-2</v>
      </c>
      <c r="M20" s="239" t="s">
        <v>83</v>
      </c>
      <c r="N20" s="240"/>
      <c r="O20" s="241"/>
      <c r="P20" s="173"/>
      <c r="Q20" s="160"/>
      <c r="R20" s="160"/>
      <c r="S20" s="160"/>
      <c r="T20" s="160"/>
      <c r="U20" s="162"/>
      <c r="V20" s="160"/>
      <c r="W20" s="163"/>
      <c r="X20" s="164"/>
      <c r="Y20" s="160"/>
      <c r="Z20" s="161"/>
    </row>
    <row r="21" spans="1:28" ht="14.25" thickBot="1" x14ac:dyDescent="0.45">
      <c r="A21" s="184"/>
      <c r="B21" s="175"/>
      <c r="C21" s="175"/>
      <c r="D21" s="175"/>
      <c r="E21" s="175"/>
      <c r="F21" s="40">
        <v>5000</v>
      </c>
      <c r="G21" s="88" t="s">
        <v>79</v>
      </c>
      <c r="H21" s="145"/>
      <c r="I21" s="175"/>
      <c r="J21" s="175"/>
      <c r="K21" s="160"/>
      <c r="L21" s="175"/>
      <c r="M21" s="175"/>
      <c r="N21" s="175"/>
      <c r="O21" s="175"/>
      <c r="P21" s="173"/>
      <c r="Q21" s="165" t="s">
        <v>136</v>
      </c>
      <c r="R21" s="175"/>
      <c r="S21" s="175"/>
      <c r="T21" s="160"/>
      <c r="U21" s="165" t="s">
        <v>141</v>
      </c>
      <c r="V21" s="160"/>
      <c r="W21" s="163"/>
      <c r="X21" s="164"/>
      <c r="Y21" s="160"/>
      <c r="Z21" s="161"/>
    </row>
    <row r="22" spans="1:28" ht="15.4" thickBot="1" x14ac:dyDescent="0.45">
      <c r="A22" s="171" t="s">
        <v>133</v>
      </c>
      <c r="B22" s="175"/>
      <c r="C22" s="175"/>
      <c r="D22" s="175"/>
      <c r="E22" s="175"/>
      <c r="F22" s="40">
        <v>0</v>
      </c>
      <c r="G22" s="146" t="s">
        <v>117</v>
      </c>
      <c r="H22" s="145"/>
      <c r="I22" s="175"/>
      <c r="J22" s="175"/>
      <c r="K22" s="160"/>
      <c r="L22" s="172" t="s">
        <v>85</v>
      </c>
      <c r="M22" s="175"/>
      <c r="N22" s="175"/>
      <c r="O22" s="175"/>
      <c r="P22" s="173"/>
      <c r="Q22" s="93" t="s">
        <v>93</v>
      </c>
      <c r="R22" s="247" t="s">
        <v>94</v>
      </c>
      <c r="S22" s="248"/>
      <c r="T22" s="160"/>
      <c r="U22" s="220" t="s">
        <v>93</v>
      </c>
      <c r="V22" s="220" t="s">
        <v>91</v>
      </c>
      <c r="W22" s="220" t="s">
        <v>89</v>
      </c>
      <c r="X22" s="220" t="s">
        <v>92</v>
      </c>
      <c r="Y22" s="220" t="s">
        <v>90</v>
      </c>
      <c r="Z22" s="161"/>
    </row>
    <row r="23" spans="1:28" ht="13.9" thickBot="1" x14ac:dyDescent="0.4">
      <c r="A23" s="83" t="s">
        <v>154</v>
      </c>
      <c r="B23" s="140" t="s">
        <v>72</v>
      </c>
      <c r="C23" s="140"/>
      <c r="D23" s="141"/>
      <c r="E23" s="175"/>
      <c r="F23" s="42"/>
      <c r="G23" s="152"/>
      <c r="H23" s="154"/>
      <c r="I23" s="175"/>
      <c r="J23" s="175"/>
      <c r="K23" s="160"/>
      <c r="L23" s="10" t="s">
        <v>151</v>
      </c>
      <c r="M23" s="249" t="s">
        <v>54</v>
      </c>
      <c r="N23" s="235"/>
      <c r="O23" s="250"/>
      <c r="P23" s="175"/>
      <c r="Q23" s="155">
        <f>HLOOKUP(Q22,U22:Y23,2,FALSE)</f>
        <v>0.85899999999999999</v>
      </c>
      <c r="R23" s="231" t="s">
        <v>150</v>
      </c>
      <c r="S23" s="232"/>
      <c r="T23" s="166"/>
      <c r="U23" s="221">
        <v>0.85899999999999999</v>
      </c>
      <c r="V23" s="221">
        <v>8.5000000000000006E-2</v>
      </c>
      <c r="W23" s="221">
        <v>0.92600000000000005</v>
      </c>
      <c r="X23" s="221">
        <v>1.5509999999999999</v>
      </c>
      <c r="Y23" s="221">
        <v>4.4999999999999998E-2</v>
      </c>
      <c r="Z23" s="161"/>
    </row>
    <row r="24" spans="1:28" ht="14.25" thickBot="1" x14ac:dyDescent="0.45">
      <c r="A24" s="33">
        <v>1000</v>
      </c>
      <c r="B24" s="228" t="s">
        <v>14</v>
      </c>
      <c r="C24" s="229"/>
      <c r="D24" s="230"/>
      <c r="E24" s="175"/>
      <c r="F24" s="43">
        <f>SUM(F19:F23)</f>
        <v>15000</v>
      </c>
      <c r="G24" s="44" t="s">
        <v>15</v>
      </c>
      <c r="H24" s="45"/>
      <c r="I24" s="175"/>
      <c r="J24" s="175"/>
      <c r="K24" s="160"/>
      <c r="L24" s="11">
        <v>0.03</v>
      </c>
      <c r="M24" s="228" t="s">
        <v>17</v>
      </c>
      <c r="N24" s="229"/>
      <c r="O24" s="230"/>
      <c r="P24" s="175"/>
      <c r="Q24" s="155">
        <f>HLOOKUP(A26,U26:X27,2,FALSE)</f>
        <v>53.06</v>
      </c>
      <c r="R24" s="231" t="s">
        <v>149</v>
      </c>
      <c r="S24" s="232"/>
      <c r="T24" s="167"/>
      <c r="U24" s="160"/>
      <c r="V24" s="160"/>
      <c r="W24" s="160"/>
      <c r="X24" s="160"/>
      <c r="Y24" s="160"/>
      <c r="Z24" s="161"/>
    </row>
    <row r="25" spans="1:28" ht="18" customHeight="1" thickBot="1" x14ac:dyDescent="0.45">
      <c r="A25" s="8">
        <v>0.95</v>
      </c>
      <c r="B25" s="228" t="s">
        <v>16</v>
      </c>
      <c r="C25" s="229"/>
      <c r="D25" s="230"/>
      <c r="E25" s="175"/>
      <c r="F25" s="160"/>
      <c r="G25" s="160"/>
      <c r="H25" s="160"/>
      <c r="I25" s="175"/>
      <c r="J25" s="175"/>
      <c r="K25" s="160"/>
      <c r="L25" s="11">
        <v>0.01</v>
      </c>
      <c r="M25" s="147" t="s">
        <v>19</v>
      </c>
      <c r="N25" s="147"/>
      <c r="O25" s="148"/>
      <c r="P25" s="175"/>
      <c r="Q25" s="222">
        <v>2204.6</v>
      </c>
      <c r="R25" s="242" t="s">
        <v>120</v>
      </c>
      <c r="S25" s="243"/>
      <c r="T25" s="160"/>
      <c r="U25" s="177" t="s">
        <v>142</v>
      </c>
      <c r="V25" s="160"/>
      <c r="W25" s="160"/>
      <c r="X25" s="160"/>
      <c r="Y25" s="160"/>
      <c r="Z25" s="161"/>
    </row>
    <row r="26" spans="1:28" ht="18" customHeight="1" x14ac:dyDescent="0.4">
      <c r="A26" s="225" t="s">
        <v>138</v>
      </c>
      <c r="B26" s="208" t="s">
        <v>137</v>
      </c>
      <c r="C26" s="209"/>
      <c r="D26" s="210"/>
      <c r="E26" s="175"/>
      <c r="F26" s="160"/>
      <c r="G26" s="160"/>
      <c r="H26" s="160"/>
      <c r="I26" s="175"/>
      <c r="J26" s="175"/>
      <c r="K26" s="160"/>
      <c r="L26" s="11">
        <v>0.02</v>
      </c>
      <c r="M26" s="146" t="s">
        <v>22</v>
      </c>
      <c r="N26" s="144"/>
      <c r="O26" s="145"/>
      <c r="P26" s="175"/>
      <c r="Q26" s="165"/>
      <c r="R26" s="175"/>
      <c r="S26" s="175"/>
      <c r="T26" s="160"/>
      <c r="U26" s="220" t="s">
        <v>138</v>
      </c>
      <c r="V26" s="220" t="s">
        <v>139</v>
      </c>
      <c r="W26" s="220" t="s">
        <v>140</v>
      </c>
      <c r="X26" s="220" t="s">
        <v>143</v>
      </c>
      <c r="Y26" s="160"/>
      <c r="Z26" s="161"/>
    </row>
    <row r="27" spans="1:28" ht="18" customHeight="1" thickBot="1" x14ac:dyDescent="0.45">
      <c r="A27" s="12">
        <v>1000</v>
      </c>
      <c r="B27" s="204" t="s">
        <v>121</v>
      </c>
      <c r="C27" s="202"/>
      <c r="D27" s="203"/>
      <c r="E27" s="175"/>
      <c r="F27" s="172" t="s">
        <v>18</v>
      </c>
      <c r="G27" s="175"/>
      <c r="H27" s="175"/>
      <c r="I27" s="179" t="s">
        <v>75</v>
      </c>
      <c r="J27" s="175"/>
      <c r="K27" s="160"/>
      <c r="L27" s="11">
        <v>0.04</v>
      </c>
      <c r="M27" s="146" t="s">
        <v>23</v>
      </c>
      <c r="N27" s="144"/>
      <c r="O27" s="145"/>
      <c r="P27" s="173"/>
      <c r="Q27" s="177" t="s">
        <v>80</v>
      </c>
      <c r="R27" s="160"/>
      <c r="S27" s="160"/>
      <c r="T27" s="160"/>
      <c r="U27" s="221">
        <v>53.06</v>
      </c>
      <c r="V27" s="221">
        <v>73.959999999999994</v>
      </c>
      <c r="W27" s="221">
        <v>62.87</v>
      </c>
      <c r="X27" s="221">
        <v>0</v>
      </c>
      <c r="Y27" s="160"/>
      <c r="Z27" s="161"/>
    </row>
    <row r="28" spans="1:28" ht="18" customHeight="1" x14ac:dyDescent="0.4">
      <c r="A28" s="12">
        <v>15000</v>
      </c>
      <c r="B28" s="208" t="s">
        <v>97</v>
      </c>
      <c r="C28" s="209"/>
      <c r="D28" s="210"/>
      <c r="E28" s="175"/>
      <c r="F28" s="84" t="s">
        <v>94</v>
      </c>
      <c r="G28" s="46" t="s">
        <v>21</v>
      </c>
      <c r="H28" s="141"/>
      <c r="I28" s="111">
        <v>0</v>
      </c>
      <c r="J28" s="75" t="s">
        <v>66</v>
      </c>
      <c r="K28" s="160"/>
      <c r="L28" s="11">
        <f>+L27+L26</f>
        <v>0.06</v>
      </c>
      <c r="M28" s="146" t="s">
        <v>26</v>
      </c>
      <c r="N28" s="144"/>
      <c r="O28" s="145"/>
      <c r="P28" s="173"/>
      <c r="Q28" s="58"/>
      <c r="R28" s="59" t="s">
        <v>87</v>
      </c>
      <c r="S28" s="60"/>
      <c r="T28" s="160"/>
      <c r="U28" s="160"/>
      <c r="V28" s="160"/>
      <c r="W28" s="160"/>
      <c r="X28" s="160"/>
      <c r="Y28" s="160"/>
      <c r="Z28" s="161"/>
    </row>
    <row r="29" spans="1:28" ht="18" customHeight="1" x14ac:dyDescent="0.4">
      <c r="A29" s="95">
        <f>IF($A$23="Generation",+A24*8760*A25,0)</f>
        <v>8322000</v>
      </c>
      <c r="B29" s="208" t="s">
        <v>73</v>
      </c>
      <c r="C29" s="209"/>
      <c r="D29" s="210"/>
      <c r="E29" s="175"/>
      <c r="F29" s="109">
        <v>0</v>
      </c>
      <c r="G29" s="149" t="s">
        <v>74</v>
      </c>
      <c r="H29" s="151"/>
      <c r="I29" s="112">
        <v>0</v>
      </c>
      <c r="J29" s="53" t="s">
        <v>67</v>
      </c>
      <c r="K29" s="160"/>
      <c r="L29" s="65">
        <v>100000</v>
      </c>
      <c r="M29" s="149" t="s">
        <v>29</v>
      </c>
      <c r="N29" s="144"/>
      <c r="O29" s="145"/>
      <c r="P29" s="173"/>
      <c r="Q29" s="64">
        <v>1.4999999999999999E-2</v>
      </c>
      <c r="R29" s="79">
        <v>2020</v>
      </c>
      <c r="S29" s="80">
        <f>+R29+A17-1</f>
        <v>2039</v>
      </c>
      <c r="T29" s="160"/>
      <c r="U29" s="160"/>
      <c r="V29" s="160"/>
      <c r="W29" s="160"/>
      <c r="X29" s="160"/>
      <c r="Y29" s="160"/>
      <c r="Z29" s="161"/>
    </row>
    <row r="30" spans="1:28" ht="18" customHeight="1" thickBot="1" x14ac:dyDescent="0.4">
      <c r="A30" s="96">
        <f>IF($A$23="Savings",A28,0)</f>
        <v>0</v>
      </c>
      <c r="B30" s="211" t="s">
        <v>20</v>
      </c>
      <c r="C30" s="212"/>
      <c r="D30" s="213"/>
      <c r="E30" s="175"/>
      <c r="F30" s="110">
        <v>1</v>
      </c>
      <c r="G30" s="48" t="s">
        <v>25</v>
      </c>
      <c r="H30" s="148"/>
      <c r="I30" s="113">
        <f>+I29*I28</f>
        <v>0</v>
      </c>
      <c r="J30" s="76" t="s">
        <v>68</v>
      </c>
      <c r="K30" s="160"/>
      <c r="L30" s="214">
        <v>0.1</v>
      </c>
      <c r="M30" s="205" t="s">
        <v>118</v>
      </c>
      <c r="N30" s="202"/>
      <c r="O30" s="203"/>
      <c r="P30" s="173"/>
      <c r="Q30" s="63"/>
      <c r="R30" s="61" t="s">
        <v>88</v>
      </c>
      <c r="S30" s="62"/>
      <c r="T30" s="160"/>
      <c r="U30" s="160"/>
      <c r="V30" s="160"/>
      <c r="W30" s="160"/>
      <c r="X30" s="160"/>
      <c r="Y30" s="160"/>
      <c r="Z30" s="161"/>
      <c r="AB30" s="25"/>
    </row>
    <row r="31" spans="1:28" ht="18" customHeight="1" thickBot="1" x14ac:dyDescent="0.4">
      <c r="E31" s="175"/>
      <c r="F31" s="40">
        <v>0</v>
      </c>
      <c r="G31" s="48" t="s">
        <v>99</v>
      </c>
      <c r="H31" s="148"/>
      <c r="I31" s="160"/>
      <c r="J31" s="160"/>
      <c r="K31" s="160"/>
      <c r="L31" s="215">
        <v>1</v>
      </c>
      <c r="M31" s="201" t="s">
        <v>123</v>
      </c>
      <c r="N31" s="206"/>
      <c r="O31" s="207"/>
      <c r="P31" s="176"/>
      <c r="Q31" s="78">
        <v>1.4999999999999999E-2</v>
      </c>
      <c r="R31" s="81">
        <v>2020</v>
      </c>
      <c r="S31" s="82">
        <f>+R31+A17-1</f>
        <v>2039</v>
      </c>
      <c r="T31" s="160"/>
      <c r="U31" s="160"/>
      <c r="V31" s="160"/>
      <c r="W31" s="160"/>
      <c r="X31" s="160"/>
      <c r="Y31" s="160"/>
      <c r="Z31" s="161"/>
      <c r="AB31" s="25"/>
    </row>
    <row r="32" spans="1:28" ht="15.75" customHeight="1" thickBot="1" x14ac:dyDescent="0.45">
      <c r="A32" s="171" t="s">
        <v>24</v>
      </c>
      <c r="B32" s="175"/>
      <c r="C32" s="175"/>
      <c r="D32" s="175"/>
      <c r="E32" s="175"/>
      <c r="F32" s="52">
        <v>0</v>
      </c>
      <c r="G32" s="30" t="s">
        <v>28</v>
      </c>
      <c r="H32" s="53"/>
      <c r="I32" s="183"/>
      <c r="J32" s="175"/>
      <c r="K32" s="160"/>
      <c r="L32" s="160"/>
      <c r="M32" s="160"/>
      <c r="N32" s="160"/>
      <c r="O32" s="160"/>
      <c r="P32" s="173"/>
      <c r="Q32" s="160"/>
      <c r="R32" s="160"/>
      <c r="S32" s="160"/>
      <c r="T32" s="160"/>
      <c r="U32" s="160"/>
      <c r="V32" s="160"/>
      <c r="W32" s="160"/>
      <c r="X32" s="160"/>
      <c r="Y32" s="160"/>
      <c r="Z32" s="161"/>
      <c r="AB32" s="25"/>
    </row>
    <row r="33" spans="1:35" s="14" customFormat="1" ht="18" customHeight="1" thickBot="1" x14ac:dyDescent="0.45">
      <c r="A33" s="13">
        <f>R39</f>
        <v>3242.5880874569539</v>
      </c>
      <c r="B33" s="49" t="s">
        <v>27</v>
      </c>
      <c r="C33" s="50"/>
      <c r="D33" s="51"/>
      <c r="E33" s="182"/>
      <c r="F33" s="39">
        <f>(F29*A30*F30)+(F32*A33)+I30+F31</f>
        <v>0</v>
      </c>
      <c r="G33" s="86" t="s">
        <v>15</v>
      </c>
      <c r="H33" s="87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9"/>
      <c r="V33" s="160"/>
      <c r="W33" s="160"/>
      <c r="X33" s="160"/>
      <c r="Y33" s="160"/>
      <c r="Z33" s="161"/>
    </row>
    <row r="34" spans="1:35" s="16" customFormat="1" ht="16.5" customHeight="1" thickBot="1" x14ac:dyDescent="0.4">
      <c r="A34" s="184"/>
      <c r="B34" s="175"/>
      <c r="C34" s="175"/>
      <c r="D34" s="175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74"/>
      <c r="Q34" s="168"/>
      <c r="R34" s="168"/>
      <c r="S34" s="168"/>
      <c r="T34" s="168"/>
      <c r="U34" s="168"/>
      <c r="V34" s="168"/>
      <c r="W34" s="168"/>
      <c r="X34" s="168"/>
      <c r="Y34" s="168"/>
      <c r="Z34" s="170"/>
    </row>
    <row r="35" spans="1:35" s="16" customFormat="1" ht="16.5" customHeight="1" thickBot="1" x14ac:dyDescent="0.45">
      <c r="A35" s="185"/>
      <c r="B35" s="108">
        <f>IF(ISERROR(SUMIF($B$39:$B$77,"&gt;0")/COUNTIF($B$39:$B$77,"&gt;0")),0,SUMIF($B$39:$B$77,"&gt;0")/COUNTIF($B$39:$B$77,"&gt;0"))</f>
        <v>8322000</v>
      </c>
      <c r="C35" s="223" t="s">
        <v>30</v>
      </c>
      <c r="D35" s="224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74"/>
      <c r="Q35" s="168"/>
      <c r="R35" s="168"/>
      <c r="S35" s="168"/>
      <c r="T35" s="168"/>
      <c r="U35" s="168"/>
      <c r="V35" s="168"/>
      <c r="W35" s="168"/>
      <c r="X35" s="168"/>
      <c r="Y35" s="168"/>
      <c r="Z35" s="168"/>
    </row>
    <row r="36" spans="1:35" s="16" customFormat="1" ht="16.5" customHeight="1" thickBot="1" x14ac:dyDescent="0.4">
      <c r="A36" s="115"/>
      <c r="B36" s="115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7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</row>
    <row r="37" spans="1:35" s="20" customFormat="1" ht="14.25" customHeight="1" x14ac:dyDescent="0.4">
      <c r="A37" s="186"/>
      <c r="B37" s="187"/>
      <c r="C37" s="187"/>
      <c r="D37" s="187"/>
      <c r="E37" s="188"/>
      <c r="F37" s="188"/>
      <c r="G37" s="189"/>
      <c r="H37" s="190" t="s">
        <v>63</v>
      </c>
      <c r="I37" s="191">
        <f>SUM(I39:I77)</f>
        <v>1515936.0181442427</v>
      </c>
      <c r="J37" s="191">
        <f>SUM(J39:J77)</f>
        <v>2022027.1146659325</v>
      </c>
      <c r="K37" s="191">
        <f>SUM(K39:K77)</f>
        <v>21945.516264422018</v>
      </c>
      <c r="L37" s="191">
        <f t="shared" ref="L37:M37" si="0">SUM(L39:L77)</f>
        <v>3559908.6490745973</v>
      </c>
      <c r="M37" s="191">
        <f t="shared" si="0"/>
        <v>19243515.763397094</v>
      </c>
      <c r="N37" s="191">
        <f>SUM(N39:N77)</f>
        <v>23123.667103337044</v>
      </c>
      <c r="O37" s="191">
        <f>SUM(O39:O77)</f>
        <v>0</v>
      </c>
      <c r="P37" s="191">
        <f>SUM(P39:P77)</f>
        <v>15706730.781425834</v>
      </c>
      <c r="Q37" s="191">
        <f>SUM(Q39:Q77)</f>
        <v>19243515.763397094</v>
      </c>
      <c r="R37" s="197">
        <f>SUM(R39:R77)</f>
        <v>64851.761749139099</v>
      </c>
      <c r="S37" s="47"/>
      <c r="T37" s="74" t="s">
        <v>76</v>
      </c>
      <c r="U37" s="19"/>
      <c r="Z37" s="18"/>
    </row>
    <row r="38" spans="1:35" s="16" customFormat="1" ht="65.650000000000006" x14ac:dyDescent="0.4">
      <c r="A38" s="192" t="s">
        <v>31</v>
      </c>
      <c r="B38" s="192" t="s">
        <v>126</v>
      </c>
      <c r="C38" s="192" t="s">
        <v>125</v>
      </c>
      <c r="D38" s="192" t="s">
        <v>148</v>
      </c>
      <c r="E38" s="192" t="s">
        <v>32</v>
      </c>
      <c r="F38" s="192" t="s">
        <v>33</v>
      </c>
      <c r="G38" s="192" t="s">
        <v>34</v>
      </c>
      <c r="H38" s="192" t="s">
        <v>128</v>
      </c>
      <c r="I38" s="192" t="s">
        <v>35</v>
      </c>
      <c r="J38" s="192" t="s">
        <v>36</v>
      </c>
      <c r="K38" s="192" t="s">
        <v>124</v>
      </c>
      <c r="L38" s="192" t="s">
        <v>37</v>
      </c>
      <c r="M38" s="129" t="s">
        <v>129</v>
      </c>
      <c r="N38" s="129" t="s">
        <v>127</v>
      </c>
      <c r="O38" s="129" t="s">
        <v>134</v>
      </c>
      <c r="P38" s="137" t="s">
        <v>46</v>
      </c>
      <c r="Q38" s="130" t="s">
        <v>38</v>
      </c>
      <c r="R38" s="130" t="s">
        <v>144</v>
      </c>
      <c r="S38" s="130" t="s">
        <v>39</v>
      </c>
      <c r="T38" s="139">
        <f>-H39</f>
        <v>-1116500</v>
      </c>
      <c r="V38" s="130" t="s">
        <v>40</v>
      </c>
      <c r="W38" s="130" t="s">
        <v>65</v>
      </c>
      <c r="X38" s="130" t="s">
        <v>56</v>
      </c>
      <c r="Y38" s="130" t="s">
        <v>41</v>
      </c>
      <c r="Z38" s="130" t="s">
        <v>42</v>
      </c>
      <c r="AA38" s="130" t="s">
        <v>48</v>
      </c>
      <c r="AB38" s="130" t="s">
        <v>49</v>
      </c>
      <c r="AC38" s="130" t="s">
        <v>55</v>
      </c>
      <c r="AD38" s="130" t="s">
        <v>130</v>
      </c>
      <c r="AE38" s="130" t="s">
        <v>131</v>
      </c>
      <c r="AF38" s="130" t="s">
        <v>43</v>
      </c>
      <c r="AG38" s="130" t="s">
        <v>44</v>
      </c>
      <c r="AH38" s="130" t="s">
        <v>155</v>
      </c>
      <c r="AI38" s="130" t="s">
        <v>156</v>
      </c>
    </row>
    <row r="39" spans="1:35" x14ac:dyDescent="0.35">
      <c r="A39" s="193">
        <v>2020</v>
      </c>
      <c r="B39" s="194">
        <f t="shared" ref="B39:B77" si="1">IF(A39&lt;$C$4,0,IF(A39-$C$4&lt;$A$17,$A$29+$A$30,0))</f>
        <v>8322000</v>
      </c>
      <c r="C39" s="194">
        <f>IF(A39&lt;$C$4,0,IF(A39-$C$4&lt;$A$17,$A$27,0))</f>
        <v>1000</v>
      </c>
      <c r="D39" s="194">
        <f t="shared" ref="D39:D77" si="2">IF(A39&lt;$C$4,0,IF(A39-$C$4&lt;$A$17,$Q$17,0))</f>
        <v>999</v>
      </c>
      <c r="E39" s="195">
        <f>IF(AND($C$4=$E$4,A39=$C$4),($A$15*$A$16)+$F$24,IF(A39&lt;$C$4,0,IF(A39=$C$4,(($A$15*$A$16)+$F$24)*(1+$L$26)^(A39-$E$4),0)))</f>
        <v>1015000</v>
      </c>
      <c r="F39" s="195">
        <f t="shared" ref="F39:F77" si="3">IF(AND($C$4=$E$4,A39=$C$4),$A$19,IF(A39&lt;$C$4,0,IF(A39=$C$4,($A$19)*(1+$L$26)^(A39-$E$4),0)))</f>
        <v>101500</v>
      </c>
      <c r="G39" s="195">
        <f>IF(ISNUMBER(E39),F39+E39,0)</f>
        <v>1116500</v>
      </c>
      <c r="H39" s="195">
        <f>IF(G39&gt;0,G39-F31,0)</f>
        <v>1116500</v>
      </c>
      <c r="I39" s="195">
        <f>IF($L$23="Cash",0,PMT($L$24,$A$17,-H39*(1+$L$25)))</f>
        <v>75796.800907212149</v>
      </c>
      <c r="J39" s="196">
        <f>IF(AND($C$4=$E$4,A39=$C$4),($F$15*$L$29)+($F$16*($A$29+$A$30)),IF(A39=$C$4,(($F$15*$L$29)+($F$16*($A$29+$A$30)))*(1+$L$26)^(A39-$E$4),0))</f>
        <v>83220</v>
      </c>
      <c r="K39" s="196">
        <f>IF(AND($C$4=$E$4,A39=$C$4,$Q$15="Yes"),+$Q$18*$A$25,IF(A39&gt;$C$4,(($Q$18*$A$25)*(1+$Q$31)^(A40-$E$4)),IF(AND(A39&gt;$C$4,B39&gt;0,J39&gt;0),J39*(1+$Q$31),0)))</f>
        <v>949.05</v>
      </c>
      <c r="L39" s="195">
        <f>IF($L$23="Cash",G39+J39+K39,I39+J39+K39)</f>
        <v>159965.85090721212</v>
      </c>
      <c r="M39" s="131">
        <f>IF(B39&gt;0,(+AD39*B39),0)</f>
        <v>832200</v>
      </c>
      <c r="N39" s="131">
        <f>IF(C39&gt;0,(+AE39*C39),0)</f>
        <v>1000</v>
      </c>
      <c r="O39" s="131">
        <f t="shared" ref="O39:O77" si="4">IF(B39&gt;0,(($A$29+$A$30)*$F$29)+($F$32*R39),0)</f>
        <v>0</v>
      </c>
      <c r="P39" s="138">
        <f>+M39+N39+O39-L39</f>
        <v>673234.14909278788</v>
      </c>
      <c r="Q39" s="118">
        <f t="shared" ref="Q39:Q77" si="5">AD39*B39</f>
        <v>832200</v>
      </c>
      <c r="R39" s="121">
        <f>((+B39*$Q$23)/$Q$25)+(C39*(100000/1000000)*($Q$24/1000))-(D39*(100000/1000000)*($Q$24/1000))</f>
        <v>3242.5880874569539</v>
      </c>
      <c r="S39" s="118">
        <f>IF(ISERROR(P39/R39),0,P39/R39)</f>
        <v>207.62247036464672</v>
      </c>
      <c r="T39" s="132">
        <f>M39+N39+O39-J39-K39</f>
        <v>749030.95</v>
      </c>
      <c r="V39" s="133">
        <f t="shared" ref="V39:V77" si="6">I39/($A$29+$A$30)</f>
        <v>9.1080029929358503E-3</v>
      </c>
      <c r="W39" s="134">
        <f t="shared" ref="W39:W77" si="7">+J39/($A$29+$A$30)</f>
        <v>0.01</v>
      </c>
      <c r="X39" s="135">
        <f>+$Q$31</f>
        <v>1.4999999999999999E-2</v>
      </c>
      <c r="Y39" s="133">
        <f>IF(AND($C$4=$E$4,A39=$C$4),$Q$18/(A29+A30),IF(A39=$C$4,$Q$18*(1+X39)^(A39-$E$4),0))</f>
        <v>1.2004325883201153E-4</v>
      </c>
      <c r="Z39" s="133">
        <f t="shared" ref="Z39:Z77" si="8">W39+V39+Y39</f>
        <v>1.9228046251767862E-2</v>
      </c>
      <c r="AA39" s="136">
        <f t="shared" ref="AA39:AA77" si="9">M39/($A$29+$A$30)</f>
        <v>0.1</v>
      </c>
      <c r="AB39" s="133">
        <f>+AA39-Z39</f>
        <v>8.077195374823215E-2</v>
      </c>
      <c r="AC39" s="135">
        <f t="shared" ref="AC39:AC77" si="10">+$Q$29</f>
        <v>1.4999999999999999E-2</v>
      </c>
      <c r="AD39" s="133">
        <f>IF(AND($C$4=$E$4,A39=$C$4),$L$30,IF(A39=$C$4,$L$30*(1+$Q$29)^(A39-$E$4),0))</f>
        <v>0.1</v>
      </c>
      <c r="AE39" s="217">
        <f>IF(AND($C$4=$E$4,A39=$C$4),$L$31,IF(A39=$C$4,$L$31*(1+$Q$31)^(A39-$E$4),0))</f>
        <v>1</v>
      </c>
      <c r="AF39" s="133">
        <f>AB39+AD39</f>
        <v>0.18077195374823216</v>
      </c>
      <c r="AG39" s="118">
        <f t="shared" ref="AG39:AG77" si="11">AF39*($A$29+$A$30)</f>
        <v>1504384.1990927879</v>
      </c>
      <c r="AH39" s="118"/>
      <c r="AI39" s="118"/>
    </row>
    <row r="40" spans="1:35" x14ac:dyDescent="0.35">
      <c r="A40" s="193">
        <f>A39+1</f>
        <v>2021</v>
      </c>
      <c r="B40" s="194">
        <f t="shared" si="1"/>
        <v>8322000</v>
      </c>
      <c r="C40" s="194">
        <f t="shared" ref="C40:C77" si="12">IF(A40&lt;$C$4,0,IF(A40-$C$4&lt;$A$17,$A$27,0))</f>
        <v>1000</v>
      </c>
      <c r="D40" s="194">
        <f t="shared" si="2"/>
        <v>999</v>
      </c>
      <c r="E40" s="195">
        <f t="shared" ref="E40:E77" si="13">IF(AND($C$4=$E$4,A40=$C$4),($A$15*$A$16)+$F$24,IF(A40&lt;$C$4,0,IF(A40=$C$4,(($A$15*$A$16)+$F$24)*(1+$L$26)^(A40-$E$4),0)))</f>
        <v>0</v>
      </c>
      <c r="F40" s="195">
        <f t="shared" si="3"/>
        <v>0</v>
      </c>
      <c r="G40" s="195">
        <f t="shared" ref="G40:G77" si="14">IF(ISNUMBER(E40),F40+E40,0)</f>
        <v>0</v>
      </c>
      <c r="H40" s="195">
        <f>IF(G40&gt;0,G40-F32,0)</f>
        <v>0</v>
      </c>
      <c r="I40" s="195">
        <f t="shared" ref="I40:I77" si="15">IF($L$23="Cash",0,IF(AND(I39&gt;0,B40&gt;0),I39,PMT($L$24,$A$17,-H40*(1+$L$25))))</f>
        <v>75796.800907212149</v>
      </c>
      <c r="J40" s="196">
        <f t="shared" ref="J40:J77" si="16">IF(AND($C$4=$E$4,A40=$C$4),($F$15*$L$29)+($F$16*($A$29+$A$30)),IF(A40=$C$4,(($F$15*$L$29)+($F$16*($A$29+$A$30)))*(1+$L$26)^(A40-$E$4),IF(AND(A40&gt;$C$4,B40&gt;0,J39&gt;0),J39*(1+$L$26),0)))</f>
        <v>84884.400000000009</v>
      </c>
      <c r="K40" s="196">
        <f t="shared" ref="K40:K77" si="17">IF(AND($C$4=$E$4,A40=$C$4),+$Q$18*$A$25,IF(A40=$C$4,(($Q$18*$A$25)*(1+$Q$31)^(A40-$E$4)),IF(AND(A40&gt;$C$4,B40&gt;0),K39*(1+$Q$31),0)))</f>
        <v>963.28574999999989</v>
      </c>
      <c r="L40" s="195">
        <f t="shared" ref="L40:L77" si="18">IF($L$23="Cash",G40+J40+K40,I40+J40+K40)</f>
        <v>161644.48665721217</v>
      </c>
      <c r="M40" s="131">
        <f t="shared" ref="M40:M77" si="19">IF(B40&gt;0,(+AD40*B40)+($F$32*$A$33),0)</f>
        <v>844683</v>
      </c>
      <c r="N40" s="131">
        <f t="shared" ref="N40:N77" si="20">IF(C40&gt;0,(+AE40*C40),0)</f>
        <v>1014.9999999999999</v>
      </c>
      <c r="O40" s="131">
        <f t="shared" si="4"/>
        <v>0</v>
      </c>
      <c r="P40" s="138">
        <f>+M40+N40+O40-L40</f>
        <v>684053.51334278786</v>
      </c>
      <c r="Q40" s="118">
        <f t="shared" si="5"/>
        <v>844683</v>
      </c>
      <c r="R40" s="121">
        <f t="shared" ref="R40:R77" si="21">((+B40*$Q$23)/$Q$25)+(C40*(100000/1000000)*($Q$24/1000))-(D40*(100000/1000000)*($Q$24/1000))</f>
        <v>3242.5880874569539</v>
      </c>
      <c r="S40" s="118">
        <f t="shared" ref="S40:S77" si="22">IF(ISERROR(P40/R40),0,P40/R40)</f>
        <v>210.95911503186537</v>
      </c>
      <c r="T40" s="132">
        <f>M40+N40+O40-J40-K40</f>
        <v>759850.31424999994</v>
      </c>
      <c r="V40" s="133">
        <f t="shared" si="6"/>
        <v>9.1080029929358503E-3</v>
      </c>
      <c r="W40" s="134">
        <f t="shared" si="7"/>
        <v>1.0200000000000001E-2</v>
      </c>
      <c r="X40" s="135">
        <f t="shared" ref="X40:X77" si="23">+$Q$31</f>
        <v>1.4999999999999999E-2</v>
      </c>
      <c r="Y40" s="133">
        <f t="shared" ref="Y40:Y77" si="24">IF(AND($C$4=$E$4,A40=$C$4),$Q$18/($A$29+$A$30),IF(A40=$C$4,$Q$18*(1+X40)^(A40-$E$4),IF(AND(A40&gt;$C$4,B40&gt;0),Y39*(1+X40),0)))</f>
        <v>1.218439077144917E-4</v>
      </c>
      <c r="Z40" s="133">
        <f t="shared" si="8"/>
        <v>1.942984690065034E-2</v>
      </c>
      <c r="AA40" s="136">
        <f t="shared" si="9"/>
        <v>0.10150000000000001</v>
      </c>
      <c r="AB40" s="133">
        <f t="shared" ref="AB40:AB77" si="25">+AA40-Z40</f>
        <v>8.2070153099349674E-2</v>
      </c>
      <c r="AC40" s="135">
        <f t="shared" si="10"/>
        <v>1.4999999999999999E-2</v>
      </c>
      <c r="AD40" s="133">
        <f t="shared" ref="AD40:AD77" si="26">IF(AND($C$4=$E$4,A40=$C$4),$L$30,IF(A40=$C$4,$L$30*(1+AC40)^(A40-$E$4),IF(AND(A40&gt;$C$4,AD39&gt;0),AD39*(1+AC40),0)))</f>
        <v>0.10149999999999999</v>
      </c>
      <c r="AE40" s="217">
        <f>IF(AND($C$4=$E$4,A40=$C$4),$L$31,IF(A40=$C$4,$L$31*(1+AC40)^(A40-$E$4),IF(AND(A40&gt;$C$4,AE39&gt;0),AE39*(1+AC40),0)))</f>
        <v>1.0149999999999999</v>
      </c>
      <c r="AF40" s="133">
        <f t="shared" ref="AF40:AF77" si="27">AB40-AD40</f>
        <v>-1.9429846900650319E-2</v>
      </c>
      <c r="AG40" s="118">
        <f t="shared" si="11"/>
        <v>-161695.18590721194</v>
      </c>
      <c r="AH40" s="118"/>
      <c r="AI40" s="118"/>
    </row>
    <row r="41" spans="1:35" x14ac:dyDescent="0.35">
      <c r="A41" s="193">
        <f t="shared" ref="A41:A77" si="28">A40+1</f>
        <v>2022</v>
      </c>
      <c r="B41" s="194">
        <f t="shared" si="1"/>
        <v>8322000</v>
      </c>
      <c r="C41" s="194">
        <f>IF(A41&lt;$C$4,0,IF(A41-$C$4&lt;$A$17,$A$27,0))</f>
        <v>1000</v>
      </c>
      <c r="D41" s="194">
        <f t="shared" si="2"/>
        <v>999</v>
      </c>
      <c r="E41" s="195">
        <f t="shared" si="13"/>
        <v>0</v>
      </c>
      <c r="F41" s="195">
        <f t="shared" si="3"/>
        <v>0</v>
      </c>
      <c r="G41" s="195">
        <f t="shared" si="14"/>
        <v>0</v>
      </c>
      <c r="H41" s="195">
        <f>IF(G41&gt;0,G41-F33,0)</f>
        <v>0</v>
      </c>
      <c r="I41" s="195">
        <f t="shared" si="15"/>
        <v>75796.800907212149</v>
      </c>
      <c r="J41" s="196">
        <f t="shared" si="16"/>
        <v>86582.088000000003</v>
      </c>
      <c r="K41" s="196">
        <f t="shared" si="17"/>
        <v>977.73503624999978</v>
      </c>
      <c r="L41" s="195">
        <f t="shared" si="18"/>
        <v>163356.62394346215</v>
      </c>
      <c r="M41" s="131">
        <f t="shared" si="19"/>
        <v>857353.24499999988</v>
      </c>
      <c r="N41" s="131">
        <f t="shared" si="20"/>
        <v>1030.2249999999997</v>
      </c>
      <c r="O41" s="131">
        <f t="shared" si="4"/>
        <v>0</v>
      </c>
      <c r="P41" s="138">
        <f t="shared" ref="P41:P77" si="29">+M41+N41+O41-L41</f>
        <v>695026.8460565377</v>
      </c>
      <c r="Q41" s="118">
        <f t="shared" si="5"/>
        <v>857353.24499999988</v>
      </c>
      <c r="R41" s="121">
        <f t="shared" si="21"/>
        <v>3242.5880874569539</v>
      </c>
      <c r="S41" s="118">
        <f t="shared" si="22"/>
        <v>214.3432429006493</v>
      </c>
      <c r="T41" s="132">
        <f t="shared" ref="T41:T77" si="30">M41+N41+O41-J41-K41</f>
        <v>770823.6469637499</v>
      </c>
      <c r="V41" s="133">
        <f t="shared" si="6"/>
        <v>9.1080029929358503E-3</v>
      </c>
      <c r="W41" s="134">
        <f t="shared" si="7"/>
        <v>1.0404E-2</v>
      </c>
      <c r="X41" s="135">
        <f t="shared" si="23"/>
        <v>1.4999999999999999E-2</v>
      </c>
      <c r="Y41" s="133">
        <f t="shared" si="24"/>
        <v>1.2367156633020905E-4</v>
      </c>
      <c r="Z41" s="133">
        <f t="shared" si="8"/>
        <v>1.9635674559266063E-2</v>
      </c>
      <c r="AA41" s="136">
        <f t="shared" si="9"/>
        <v>0.10302249999999999</v>
      </c>
      <c r="AB41" s="133">
        <f t="shared" si="25"/>
        <v>8.3386825440733919E-2</v>
      </c>
      <c r="AC41" s="135">
        <f t="shared" si="10"/>
        <v>1.4999999999999999E-2</v>
      </c>
      <c r="AD41" s="133">
        <f t="shared" si="26"/>
        <v>0.10302249999999999</v>
      </c>
      <c r="AE41" s="217">
        <f t="shared" ref="AE41:AE77" si="31">IF(AND($C$4=$E$4,A41=$C$4),$L$31,IF(A41=$C$4,$L$31*(1+AC41)^(A41-$E$4),IF(AND(A41&gt;$C$4,AE40&gt;0),AE40*(1+AC41),0)))</f>
        <v>1.0302249999999997</v>
      </c>
      <c r="AF41" s="133">
        <f t="shared" si="27"/>
        <v>-1.963567455926607E-2</v>
      </c>
      <c r="AG41" s="118">
        <f t="shared" si="11"/>
        <v>-163408.08368221222</v>
      </c>
      <c r="AH41" s="118"/>
      <c r="AI41" s="118"/>
    </row>
    <row r="42" spans="1:35" x14ac:dyDescent="0.35">
      <c r="A42" s="193">
        <f t="shared" si="28"/>
        <v>2023</v>
      </c>
      <c r="B42" s="194">
        <f t="shared" si="1"/>
        <v>8322000</v>
      </c>
      <c r="C42" s="194">
        <f t="shared" si="12"/>
        <v>1000</v>
      </c>
      <c r="D42" s="194">
        <f t="shared" si="2"/>
        <v>999</v>
      </c>
      <c r="E42" s="195">
        <f t="shared" si="13"/>
        <v>0</v>
      </c>
      <c r="F42" s="195">
        <f t="shared" si="3"/>
        <v>0</v>
      </c>
      <c r="G42" s="195">
        <f t="shared" si="14"/>
        <v>0</v>
      </c>
      <c r="H42" s="195">
        <f>IF(G42&gt;0,G42-F34,0)</f>
        <v>0</v>
      </c>
      <c r="I42" s="195">
        <f t="shared" si="15"/>
        <v>75796.800907212149</v>
      </c>
      <c r="J42" s="196">
        <f t="shared" si="16"/>
        <v>88313.729760000002</v>
      </c>
      <c r="K42" s="196">
        <f t="shared" si="17"/>
        <v>992.4010617937497</v>
      </c>
      <c r="L42" s="195">
        <f t="shared" si="18"/>
        <v>165102.93172900591</v>
      </c>
      <c r="M42" s="131">
        <f t="shared" si="19"/>
        <v>870213.54367499985</v>
      </c>
      <c r="N42" s="131">
        <f t="shared" si="20"/>
        <v>1045.6783749999995</v>
      </c>
      <c r="O42" s="131">
        <f t="shared" si="4"/>
        <v>0</v>
      </c>
      <c r="P42" s="138">
        <f t="shared" si="29"/>
        <v>706156.29032099398</v>
      </c>
      <c r="Q42" s="118">
        <f t="shared" si="5"/>
        <v>870213.54367499985</v>
      </c>
      <c r="R42" s="121">
        <f t="shared" si="21"/>
        <v>3242.5880874569539</v>
      </c>
      <c r="S42" s="118">
        <f t="shared" si="22"/>
        <v>217.77551488965321</v>
      </c>
      <c r="T42" s="132">
        <f t="shared" si="30"/>
        <v>781953.09122820606</v>
      </c>
      <c r="V42" s="133">
        <f t="shared" si="6"/>
        <v>9.1080029929358503E-3</v>
      </c>
      <c r="W42" s="134">
        <f t="shared" si="7"/>
        <v>1.0612079999999999E-2</v>
      </c>
      <c r="X42" s="135">
        <f t="shared" si="23"/>
        <v>1.4999999999999999E-2</v>
      </c>
      <c r="Y42" s="133">
        <f t="shared" si="24"/>
        <v>1.2552663982516216E-4</v>
      </c>
      <c r="Z42" s="133">
        <f t="shared" si="8"/>
        <v>1.9845609632761014E-2</v>
      </c>
      <c r="AA42" s="136">
        <f t="shared" si="9"/>
        <v>0.10456783749999998</v>
      </c>
      <c r="AB42" s="133">
        <f t="shared" si="25"/>
        <v>8.4722227867238972E-2</v>
      </c>
      <c r="AC42" s="135">
        <f t="shared" si="10"/>
        <v>1.4999999999999999E-2</v>
      </c>
      <c r="AD42" s="133">
        <f t="shared" si="26"/>
        <v>0.10456783749999998</v>
      </c>
      <c r="AE42" s="217">
        <f t="shared" si="31"/>
        <v>1.0456783749999996</v>
      </c>
      <c r="AF42" s="133">
        <f t="shared" si="27"/>
        <v>-1.984560963276101E-2</v>
      </c>
      <c r="AG42" s="118">
        <f t="shared" si="11"/>
        <v>-165155.16336383714</v>
      </c>
      <c r="AH42" s="118"/>
      <c r="AI42" s="118"/>
    </row>
    <row r="43" spans="1:35" x14ac:dyDescent="0.35">
      <c r="A43" s="193">
        <f t="shared" si="28"/>
        <v>2024</v>
      </c>
      <c r="B43" s="194">
        <f t="shared" si="1"/>
        <v>8322000</v>
      </c>
      <c r="C43" s="194">
        <f t="shared" si="12"/>
        <v>1000</v>
      </c>
      <c r="D43" s="194">
        <f t="shared" si="2"/>
        <v>999</v>
      </c>
      <c r="E43" s="195">
        <f t="shared" si="13"/>
        <v>0</v>
      </c>
      <c r="F43" s="195">
        <f t="shared" si="3"/>
        <v>0</v>
      </c>
      <c r="G43" s="195">
        <f t="shared" si="14"/>
        <v>0</v>
      </c>
      <c r="H43" s="195">
        <f>IF(G43&gt;0,G43-F36,0)</f>
        <v>0</v>
      </c>
      <c r="I43" s="195">
        <f t="shared" si="15"/>
        <v>75796.800907212149</v>
      </c>
      <c r="J43" s="196">
        <f t="shared" si="16"/>
        <v>90080.004355199999</v>
      </c>
      <c r="K43" s="196">
        <f t="shared" si="17"/>
        <v>1007.2870777206558</v>
      </c>
      <c r="L43" s="195">
        <f t="shared" si="18"/>
        <v>166884.0923401328</v>
      </c>
      <c r="M43" s="131">
        <f t="shared" si="19"/>
        <v>883266.74683012487</v>
      </c>
      <c r="N43" s="131">
        <f t="shared" si="20"/>
        <v>1061.3635506249993</v>
      </c>
      <c r="O43" s="131">
        <f t="shared" si="4"/>
        <v>0</v>
      </c>
      <c r="P43" s="138">
        <f t="shared" si="29"/>
        <v>717444.01804061711</v>
      </c>
      <c r="Q43" s="118">
        <f t="shared" si="5"/>
        <v>883266.74683012487</v>
      </c>
      <c r="R43" s="121">
        <f t="shared" si="21"/>
        <v>3242.5880874569539</v>
      </c>
      <c r="S43" s="118">
        <f t="shared" si="22"/>
        <v>221.25660080472412</v>
      </c>
      <c r="T43" s="132">
        <f t="shared" si="30"/>
        <v>793240.81894782931</v>
      </c>
      <c r="V43" s="133">
        <f t="shared" si="6"/>
        <v>9.1080029929358503E-3</v>
      </c>
      <c r="W43" s="134">
        <f t="shared" si="7"/>
        <v>1.0824321600000001E-2</v>
      </c>
      <c r="X43" s="135">
        <f t="shared" si="23"/>
        <v>1.4999999999999999E-2</v>
      </c>
      <c r="Y43" s="133">
        <f t="shared" si="24"/>
        <v>1.2740953942253958E-4</v>
      </c>
      <c r="Z43" s="133">
        <f t="shared" si="8"/>
        <v>2.0059734132358391E-2</v>
      </c>
      <c r="AA43" s="136">
        <f t="shared" si="9"/>
        <v>0.10613635506249998</v>
      </c>
      <c r="AB43" s="133">
        <f t="shared" si="25"/>
        <v>8.6076620930141595E-2</v>
      </c>
      <c r="AC43" s="135">
        <f t="shared" si="10"/>
        <v>1.4999999999999999E-2</v>
      </c>
      <c r="AD43" s="133">
        <f t="shared" si="26"/>
        <v>0.10613635506249998</v>
      </c>
      <c r="AE43" s="217">
        <f t="shared" si="31"/>
        <v>1.0613635506249994</v>
      </c>
      <c r="AF43" s="133">
        <f t="shared" si="27"/>
        <v>-2.0059734132358384E-2</v>
      </c>
      <c r="AG43" s="118">
        <f t="shared" si="11"/>
        <v>-166937.10744948647</v>
      </c>
      <c r="AH43" s="118"/>
      <c r="AI43" s="118"/>
    </row>
    <row r="44" spans="1:35" x14ac:dyDescent="0.35">
      <c r="A44" s="193">
        <f t="shared" si="28"/>
        <v>2025</v>
      </c>
      <c r="B44" s="194">
        <f t="shared" si="1"/>
        <v>8322000</v>
      </c>
      <c r="C44" s="194">
        <f t="shared" si="12"/>
        <v>1000</v>
      </c>
      <c r="D44" s="194">
        <f t="shared" si="2"/>
        <v>999</v>
      </c>
      <c r="E44" s="195">
        <f t="shared" si="13"/>
        <v>0</v>
      </c>
      <c r="F44" s="195">
        <f t="shared" si="3"/>
        <v>0</v>
      </c>
      <c r="G44" s="195">
        <f t="shared" si="14"/>
        <v>0</v>
      </c>
      <c r="H44" s="195">
        <f t="shared" ref="H44:H77" si="32">IF(G44&gt;0,G44-G37,0)</f>
        <v>0</v>
      </c>
      <c r="I44" s="195">
        <f t="shared" si="15"/>
        <v>75796.800907212149</v>
      </c>
      <c r="J44" s="196">
        <f t="shared" si="16"/>
        <v>91881.604442304</v>
      </c>
      <c r="K44" s="196">
        <f t="shared" si="17"/>
        <v>1022.3963838864655</v>
      </c>
      <c r="L44" s="195">
        <f t="shared" si="18"/>
        <v>168700.80173340259</v>
      </c>
      <c r="M44" s="131">
        <f t="shared" si="19"/>
        <v>896515.74803257664</v>
      </c>
      <c r="N44" s="131">
        <f t="shared" si="20"/>
        <v>1077.2840038843742</v>
      </c>
      <c r="O44" s="131">
        <f t="shared" si="4"/>
        <v>0</v>
      </c>
      <c r="P44" s="138">
        <f t="shared" si="29"/>
        <v>728892.2303030584</v>
      </c>
      <c r="Q44" s="118">
        <f t="shared" si="5"/>
        <v>896515.74803257664</v>
      </c>
      <c r="R44" s="121">
        <f t="shared" si="21"/>
        <v>3242.5880874569539</v>
      </c>
      <c r="S44" s="118">
        <f t="shared" si="22"/>
        <v>224.78717945167762</v>
      </c>
      <c r="T44" s="132">
        <f t="shared" si="30"/>
        <v>804689.03121027059</v>
      </c>
      <c r="V44" s="133">
        <f t="shared" si="6"/>
        <v>9.1080029929358503E-3</v>
      </c>
      <c r="W44" s="134">
        <f t="shared" si="7"/>
        <v>1.1040808032000001E-2</v>
      </c>
      <c r="X44" s="135">
        <f t="shared" si="23"/>
        <v>1.4999999999999999E-2</v>
      </c>
      <c r="Y44" s="133">
        <f t="shared" si="24"/>
        <v>1.2932068251387765E-4</v>
      </c>
      <c r="Z44" s="133">
        <f t="shared" si="8"/>
        <v>2.0278131707449729E-2</v>
      </c>
      <c r="AA44" s="136">
        <f t="shared" si="9"/>
        <v>0.10772840038843746</v>
      </c>
      <c r="AB44" s="133">
        <f t="shared" si="25"/>
        <v>8.7450268680987736E-2</v>
      </c>
      <c r="AC44" s="135">
        <f t="shared" si="10"/>
        <v>1.4999999999999999E-2</v>
      </c>
      <c r="AD44" s="133">
        <f t="shared" si="26"/>
        <v>0.10772840038843746</v>
      </c>
      <c r="AE44" s="217">
        <f t="shared" si="31"/>
        <v>1.0772840038843743</v>
      </c>
      <c r="AF44" s="133">
        <f t="shared" si="27"/>
        <v>-2.0278131707449729E-2</v>
      </c>
      <c r="AG44" s="118">
        <f t="shared" si="11"/>
        <v>-168754.61206939665</v>
      </c>
      <c r="AH44" s="118"/>
      <c r="AI44" s="118"/>
    </row>
    <row r="45" spans="1:35" x14ac:dyDescent="0.35">
      <c r="A45" s="193">
        <f t="shared" si="28"/>
        <v>2026</v>
      </c>
      <c r="B45" s="194">
        <f t="shared" si="1"/>
        <v>8322000</v>
      </c>
      <c r="C45" s="194">
        <f>IF(A45&lt;$C$4,0,IF(A45-$C$4&lt;$A$17,$A$27,0))</f>
        <v>1000</v>
      </c>
      <c r="D45" s="194">
        <f t="shared" si="2"/>
        <v>999</v>
      </c>
      <c r="E45" s="195">
        <f t="shared" si="13"/>
        <v>0</v>
      </c>
      <c r="F45" s="195">
        <f t="shared" si="3"/>
        <v>0</v>
      </c>
      <c r="G45" s="195">
        <f t="shared" si="14"/>
        <v>0</v>
      </c>
      <c r="H45" s="195">
        <f t="shared" si="32"/>
        <v>0</v>
      </c>
      <c r="I45" s="195">
        <f t="shared" si="15"/>
        <v>75796.800907212149</v>
      </c>
      <c r="J45" s="196">
        <f t="shared" si="16"/>
        <v>93719.236531150076</v>
      </c>
      <c r="K45" s="196">
        <f t="shared" si="17"/>
        <v>1037.7323296447623</v>
      </c>
      <c r="L45" s="195">
        <f t="shared" si="18"/>
        <v>170553.76976800698</v>
      </c>
      <c r="M45" s="131">
        <f t="shared" si="19"/>
        <v>909963.48425306519</v>
      </c>
      <c r="N45" s="131">
        <f t="shared" si="20"/>
        <v>1093.4432639426398</v>
      </c>
      <c r="O45" s="131">
        <f t="shared" si="4"/>
        <v>0</v>
      </c>
      <c r="P45" s="138">
        <f>+M45+N45+O45-L45</f>
        <v>740503.15774900082</v>
      </c>
      <c r="Q45" s="118">
        <f t="shared" si="5"/>
        <v>909963.48425306519</v>
      </c>
      <c r="R45" s="121">
        <f t="shared" si="21"/>
        <v>3242.5880874569539</v>
      </c>
      <c r="S45" s="118">
        <f t="shared" si="22"/>
        <v>228.36793875035514</v>
      </c>
      <c r="T45" s="132">
        <f t="shared" si="30"/>
        <v>816299.95865621301</v>
      </c>
      <c r="V45" s="133">
        <f t="shared" si="6"/>
        <v>9.1080029929358503E-3</v>
      </c>
      <c r="W45" s="134">
        <f t="shared" si="7"/>
        <v>1.1261624192639999E-2</v>
      </c>
      <c r="X45" s="135">
        <f t="shared" si="23"/>
        <v>1.4999999999999999E-2</v>
      </c>
      <c r="Y45" s="133">
        <f t="shared" si="24"/>
        <v>1.312604927515858E-4</v>
      </c>
      <c r="Z45" s="133">
        <f t="shared" si="8"/>
        <v>2.0500887678327435E-2</v>
      </c>
      <c r="AA45" s="136">
        <f t="shared" si="9"/>
        <v>0.10934432639426402</v>
      </c>
      <c r="AB45" s="133">
        <f t="shared" si="25"/>
        <v>8.8843438715936585E-2</v>
      </c>
      <c r="AC45" s="135">
        <f t="shared" si="10"/>
        <v>1.4999999999999999E-2</v>
      </c>
      <c r="AD45" s="133">
        <f t="shared" si="26"/>
        <v>0.10934432639426402</v>
      </c>
      <c r="AE45" s="217">
        <f t="shared" si="31"/>
        <v>1.0934432639426397</v>
      </c>
      <c r="AF45" s="133">
        <f t="shared" si="27"/>
        <v>-2.0500887678327431E-2</v>
      </c>
      <c r="AG45" s="118">
        <f t="shared" si="11"/>
        <v>-170608.38725904087</v>
      </c>
      <c r="AH45" s="118"/>
      <c r="AI45" s="118"/>
    </row>
    <row r="46" spans="1:35" x14ac:dyDescent="0.35">
      <c r="A46" s="193">
        <f t="shared" si="28"/>
        <v>2027</v>
      </c>
      <c r="B46" s="194">
        <f t="shared" si="1"/>
        <v>8322000</v>
      </c>
      <c r="C46" s="194">
        <f t="shared" si="12"/>
        <v>1000</v>
      </c>
      <c r="D46" s="194">
        <f t="shared" si="2"/>
        <v>999</v>
      </c>
      <c r="E46" s="195">
        <f t="shared" si="13"/>
        <v>0</v>
      </c>
      <c r="F46" s="195">
        <f t="shared" si="3"/>
        <v>0</v>
      </c>
      <c r="G46" s="195">
        <f t="shared" si="14"/>
        <v>0</v>
      </c>
      <c r="H46" s="195">
        <f t="shared" si="32"/>
        <v>0</v>
      </c>
      <c r="I46" s="195">
        <f t="shared" si="15"/>
        <v>75796.800907212149</v>
      </c>
      <c r="J46" s="196">
        <f t="shared" si="16"/>
        <v>95593.621261773078</v>
      </c>
      <c r="K46" s="196">
        <f t="shared" si="17"/>
        <v>1053.2983145894336</v>
      </c>
      <c r="L46" s="195">
        <f t="shared" si="18"/>
        <v>172443.72048357467</v>
      </c>
      <c r="M46" s="131">
        <f t="shared" si="19"/>
        <v>923612.93651686108</v>
      </c>
      <c r="N46" s="131">
        <f t="shared" si="20"/>
        <v>1109.844912901779</v>
      </c>
      <c r="O46" s="131">
        <f t="shared" si="4"/>
        <v>0</v>
      </c>
      <c r="P46" s="138">
        <f t="shared" si="29"/>
        <v>752279.06094618817</v>
      </c>
      <c r="Q46" s="118">
        <f t="shared" si="5"/>
        <v>923612.93651686108</v>
      </c>
      <c r="R46" s="121">
        <f t="shared" si="21"/>
        <v>3242.5880874569539</v>
      </c>
      <c r="S46" s="118">
        <f t="shared" si="22"/>
        <v>231.9995758499729</v>
      </c>
      <c r="T46" s="132">
        <f t="shared" si="30"/>
        <v>828075.86185340036</v>
      </c>
      <c r="V46" s="133">
        <f t="shared" si="6"/>
        <v>9.1080029929358503E-3</v>
      </c>
      <c r="W46" s="134">
        <f t="shared" si="7"/>
        <v>1.1486856676492799E-2</v>
      </c>
      <c r="X46" s="135">
        <f t="shared" si="23"/>
        <v>1.4999999999999999E-2</v>
      </c>
      <c r="Y46" s="133">
        <f t="shared" si="24"/>
        <v>1.3322940014285958E-4</v>
      </c>
      <c r="Z46" s="133">
        <f t="shared" si="8"/>
        <v>2.072808906957151E-2</v>
      </c>
      <c r="AA46" s="136">
        <f t="shared" si="9"/>
        <v>0.11098449129017797</v>
      </c>
      <c r="AB46" s="133">
        <f t="shared" si="25"/>
        <v>9.0256402220606463E-2</v>
      </c>
      <c r="AC46" s="135">
        <f t="shared" si="10"/>
        <v>1.4999999999999999E-2</v>
      </c>
      <c r="AD46" s="133">
        <f t="shared" si="26"/>
        <v>0.11098449129017797</v>
      </c>
      <c r="AE46" s="217">
        <f t="shared" si="31"/>
        <v>1.1098449129017791</v>
      </c>
      <c r="AF46" s="133">
        <f t="shared" si="27"/>
        <v>-2.0728089069571506E-2</v>
      </c>
      <c r="AG46" s="118">
        <f t="shared" si="11"/>
        <v>-172499.15723697408</v>
      </c>
      <c r="AH46" s="118"/>
      <c r="AI46" s="118"/>
    </row>
    <row r="47" spans="1:35" x14ac:dyDescent="0.35">
      <c r="A47" s="193">
        <f t="shared" si="28"/>
        <v>2028</v>
      </c>
      <c r="B47" s="194">
        <f t="shared" si="1"/>
        <v>8322000</v>
      </c>
      <c r="C47" s="194">
        <f t="shared" si="12"/>
        <v>1000</v>
      </c>
      <c r="D47" s="194">
        <f t="shared" si="2"/>
        <v>999</v>
      </c>
      <c r="E47" s="195">
        <f t="shared" si="13"/>
        <v>0</v>
      </c>
      <c r="F47" s="195">
        <f t="shared" si="3"/>
        <v>0</v>
      </c>
      <c r="G47" s="195">
        <f t="shared" si="14"/>
        <v>0</v>
      </c>
      <c r="H47" s="195">
        <f t="shared" si="32"/>
        <v>0</v>
      </c>
      <c r="I47" s="195">
        <f t="shared" si="15"/>
        <v>75796.800907212149</v>
      </c>
      <c r="J47" s="196">
        <f t="shared" si="16"/>
        <v>97505.493687008537</v>
      </c>
      <c r="K47" s="196">
        <f t="shared" si="17"/>
        <v>1069.097789308275</v>
      </c>
      <c r="L47" s="195">
        <f t="shared" si="18"/>
        <v>174371.39238352899</v>
      </c>
      <c r="M47" s="131">
        <f t="shared" si="19"/>
        <v>937467.13056461385</v>
      </c>
      <c r="N47" s="131">
        <f t="shared" si="20"/>
        <v>1126.4925865953057</v>
      </c>
      <c r="O47" s="131">
        <f t="shared" si="4"/>
        <v>0</v>
      </c>
      <c r="P47" s="138">
        <f t="shared" si="29"/>
        <v>764222.23076768022</v>
      </c>
      <c r="Q47" s="118">
        <f t="shared" si="5"/>
        <v>937467.13056461385</v>
      </c>
      <c r="R47" s="121">
        <f t="shared" si="21"/>
        <v>3242.5880874569539</v>
      </c>
      <c r="S47" s="118">
        <f t="shared" si="22"/>
        <v>235.68279724577425</v>
      </c>
      <c r="T47" s="132">
        <f t="shared" si="30"/>
        <v>840019.03167489241</v>
      </c>
      <c r="V47" s="133">
        <f t="shared" si="6"/>
        <v>9.1080029929358503E-3</v>
      </c>
      <c r="W47" s="134">
        <f t="shared" si="7"/>
        <v>1.1716593810022656E-2</v>
      </c>
      <c r="X47" s="135">
        <f t="shared" si="23"/>
        <v>1.4999999999999999E-2</v>
      </c>
      <c r="Y47" s="133">
        <f t="shared" si="24"/>
        <v>1.3522784114500247E-4</v>
      </c>
      <c r="Z47" s="133">
        <f t="shared" si="8"/>
        <v>2.0959824644103509E-2</v>
      </c>
      <c r="AA47" s="136">
        <f t="shared" si="9"/>
        <v>0.11264925865953063</v>
      </c>
      <c r="AB47" s="133">
        <f t="shared" si="25"/>
        <v>9.1689434015427118E-2</v>
      </c>
      <c r="AC47" s="135">
        <f t="shared" si="10"/>
        <v>1.4999999999999999E-2</v>
      </c>
      <c r="AD47" s="133">
        <f t="shared" si="26"/>
        <v>0.11264925865953063</v>
      </c>
      <c r="AE47" s="217">
        <f t="shared" si="31"/>
        <v>1.1264925865953057</v>
      </c>
      <c r="AF47" s="133">
        <f t="shared" si="27"/>
        <v>-2.0959824644103509E-2</v>
      </c>
      <c r="AG47" s="118">
        <f t="shared" si="11"/>
        <v>-174427.6606882294</v>
      </c>
      <c r="AH47" s="118"/>
      <c r="AI47" s="118"/>
    </row>
    <row r="48" spans="1:35" x14ac:dyDescent="0.35">
      <c r="A48" s="193">
        <f t="shared" si="28"/>
        <v>2029</v>
      </c>
      <c r="B48" s="194">
        <f t="shared" si="1"/>
        <v>8322000</v>
      </c>
      <c r="C48" s="194">
        <f t="shared" si="12"/>
        <v>1000</v>
      </c>
      <c r="D48" s="194">
        <f t="shared" si="2"/>
        <v>999</v>
      </c>
      <c r="E48" s="195">
        <f t="shared" si="13"/>
        <v>0</v>
      </c>
      <c r="F48" s="195">
        <f t="shared" si="3"/>
        <v>0</v>
      </c>
      <c r="G48" s="195">
        <f t="shared" si="14"/>
        <v>0</v>
      </c>
      <c r="H48" s="195">
        <f t="shared" si="32"/>
        <v>0</v>
      </c>
      <c r="I48" s="195">
        <f t="shared" si="15"/>
        <v>75796.800907212149</v>
      </c>
      <c r="J48" s="196">
        <f t="shared" si="16"/>
        <v>99455.603560748714</v>
      </c>
      <c r="K48" s="196">
        <f t="shared" si="17"/>
        <v>1085.1342561478989</v>
      </c>
      <c r="L48" s="195">
        <f t="shared" si="18"/>
        <v>176337.53872410877</v>
      </c>
      <c r="M48" s="131">
        <f t="shared" si="19"/>
        <v>951529.13752308302</v>
      </c>
      <c r="N48" s="131">
        <f t="shared" si="20"/>
        <v>1143.3899753942351</v>
      </c>
      <c r="O48" s="131">
        <f t="shared" si="4"/>
        <v>0</v>
      </c>
      <c r="P48" s="138">
        <f t="shared" si="29"/>
        <v>776334.98877436854</v>
      </c>
      <c r="Q48" s="118">
        <f t="shared" si="5"/>
        <v>951529.13752308302</v>
      </c>
      <c r="R48" s="121">
        <f t="shared" si="21"/>
        <v>3242.5880874569539</v>
      </c>
      <c r="S48" s="118">
        <f t="shared" si="22"/>
        <v>239.41831889699574</v>
      </c>
      <c r="T48" s="132">
        <f t="shared" si="30"/>
        <v>852131.78968158062</v>
      </c>
      <c r="V48" s="133">
        <f t="shared" si="6"/>
        <v>9.1080029929358503E-3</v>
      </c>
      <c r="W48" s="134">
        <f t="shared" si="7"/>
        <v>1.1950925686223109E-2</v>
      </c>
      <c r="X48" s="135">
        <f t="shared" si="23"/>
        <v>1.4999999999999999E-2</v>
      </c>
      <c r="Y48" s="133">
        <f t="shared" si="24"/>
        <v>1.372562587621775E-4</v>
      </c>
      <c r="Z48" s="133">
        <f t="shared" si="8"/>
        <v>2.1196184937921136E-2</v>
      </c>
      <c r="AA48" s="136">
        <f t="shared" si="9"/>
        <v>0.11433899753942357</v>
      </c>
      <c r="AB48" s="133">
        <f t="shared" si="25"/>
        <v>9.3142812601502437E-2</v>
      </c>
      <c r="AC48" s="135">
        <f t="shared" si="10"/>
        <v>1.4999999999999999E-2</v>
      </c>
      <c r="AD48" s="133">
        <f t="shared" si="26"/>
        <v>0.11433899753942357</v>
      </c>
      <c r="AE48" s="217">
        <f t="shared" si="31"/>
        <v>1.1433899753942351</v>
      </c>
      <c r="AF48" s="133">
        <f t="shared" si="27"/>
        <v>-2.1196184937921136E-2</v>
      </c>
      <c r="AG48" s="118">
        <f t="shared" si="11"/>
        <v>-176394.6510533797</v>
      </c>
      <c r="AH48" s="118"/>
      <c r="AI48" s="118"/>
    </row>
    <row r="49" spans="1:35" x14ac:dyDescent="0.35">
      <c r="A49" s="193">
        <f t="shared" si="28"/>
        <v>2030</v>
      </c>
      <c r="B49" s="194">
        <f t="shared" si="1"/>
        <v>8322000</v>
      </c>
      <c r="C49" s="194">
        <f t="shared" si="12"/>
        <v>1000</v>
      </c>
      <c r="D49" s="194">
        <f t="shared" si="2"/>
        <v>999</v>
      </c>
      <c r="E49" s="195">
        <f t="shared" si="13"/>
        <v>0</v>
      </c>
      <c r="F49" s="195">
        <f t="shared" si="3"/>
        <v>0</v>
      </c>
      <c r="G49" s="195">
        <f t="shared" si="14"/>
        <v>0</v>
      </c>
      <c r="H49" s="195">
        <f t="shared" si="32"/>
        <v>0</v>
      </c>
      <c r="I49" s="195">
        <f t="shared" si="15"/>
        <v>75796.800907212149</v>
      </c>
      <c r="J49" s="196">
        <f t="shared" si="16"/>
        <v>101444.71563196369</v>
      </c>
      <c r="K49" s="196">
        <f t="shared" si="17"/>
        <v>1101.4112699901173</v>
      </c>
      <c r="L49" s="195">
        <f t="shared" si="18"/>
        <v>178342.92780916594</v>
      </c>
      <c r="M49" s="131">
        <f t="shared" si="19"/>
        <v>965802.07458592916</v>
      </c>
      <c r="N49" s="131">
        <f t="shared" si="20"/>
        <v>1160.5408250251485</v>
      </c>
      <c r="O49" s="131">
        <f t="shared" si="4"/>
        <v>0</v>
      </c>
      <c r="P49" s="138">
        <f t="shared" si="29"/>
        <v>788619.68760178844</v>
      </c>
      <c r="Q49" s="118">
        <f t="shared" si="5"/>
        <v>965802.07458592916</v>
      </c>
      <c r="R49" s="121">
        <f t="shared" si="21"/>
        <v>3242.5880874569539</v>
      </c>
      <c r="S49" s="118">
        <f t="shared" si="22"/>
        <v>243.20686634615831</v>
      </c>
      <c r="T49" s="132">
        <f t="shared" si="30"/>
        <v>864416.48850900051</v>
      </c>
      <c r="V49" s="133">
        <f t="shared" si="6"/>
        <v>9.1080029929358503E-3</v>
      </c>
      <c r="W49" s="134">
        <f t="shared" si="7"/>
        <v>1.218994419994757E-2</v>
      </c>
      <c r="X49" s="135">
        <f t="shared" si="23"/>
        <v>1.4999999999999999E-2</v>
      </c>
      <c r="Y49" s="133">
        <f t="shared" si="24"/>
        <v>1.3931510264361015E-4</v>
      </c>
      <c r="Z49" s="133">
        <f t="shared" si="8"/>
        <v>2.1437262295527032E-2</v>
      </c>
      <c r="AA49" s="136">
        <f t="shared" si="9"/>
        <v>0.11605408250251492</v>
      </c>
      <c r="AB49" s="133">
        <f t="shared" si="25"/>
        <v>9.4616820206987889E-2</v>
      </c>
      <c r="AC49" s="135">
        <f t="shared" si="10"/>
        <v>1.4999999999999999E-2</v>
      </c>
      <c r="AD49" s="133">
        <f t="shared" si="26"/>
        <v>0.11605408250251492</v>
      </c>
      <c r="AE49" s="217">
        <f t="shared" si="31"/>
        <v>1.1605408250251485</v>
      </c>
      <c r="AF49" s="133">
        <f t="shared" si="27"/>
        <v>-2.1437262295527032E-2</v>
      </c>
      <c r="AG49" s="118">
        <f t="shared" si="11"/>
        <v>-178400.89682337595</v>
      </c>
      <c r="AH49" s="118"/>
      <c r="AI49" s="118"/>
    </row>
    <row r="50" spans="1:35" x14ac:dyDescent="0.35">
      <c r="A50" s="193">
        <f t="shared" si="28"/>
        <v>2031</v>
      </c>
      <c r="B50" s="194">
        <f t="shared" si="1"/>
        <v>8322000</v>
      </c>
      <c r="C50" s="194">
        <f t="shared" si="12"/>
        <v>1000</v>
      </c>
      <c r="D50" s="194">
        <f t="shared" si="2"/>
        <v>999</v>
      </c>
      <c r="E50" s="195">
        <f t="shared" si="13"/>
        <v>0</v>
      </c>
      <c r="F50" s="195">
        <f t="shared" si="3"/>
        <v>0</v>
      </c>
      <c r="G50" s="195">
        <f t="shared" si="14"/>
        <v>0</v>
      </c>
      <c r="H50" s="195">
        <f t="shared" si="32"/>
        <v>0</v>
      </c>
      <c r="I50" s="195">
        <f t="shared" si="15"/>
        <v>75796.800907212149</v>
      </c>
      <c r="J50" s="196">
        <f t="shared" si="16"/>
        <v>103473.60994460295</v>
      </c>
      <c r="K50" s="196">
        <f t="shared" si="17"/>
        <v>1117.9324390399688</v>
      </c>
      <c r="L50" s="195">
        <f t="shared" si="18"/>
        <v>180388.34329085506</v>
      </c>
      <c r="M50" s="131">
        <f t="shared" si="19"/>
        <v>980289.10570471792</v>
      </c>
      <c r="N50" s="131">
        <f t="shared" si="20"/>
        <v>1177.9489374005257</v>
      </c>
      <c r="O50" s="131">
        <f t="shared" si="4"/>
        <v>0</v>
      </c>
      <c r="P50" s="138">
        <f t="shared" si="29"/>
        <v>801078.71135126334</v>
      </c>
      <c r="Q50" s="118">
        <f t="shared" si="5"/>
        <v>980289.10570471792</v>
      </c>
      <c r="R50" s="121">
        <f t="shared" si="21"/>
        <v>3242.5880874569539</v>
      </c>
      <c r="S50" s="118">
        <f t="shared" si="22"/>
        <v>247.04917483969442</v>
      </c>
      <c r="T50" s="132">
        <f t="shared" si="30"/>
        <v>876875.51225847553</v>
      </c>
      <c r="V50" s="133">
        <f t="shared" si="6"/>
        <v>9.1080029929358503E-3</v>
      </c>
      <c r="W50" s="134">
        <f t="shared" si="7"/>
        <v>1.2433743083946522E-2</v>
      </c>
      <c r="X50" s="135">
        <f t="shared" si="23"/>
        <v>1.4999999999999999E-2</v>
      </c>
      <c r="Y50" s="133">
        <f t="shared" si="24"/>
        <v>1.4140482918326429E-4</v>
      </c>
      <c r="Z50" s="133">
        <f t="shared" si="8"/>
        <v>2.1683150906065637E-2</v>
      </c>
      <c r="AA50" s="136">
        <f t="shared" si="9"/>
        <v>0.11779489374005263</v>
      </c>
      <c r="AB50" s="133">
        <f t="shared" si="25"/>
        <v>9.6111742833986991E-2</v>
      </c>
      <c r="AC50" s="135">
        <f t="shared" si="10"/>
        <v>1.4999999999999999E-2</v>
      </c>
      <c r="AD50" s="133">
        <f t="shared" si="26"/>
        <v>0.11779489374005263</v>
      </c>
      <c r="AE50" s="217">
        <f t="shared" si="31"/>
        <v>1.1779489374005256</v>
      </c>
      <c r="AF50" s="133">
        <f t="shared" si="27"/>
        <v>-2.1683150906065637E-2</v>
      </c>
      <c r="AG50" s="118">
        <f t="shared" si="11"/>
        <v>-180447.18184027824</v>
      </c>
      <c r="AH50" s="118"/>
      <c r="AI50" s="118"/>
    </row>
    <row r="51" spans="1:35" x14ac:dyDescent="0.35">
      <c r="A51" s="193">
        <f t="shared" si="28"/>
        <v>2032</v>
      </c>
      <c r="B51" s="194">
        <f t="shared" si="1"/>
        <v>8322000</v>
      </c>
      <c r="C51" s="194">
        <f t="shared" si="12"/>
        <v>1000</v>
      </c>
      <c r="D51" s="194">
        <f t="shared" si="2"/>
        <v>999</v>
      </c>
      <c r="E51" s="195">
        <f t="shared" si="13"/>
        <v>0</v>
      </c>
      <c r="F51" s="195">
        <f t="shared" si="3"/>
        <v>0</v>
      </c>
      <c r="G51" s="195">
        <f t="shared" si="14"/>
        <v>0</v>
      </c>
      <c r="H51" s="195">
        <f t="shared" si="32"/>
        <v>0</v>
      </c>
      <c r="I51" s="195">
        <f t="shared" si="15"/>
        <v>75796.800907212149</v>
      </c>
      <c r="J51" s="196">
        <f t="shared" si="16"/>
        <v>105543.08214349502</v>
      </c>
      <c r="K51" s="196">
        <f t="shared" si="17"/>
        <v>1134.7014256255682</v>
      </c>
      <c r="L51" s="195">
        <f t="shared" si="18"/>
        <v>182474.58447633273</v>
      </c>
      <c r="M51" s="131">
        <f t="shared" si="19"/>
        <v>994993.44229028863</v>
      </c>
      <c r="N51" s="131">
        <f t="shared" si="20"/>
        <v>1195.6181714615334</v>
      </c>
      <c r="O51" s="131">
        <f t="shared" si="4"/>
        <v>0</v>
      </c>
      <c r="P51" s="138">
        <f t="shared" si="29"/>
        <v>813714.47598541738</v>
      </c>
      <c r="Q51" s="118">
        <f t="shared" si="5"/>
        <v>994993.44229028863</v>
      </c>
      <c r="R51" s="121">
        <f t="shared" si="21"/>
        <v>3242.5880874569539</v>
      </c>
      <c r="S51" s="118">
        <f t="shared" si="22"/>
        <v>250.94598944992256</v>
      </c>
      <c r="T51" s="132">
        <f t="shared" si="30"/>
        <v>889511.27689262957</v>
      </c>
      <c r="V51" s="133">
        <f t="shared" si="6"/>
        <v>9.1080029929358503E-3</v>
      </c>
      <c r="W51" s="134">
        <f t="shared" si="7"/>
        <v>1.2682417945625453E-2</v>
      </c>
      <c r="X51" s="135">
        <f t="shared" si="23"/>
        <v>1.4999999999999999E-2</v>
      </c>
      <c r="Y51" s="133">
        <f t="shared" si="24"/>
        <v>1.4352590162101323E-4</v>
      </c>
      <c r="Z51" s="133">
        <f t="shared" si="8"/>
        <v>2.1933946840182315E-2</v>
      </c>
      <c r="AA51" s="136">
        <f t="shared" si="9"/>
        <v>0.11956181714615341</v>
      </c>
      <c r="AB51" s="133">
        <f t="shared" si="25"/>
        <v>9.7627870305971087E-2</v>
      </c>
      <c r="AC51" s="135">
        <f t="shared" si="10"/>
        <v>1.4999999999999999E-2</v>
      </c>
      <c r="AD51" s="133">
        <f t="shared" si="26"/>
        <v>0.11956181714615341</v>
      </c>
      <c r="AE51" s="217">
        <f t="shared" si="31"/>
        <v>1.1956181714615335</v>
      </c>
      <c r="AF51" s="133">
        <f t="shared" si="27"/>
        <v>-2.1933946840182322E-2</v>
      </c>
      <c r="AG51" s="118">
        <f t="shared" si="11"/>
        <v>-182534.30560399729</v>
      </c>
      <c r="AH51" s="118"/>
      <c r="AI51" s="118"/>
    </row>
    <row r="52" spans="1:35" x14ac:dyDescent="0.35">
      <c r="A52" s="193">
        <f t="shared" si="28"/>
        <v>2033</v>
      </c>
      <c r="B52" s="194">
        <f t="shared" si="1"/>
        <v>8322000</v>
      </c>
      <c r="C52" s="194">
        <f t="shared" si="12"/>
        <v>1000</v>
      </c>
      <c r="D52" s="194">
        <f t="shared" si="2"/>
        <v>999</v>
      </c>
      <c r="E52" s="195">
        <f t="shared" si="13"/>
        <v>0</v>
      </c>
      <c r="F52" s="195">
        <f t="shared" si="3"/>
        <v>0</v>
      </c>
      <c r="G52" s="195">
        <f t="shared" si="14"/>
        <v>0</v>
      </c>
      <c r="H52" s="195">
        <f t="shared" si="32"/>
        <v>0</v>
      </c>
      <c r="I52" s="195">
        <f t="shared" si="15"/>
        <v>75796.800907212149</v>
      </c>
      <c r="J52" s="196">
        <f t="shared" si="16"/>
        <v>107653.94378636492</v>
      </c>
      <c r="K52" s="196">
        <f t="shared" si="17"/>
        <v>1151.7219470099515</v>
      </c>
      <c r="L52" s="195">
        <f t="shared" si="18"/>
        <v>184602.46664058699</v>
      </c>
      <c r="M52" s="131">
        <f t="shared" si="19"/>
        <v>1009918.343924643</v>
      </c>
      <c r="N52" s="131">
        <f t="shared" si="20"/>
        <v>1213.5524440334564</v>
      </c>
      <c r="O52" s="131">
        <f t="shared" si="4"/>
        <v>0</v>
      </c>
      <c r="P52" s="138">
        <f t="shared" si="29"/>
        <v>826529.42972808948</v>
      </c>
      <c r="Q52" s="118">
        <f t="shared" si="5"/>
        <v>1009918.343924643</v>
      </c>
      <c r="R52" s="121">
        <f t="shared" si="21"/>
        <v>3242.5880874569539</v>
      </c>
      <c r="S52" s="118">
        <f t="shared" si="22"/>
        <v>254.89806519837893</v>
      </c>
      <c r="T52" s="132">
        <f t="shared" si="30"/>
        <v>902326.23063530168</v>
      </c>
      <c r="V52" s="133">
        <f t="shared" si="6"/>
        <v>9.1080029929358503E-3</v>
      </c>
      <c r="W52" s="134">
        <f t="shared" si="7"/>
        <v>1.2936066304537962E-2</v>
      </c>
      <c r="X52" s="135">
        <f t="shared" si="23"/>
        <v>1.4999999999999999E-2</v>
      </c>
      <c r="Y52" s="133">
        <f t="shared" si="24"/>
        <v>1.4567879014532842E-4</v>
      </c>
      <c r="Z52" s="133">
        <f t="shared" si="8"/>
        <v>2.218974808761914E-2</v>
      </c>
      <c r="AA52" s="136">
        <f t="shared" si="9"/>
        <v>0.12135524440334571</v>
      </c>
      <c r="AB52" s="133">
        <f t="shared" si="25"/>
        <v>9.9165496315726562E-2</v>
      </c>
      <c r="AC52" s="135">
        <f t="shared" si="10"/>
        <v>1.4999999999999999E-2</v>
      </c>
      <c r="AD52" s="133">
        <f t="shared" si="26"/>
        <v>0.12135524440334571</v>
      </c>
      <c r="AE52" s="217">
        <f t="shared" si="31"/>
        <v>1.2135524440334564</v>
      </c>
      <c r="AF52" s="133">
        <f t="shared" si="27"/>
        <v>-2.2189748087619143E-2</v>
      </c>
      <c r="AG52" s="118">
        <f t="shared" si="11"/>
        <v>-184663.08358516652</v>
      </c>
      <c r="AH52" s="118"/>
      <c r="AI52" s="118"/>
    </row>
    <row r="53" spans="1:35" x14ac:dyDescent="0.35">
      <c r="A53" s="193">
        <f t="shared" si="28"/>
        <v>2034</v>
      </c>
      <c r="B53" s="194">
        <f t="shared" si="1"/>
        <v>8322000</v>
      </c>
      <c r="C53" s="194">
        <f t="shared" si="12"/>
        <v>1000</v>
      </c>
      <c r="D53" s="194">
        <f t="shared" si="2"/>
        <v>999</v>
      </c>
      <c r="E53" s="195">
        <f t="shared" si="13"/>
        <v>0</v>
      </c>
      <c r="F53" s="195">
        <f t="shared" si="3"/>
        <v>0</v>
      </c>
      <c r="G53" s="195">
        <f t="shared" si="14"/>
        <v>0</v>
      </c>
      <c r="H53" s="195">
        <f t="shared" si="32"/>
        <v>0</v>
      </c>
      <c r="I53" s="195">
        <f t="shared" si="15"/>
        <v>75796.800907212149</v>
      </c>
      <c r="J53" s="196">
        <f t="shared" si="16"/>
        <v>109807.02266209222</v>
      </c>
      <c r="K53" s="196">
        <f t="shared" si="17"/>
        <v>1168.9977762151007</v>
      </c>
      <c r="L53" s="195">
        <f t="shared" si="18"/>
        <v>186772.82134551948</v>
      </c>
      <c r="M53" s="131">
        <f t="shared" si="19"/>
        <v>1025067.1190835125</v>
      </c>
      <c r="N53" s="131">
        <f t="shared" si="20"/>
        <v>1231.7557306939582</v>
      </c>
      <c r="O53" s="131">
        <f t="shared" si="4"/>
        <v>0</v>
      </c>
      <c r="P53" s="138">
        <f t="shared" si="29"/>
        <v>839526.05346868688</v>
      </c>
      <c r="Q53" s="118">
        <f t="shared" si="5"/>
        <v>1025067.1190835125</v>
      </c>
      <c r="R53" s="121">
        <f t="shared" si="21"/>
        <v>3242.5880874569539</v>
      </c>
      <c r="S53" s="118">
        <f t="shared" si="22"/>
        <v>258.9061671805182</v>
      </c>
      <c r="T53" s="132">
        <f t="shared" si="30"/>
        <v>915322.85437589907</v>
      </c>
      <c r="V53" s="133">
        <f t="shared" si="6"/>
        <v>9.1080029929358503E-3</v>
      </c>
      <c r="W53" s="134">
        <f t="shared" si="7"/>
        <v>1.3194787630628721E-2</v>
      </c>
      <c r="X53" s="135">
        <f t="shared" si="23"/>
        <v>1.4999999999999999E-2</v>
      </c>
      <c r="Y53" s="133">
        <f t="shared" si="24"/>
        <v>1.4786397199750834E-4</v>
      </c>
      <c r="Z53" s="133">
        <f t="shared" si="8"/>
        <v>2.2450654595562079E-2</v>
      </c>
      <c r="AA53" s="136">
        <f t="shared" si="9"/>
        <v>0.12317557306939587</v>
      </c>
      <c r="AB53" s="133">
        <f t="shared" si="25"/>
        <v>0.1007249184738338</v>
      </c>
      <c r="AC53" s="135">
        <f t="shared" si="10"/>
        <v>1.4999999999999999E-2</v>
      </c>
      <c r="AD53" s="133">
        <f t="shared" si="26"/>
        <v>0.12317557306939587</v>
      </c>
      <c r="AE53" s="217">
        <f t="shared" si="31"/>
        <v>1.2317557306939582</v>
      </c>
      <c r="AF53" s="133">
        <f t="shared" si="27"/>
        <v>-2.2450654595562072E-2</v>
      </c>
      <c r="AG53" s="118">
        <f t="shared" si="11"/>
        <v>-186834.34754426757</v>
      </c>
      <c r="AH53" s="118"/>
      <c r="AI53" s="118"/>
    </row>
    <row r="54" spans="1:35" x14ac:dyDescent="0.35">
      <c r="A54" s="193">
        <f t="shared" si="28"/>
        <v>2035</v>
      </c>
      <c r="B54" s="194">
        <f t="shared" si="1"/>
        <v>8322000</v>
      </c>
      <c r="C54" s="194">
        <f t="shared" si="12"/>
        <v>1000</v>
      </c>
      <c r="D54" s="194">
        <f t="shared" si="2"/>
        <v>999</v>
      </c>
      <c r="E54" s="195">
        <f t="shared" si="13"/>
        <v>0</v>
      </c>
      <c r="F54" s="195">
        <f t="shared" si="3"/>
        <v>0</v>
      </c>
      <c r="G54" s="195">
        <f t="shared" si="14"/>
        <v>0</v>
      </c>
      <c r="H54" s="195">
        <f t="shared" si="32"/>
        <v>0</v>
      </c>
      <c r="I54" s="195">
        <f t="shared" si="15"/>
        <v>75796.800907212149</v>
      </c>
      <c r="J54" s="196">
        <f t="shared" si="16"/>
        <v>112003.16311533407</v>
      </c>
      <c r="K54" s="196">
        <f t="shared" si="17"/>
        <v>1186.5327428583271</v>
      </c>
      <c r="L54" s="195">
        <f t="shared" si="18"/>
        <v>188986.49676540456</v>
      </c>
      <c r="M54" s="131">
        <f t="shared" si="19"/>
        <v>1040443.1258697649</v>
      </c>
      <c r="N54" s="131">
        <f t="shared" si="20"/>
        <v>1250.2320666543674</v>
      </c>
      <c r="O54" s="131">
        <f t="shared" si="4"/>
        <v>0</v>
      </c>
      <c r="P54" s="138">
        <f t="shared" si="29"/>
        <v>852706.86117101472</v>
      </c>
      <c r="Q54" s="118">
        <f t="shared" si="5"/>
        <v>1040443.1258697649</v>
      </c>
      <c r="R54" s="121">
        <f t="shared" si="21"/>
        <v>3242.5880874569539</v>
      </c>
      <c r="S54" s="118">
        <f t="shared" si="22"/>
        <v>262.97107069179492</v>
      </c>
      <c r="T54" s="132">
        <f t="shared" si="30"/>
        <v>928503.66207822692</v>
      </c>
      <c r="V54" s="133">
        <f t="shared" si="6"/>
        <v>9.1080029929358503E-3</v>
      </c>
      <c r="W54" s="134">
        <f t="shared" si="7"/>
        <v>1.3458683383241297E-2</v>
      </c>
      <c r="X54" s="135">
        <f t="shared" si="23"/>
        <v>1.4999999999999999E-2</v>
      </c>
      <c r="Y54" s="133">
        <f t="shared" si="24"/>
        <v>1.5008193157747094E-4</v>
      </c>
      <c r="Z54" s="133">
        <f t="shared" si="8"/>
        <v>2.2716768307754619E-2</v>
      </c>
      <c r="AA54" s="136">
        <f t="shared" si="9"/>
        <v>0.12502320666543679</v>
      </c>
      <c r="AB54" s="133">
        <f t="shared" si="25"/>
        <v>0.10230643835768216</v>
      </c>
      <c r="AC54" s="135">
        <f t="shared" si="10"/>
        <v>1.4999999999999999E-2</v>
      </c>
      <c r="AD54" s="133">
        <f t="shared" si="26"/>
        <v>0.12502320666543679</v>
      </c>
      <c r="AE54" s="217">
        <f t="shared" si="31"/>
        <v>1.2502320666543674</v>
      </c>
      <c r="AF54" s="133">
        <f t="shared" si="27"/>
        <v>-2.2716768307754626E-2</v>
      </c>
      <c r="AG54" s="118">
        <f t="shared" si="11"/>
        <v>-189048.94585713401</v>
      </c>
      <c r="AH54" s="118"/>
      <c r="AI54" s="118"/>
    </row>
    <row r="55" spans="1:35" x14ac:dyDescent="0.35">
      <c r="A55" s="193">
        <f t="shared" si="28"/>
        <v>2036</v>
      </c>
      <c r="B55" s="194">
        <f t="shared" si="1"/>
        <v>8322000</v>
      </c>
      <c r="C55" s="194">
        <f t="shared" si="12"/>
        <v>1000</v>
      </c>
      <c r="D55" s="194">
        <f t="shared" si="2"/>
        <v>999</v>
      </c>
      <c r="E55" s="195">
        <f t="shared" si="13"/>
        <v>0</v>
      </c>
      <c r="F55" s="195">
        <f t="shared" si="3"/>
        <v>0</v>
      </c>
      <c r="G55" s="195">
        <f t="shared" si="14"/>
        <v>0</v>
      </c>
      <c r="H55" s="195">
        <f t="shared" si="32"/>
        <v>0</v>
      </c>
      <c r="I55" s="195">
        <f t="shared" si="15"/>
        <v>75796.800907212149</v>
      </c>
      <c r="J55" s="196">
        <f t="shared" si="16"/>
        <v>114243.22637764075</v>
      </c>
      <c r="K55" s="196">
        <f t="shared" si="17"/>
        <v>1204.3307340012018</v>
      </c>
      <c r="L55" s="195">
        <f t="shared" si="18"/>
        <v>191244.35801885411</v>
      </c>
      <c r="M55" s="131">
        <f t="shared" si="19"/>
        <v>1056049.7727578115</v>
      </c>
      <c r="N55" s="131">
        <f t="shared" si="20"/>
        <v>1268.9855476541827</v>
      </c>
      <c r="O55" s="131">
        <f t="shared" si="4"/>
        <v>0</v>
      </c>
      <c r="P55" s="138">
        <f t="shared" si="29"/>
        <v>866074.4002866114</v>
      </c>
      <c r="Q55" s="118">
        <f t="shared" si="5"/>
        <v>1056049.7727578115</v>
      </c>
      <c r="R55" s="121">
        <f t="shared" si="21"/>
        <v>3242.5880874569539</v>
      </c>
      <c r="S55" s="118">
        <f t="shared" si="22"/>
        <v>267.09356135513428</v>
      </c>
      <c r="T55" s="132">
        <f t="shared" si="30"/>
        <v>941871.2011938236</v>
      </c>
      <c r="V55" s="133">
        <f t="shared" si="6"/>
        <v>9.1080029929358503E-3</v>
      </c>
      <c r="W55" s="134">
        <f t="shared" si="7"/>
        <v>1.3727857050906123E-2</v>
      </c>
      <c r="X55" s="135">
        <f t="shared" si="23"/>
        <v>1.4999999999999999E-2</v>
      </c>
      <c r="Y55" s="133">
        <f t="shared" si="24"/>
        <v>1.5233316055113298E-4</v>
      </c>
      <c r="Z55" s="133">
        <f t="shared" si="8"/>
        <v>2.2988193204393104E-2</v>
      </c>
      <c r="AA55" s="136">
        <f t="shared" si="9"/>
        <v>0.12689855476541834</v>
      </c>
      <c r="AB55" s="133">
        <f t="shared" si="25"/>
        <v>0.10391036156102523</v>
      </c>
      <c r="AC55" s="135">
        <f t="shared" si="10"/>
        <v>1.4999999999999999E-2</v>
      </c>
      <c r="AD55" s="133">
        <f t="shared" si="26"/>
        <v>0.12689855476541834</v>
      </c>
      <c r="AE55" s="217">
        <f t="shared" si="31"/>
        <v>1.2689855476541827</v>
      </c>
      <c r="AF55" s="133">
        <f t="shared" si="27"/>
        <v>-2.2988193204393104E-2</v>
      </c>
      <c r="AG55" s="118">
        <f t="shared" si="11"/>
        <v>-191307.74384695941</v>
      </c>
      <c r="AH55" s="118"/>
      <c r="AI55" s="118"/>
    </row>
    <row r="56" spans="1:35" x14ac:dyDescent="0.35">
      <c r="A56" s="193">
        <f t="shared" si="28"/>
        <v>2037</v>
      </c>
      <c r="B56" s="194">
        <f t="shared" si="1"/>
        <v>8322000</v>
      </c>
      <c r="C56" s="194">
        <f t="shared" si="12"/>
        <v>1000</v>
      </c>
      <c r="D56" s="194">
        <f t="shared" si="2"/>
        <v>999</v>
      </c>
      <c r="E56" s="195">
        <f t="shared" si="13"/>
        <v>0</v>
      </c>
      <c r="F56" s="195">
        <f t="shared" si="3"/>
        <v>0</v>
      </c>
      <c r="G56" s="195">
        <f t="shared" si="14"/>
        <v>0</v>
      </c>
      <c r="H56" s="195">
        <f t="shared" si="32"/>
        <v>0</v>
      </c>
      <c r="I56" s="195">
        <f t="shared" si="15"/>
        <v>75796.800907212149</v>
      </c>
      <c r="J56" s="196">
        <f t="shared" si="16"/>
        <v>116528.09090519356</v>
      </c>
      <c r="K56" s="196">
        <f t="shared" si="17"/>
        <v>1222.3956950112197</v>
      </c>
      <c r="L56" s="195">
        <f t="shared" si="18"/>
        <v>193547.28750741694</v>
      </c>
      <c r="M56" s="131">
        <f t="shared" si="19"/>
        <v>1071890.5193491785</v>
      </c>
      <c r="N56" s="131">
        <f t="shared" si="20"/>
        <v>1288.0203308689952</v>
      </c>
      <c r="O56" s="131">
        <f t="shared" si="4"/>
        <v>0</v>
      </c>
      <c r="P56" s="138">
        <f t="shared" si="29"/>
        <v>879631.25217263051</v>
      </c>
      <c r="Q56" s="118">
        <f t="shared" si="5"/>
        <v>1071890.5193491785</v>
      </c>
      <c r="R56" s="121">
        <f t="shared" si="21"/>
        <v>3242.5880874569539</v>
      </c>
      <c r="S56" s="118">
        <f t="shared" si="22"/>
        <v>271.27443524980504</v>
      </c>
      <c r="T56" s="132">
        <f t="shared" si="30"/>
        <v>955428.05307984259</v>
      </c>
      <c r="V56" s="133">
        <f t="shared" si="6"/>
        <v>9.1080029929358503E-3</v>
      </c>
      <c r="W56" s="134">
        <f t="shared" si="7"/>
        <v>1.4002414191924243E-2</v>
      </c>
      <c r="X56" s="135">
        <f t="shared" si="23"/>
        <v>1.4999999999999999E-2</v>
      </c>
      <c r="Y56" s="133">
        <f t="shared" si="24"/>
        <v>1.5461815795939996E-4</v>
      </c>
      <c r="Z56" s="133">
        <f t="shared" si="8"/>
        <v>2.3265035342819495E-2</v>
      </c>
      <c r="AA56" s="136">
        <f t="shared" si="9"/>
        <v>0.12880203308689961</v>
      </c>
      <c r="AB56" s="133">
        <f t="shared" si="25"/>
        <v>0.10553699774408011</v>
      </c>
      <c r="AC56" s="135">
        <f t="shared" si="10"/>
        <v>1.4999999999999999E-2</v>
      </c>
      <c r="AD56" s="133">
        <f t="shared" si="26"/>
        <v>0.12880203308689961</v>
      </c>
      <c r="AE56" s="217">
        <f t="shared" si="31"/>
        <v>1.2880203308689953</v>
      </c>
      <c r="AF56" s="133">
        <f t="shared" si="27"/>
        <v>-2.3265035342819498E-2</v>
      </c>
      <c r="AG56" s="118">
        <f t="shared" si="11"/>
        <v>-193611.62412294387</v>
      </c>
      <c r="AH56" s="118"/>
      <c r="AI56" s="118"/>
    </row>
    <row r="57" spans="1:35" x14ac:dyDescent="0.35">
      <c r="A57" s="193">
        <f t="shared" si="28"/>
        <v>2038</v>
      </c>
      <c r="B57" s="194">
        <f t="shared" si="1"/>
        <v>8322000</v>
      </c>
      <c r="C57" s="194">
        <f t="shared" si="12"/>
        <v>1000</v>
      </c>
      <c r="D57" s="194">
        <f t="shared" si="2"/>
        <v>999</v>
      </c>
      <c r="E57" s="195">
        <f t="shared" si="13"/>
        <v>0</v>
      </c>
      <c r="F57" s="195">
        <f t="shared" si="3"/>
        <v>0</v>
      </c>
      <c r="G57" s="195">
        <f t="shared" si="14"/>
        <v>0</v>
      </c>
      <c r="H57" s="195">
        <f t="shared" si="32"/>
        <v>0</v>
      </c>
      <c r="I57" s="195">
        <f t="shared" si="15"/>
        <v>75796.800907212149</v>
      </c>
      <c r="J57" s="196">
        <f t="shared" si="16"/>
        <v>118858.65272329743</v>
      </c>
      <c r="K57" s="196">
        <f t="shared" si="17"/>
        <v>1240.7316304363878</v>
      </c>
      <c r="L57" s="195">
        <f t="shared" si="18"/>
        <v>195896.18526094596</v>
      </c>
      <c r="M57" s="131">
        <f t="shared" si="19"/>
        <v>1087968.8771394161</v>
      </c>
      <c r="N57" s="131">
        <f t="shared" si="20"/>
        <v>1307.3406358320301</v>
      </c>
      <c r="O57" s="131">
        <f t="shared" si="4"/>
        <v>0</v>
      </c>
      <c r="P57" s="138">
        <f t="shared" si="29"/>
        <v>893380.03251430206</v>
      </c>
      <c r="Q57" s="118">
        <f t="shared" si="5"/>
        <v>1087968.8771394161</v>
      </c>
      <c r="R57" s="121">
        <f t="shared" si="21"/>
        <v>3242.5880874569539</v>
      </c>
      <c r="S57" s="118">
        <f t="shared" si="22"/>
        <v>275.51449904170471</v>
      </c>
      <c r="T57" s="132">
        <f t="shared" si="30"/>
        <v>969176.83342151414</v>
      </c>
      <c r="V57" s="133">
        <f t="shared" si="6"/>
        <v>9.1080029929358503E-3</v>
      </c>
      <c r="W57" s="134">
        <f t="shared" si="7"/>
        <v>1.4282462475762729E-2</v>
      </c>
      <c r="X57" s="135">
        <f t="shared" si="23"/>
        <v>1.4999999999999999E-2</v>
      </c>
      <c r="Y57" s="133">
        <f t="shared" si="24"/>
        <v>1.5693743032879094E-4</v>
      </c>
      <c r="Z57" s="133">
        <f t="shared" si="8"/>
        <v>2.3547402899027368E-2</v>
      </c>
      <c r="AA57" s="136">
        <f t="shared" si="9"/>
        <v>0.13073406358320308</v>
      </c>
      <c r="AB57" s="133">
        <f t="shared" si="25"/>
        <v>0.10718666068417571</v>
      </c>
      <c r="AC57" s="135">
        <f t="shared" si="10"/>
        <v>1.4999999999999999E-2</v>
      </c>
      <c r="AD57" s="133">
        <f t="shared" si="26"/>
        <v>0.13073406358320308</v>
      </c>
      <c r="AE57" s="217">
        <f t="shared" si="31"/>
        <v>1.3073406358320301</v>
      </c>
      <c r="AF57" s="133">
        <f t="shared" si="27"/>
        <v>-2.3547402899027375E-2</v>
      </c>
      <c r="AG57" s="118">
        <f t="shared" si="11"/>
        <v>-195961.48692570583</v>
      </c>
      <c r="AH57" s="118"/>
      <c r="AI57" s="118"/>
    </row>
    <row r="58" spans="1:35" x14ac:dyDescent="0.35">
      <c r="A58" s="193">
        <f t="shared" si="28"/>
        <v>2039</v>
      </c>
      <c r="B58" s="194">
        <f t="shared" si="1"/>
        <v>8322000</v>
      </c>
      <c r="C58" s="194">
        <f t="shared" si="12"/>
        <v>1000</v>
      </c>
      <c r="D58" s="194">
        <f t="shared" si="2"/>
        <v>999</v>
      </c>
      <c r="E58" s="195">
        <f t="shared" si="13"/>
        <v>0</v>
      </c>
      <c r="F58" s="195">
        <f t="shared" si="3"/>
        <v>0</v>
      </c>
      <c r="G58" s="195">
        <f t="shared" si="14"/>
        <v>0</v>
      </c>
      <c r="H58" s="195">
        <f t="shared" si="32"/>
        <v>0</v>
      </c>
      <c r="I58" s="195">
        <f t="shared" si="15"/>
        <v>75796.800907212149</v>
      </c>
      <c r="J58" s="196">
        <f t="shared" si="16"/>
        <v>121235.82577776338</v>
      </c>
      <c r="K58" s="196">
        <f t="shared" si="17"/>
        <v>1259.3426048929334</v>
      </c>
      <c r="L58" s="195">
        <f t="shared" si="18"/>
        <v>198291.96928986846</v>
      </c>
      <c r="M58" s="131">
        <f t="shared" si="19"/>
        <v>1104288.4102965072</v>
      </c>
      <c r="N58" s="131">
        <f t="shared" si="20"/>
        <v>1326.9507453695105</v>
      </c>
      <c r="O58" s="131">
        <f t="shared" si="4"/>
        <v>0</v>
      </c>
      <c r="P58" s="138">
        <f t="shared" si="29"/>
        <v>907323.39175200823</v>
      </c>
      <c r="Q58" s="118">
        <f t="shared" si="5"/>
        <v>1104288.4102965072</v>
      </c>
      <c r="R58" s="121">
        <f t="shared" si="21"/>
        <v>3242.5880874569539</v>
      </c>
      <c r="S58" s="118">
        <f t="shared" si="22"/>
        <v>279.81457011506808</v>
      </c>
      <c r="T58" s="132">
        <f t="shared" si="30"/>
        <v>983120.19265922043</v>
      </c>
      <c r="V58" s="133">
        <f t="shared" si="6"/>
        <v>9.1080029929358503E-3</v>
      </c>
      <c r="W58" s="134">
        <f t="shared" si="7"/>
        <v>1.4568111725277983E-2</v>
      </c>
      <c r="X58" s="135">
        <f t="shared" si="23"/>
        <v>1.4999999999999999E-2</v>
      </c>
      <c r="Y58" s="133">
        <f t="shared" si="24"/>
        <v>1.5929149178372278E-4</v>
      </c>
      <c r="Z58" s="133">
        <f t="shared" si="8"/>
        <v>2.3835406209997557E-2</v>
      </c>
      <c r="AA58" s="136">
        <f t="shared" si="9"/>
        <v>0.13269507453695112</v>
      </c>
      <c r="AB58" s="133">
        <f t="shared" si="25"/>
        <v>0.10885966832695357</v>
      </c>
      <c r="AC58" s="135">
        <f t="shared" si="10"/>
        <v>1.4999999999999999E-2</v>
      </c>
      <c r="AD58" s="133">
        <f t="shared" si="26"/>
        <v>0.13269507453695112</v>
      </c>
      <c r="AE58" s="217">
        <f t="shared" si="31"/>
        <v>1.3269507453695104</v>
      </c>
      <c r="AF58" s="133">
        <f t="shared" si="27"/>
        <v>-2.3835406209997551E-2</v>
      </c>
      <c r="AG58" s="118">
        <f t="shared" si="11"/>
        <v>-198358.25047959961</v>
      </c>
      <c r="AH58" s="118"/>
      <c r="AI58" s="118"/>
    </row>
    <row r="59" spans="1:35" x14ac:dyDescent="0.35">
      <c r="A59" s="193">
        <f t="shared" si="28"/>
        <v>2040</v>
      </c>
      <c r="B59" s="194">
        <f t="shared" si="1"/>
        <v>0</v>
      </c>
      <c r="C59" s="194">
        <f t="shared" si="12"/>
        <v>0</v>
      </c>
      <c r="D59" s="194">
        <f t="shared" si="2"/>
        <v>0</v>
      </c>
      <c r="E59" s="195">
        <f t="shared" si="13"/>
        <v>0</v>
      </c>
      <c r="F59" s="195">
        <f t="shared" si="3"/>
        <v>0</v>
      </c>
      <c r="G59" s="195">
        <f t="shared" si="14"/>
        <v>0</v>
      </c>
      <c r="H59" s="195">
        <f t="shared" si="32"/>
        <v>0</v>
      </c>
      <c r="I59" s="195">
        <f t="shared" si="15"/>
        <v>0</v>
      </c>
      <c r="J59" s="196">
        <f t="shared" si="16"/>
        <v>0</v>
      </c>
      <c r="K59" s="196">
        <f t="shared" si="17"/>
        <v>0</v>
      </c>
      <c r="L59" s="195">
        <f t="shared" si="18"/>
        <v>0</v>
      </c>
      <c r="M59" s="131">
        <f t="shared" si="19"/>
        <v>0</v>
      </c>
      <c r="N59" s="131">
        <f t="shared" si="20"/>
        <v>0</v>
      </c>
      <c r="O59" s="131">
        <f t="shared" si="4"/>
        <v>0</v>
      </c>
      <c r="P59" s="138">
        <f t="shared" si="29"/>
        <v>0</v>
      </c>
      <c r="Q59" s="118">
        <f t="shared" si="5"/>
        <v>0</v>
      </c>
      <c r="R59" s="121">
        <f t="shared" si="21"/>
        <v>0</v>
      </c>
      <c r="S59" s="118">
        <f t="shared" si="22"/>
        <v>0</v>
      </c>
      <c r="T59" s="132">
        <f t="shared" si="30"/>
        <v>0</v>
      </c>
      <c r="V59" s="133">
        <f t="shared" si="6"/>
        <v>0</v>
      </c>
      <c r="W59" s="134">
        <f t="shared" si="7"/>
        <v>0</v>
      </c>
      <c r="X59" s="135">
        <f t="shared" si="23"/>
        <v>1.4999999999999999E-2</v>
      </c>
      <c r="Y59" s="133">
        <f t="shared" si="24"/>
        <v>0</v>
      </c>
      <c r="Z59" s="133">
        <f t="shared" si="8"/>
        <v>0</v>
      </c>
      <c r="AA59" s="136">
        <f t="shared" si="9"/>
        <v>0</v>
      </c>
      <c r="AB59" s="133">
        <f t="shared" si="25"/>
        <v>0</v>
      </c>
      <c r="AC59" s="135">
        <f t="shared" si="10"/>
        <v>1.4999999999999999E-2</v>
      </c>
      <c r="AD59" s="133">
        <f t="shared" si="26"/>
        <v>0.13468550065500537</v>
      </c>
      <c r="AE59" s="217">
        <f t="shared" si="31"/>
        <v>1.3468550065500529</v>
      </c>
      <c r="AF59" s="133">
        <f t="shared" si="27"/>
        <v>-0.13468550065500537</v>
      </c>
      <c r="AG59" s="118">
        <f t="shared" si="11"/>
        <v>-1120852.7364509546</v>
      </c>
      <c r="AH59" s="118"/>
      <c r="AI59" s="118"/>
    </row>
    <row r="60" spans="1:35" x14ac:dyDescent="0.35">
      <c r="A60" s="193">
        <f t="shared" si="28"/>
        <v>2041</v>
      </c>
      <c r="B60" s="194">
        <f t="shared" si="1"/>
        <v>0</v>
      </c>
      <c r="C60" s="194">
        <f t="shared" si="12"/>
        <v>0</v>
      </c>
      <c r="D60" s="194">
        <f t="shared" si="2"/>
        <v>0</v>
      </c>
      <c r="E60" s="195">
        <f t="shared" si="13"/>
        <v>0</v>
      </c>
      <c r="F60" s="195">
        <f t="shared" si="3"/>
        <v>0</v>
      </c>
      <c r="G60" s="195">
        <f t="shared" si="14"/>
        <v>0</v>
      </c>
      <c r="H60" s="195">
        <f t="shared" si="32"/>
        <v>0</v>
      </c>
      <c r="I60" s="195">
        <f t="shared" si="15"/>
        <v>0</v>
      </c>
      <c r="J60" s="196">
        <f t="shared" si="16"/>
        <v>0</v>
      </c>
      <c r="K60" s="196">
        <f t="shared" si="17"/>
        <v>0</v>
      </c>
      <c r="L60" s="195">
        <f t="shared" si="18"/>
        <v>0</v>
      </c>
      <c r="M60" s="131">
        <f t="shared" si="19"/>
        <v>0</v>
      </c>
      <c r="N60" s="131">
        <f t="shared" si="20"/>
        <v>0</v>
      </c>
      <c r="O60" s="131">
        <f t="shared" si="4"/>
        <v>0</v>
      </c>
      <c r="P60" s="138">
        <f t="shared" si="29"/>
        <v>0</v>
      </c>
      <c r="Q60" s="118">
        <f t="shared" si="5"/>
        <v>0</v>
      </c>
      <c r="R60" s="121">
        <f t="shared" si="21"/>
        <v>0</v>
      </c>
      <c r="S60" s="118">
        <f t="shared" si="22"/>
        <v>0</v>
      </c>
      <c r="T60" s="132">
        <f t="shared" si="30"/>
        <v>0</v>
      </c>
      <c r="V60" s="133">
        <f t="shared" si="6"/>
        <v>0</v>
      </c>
      <c r="W60" s="134">
        <f t="shared" si="7"/>
        <v>0</v>
      </c>
      <c r="X60" s="135">
        <f t="shared" si="23"/>
        <v>1.4999999999999999E-2</v>
      </c>
      <c r="Y60" s="133">
        <f t="shared" si="24"/>
        <v>0</v>
      </c>
      <c r="Z60" s="133">
        <f t="shared" si="8"/>
        <v>0</v>
      </c>
      <c r="AA60" s="136">
        <f t="shared" si="9"/>
        <v>0</v>
      </c>
      <c r="AB60" s="133">
        <f t="shared" si="25"/>
        <v>0</v>
      </c>
      <c r="AC60" s="135">
        <f t="shared" si="10"/>
        <v>1.4999999999999999E-2</v>
      </c>
      <c r="AD60" s="133">
        <f t="shared" si="26"/>
        <v>0.13670578316483042</v>
      </c>
      <c r="AE60" s="217">
        <f t="shared" si="31"/>
        <v>1.3670578316483035</v>
      </c>
      <c r="AF60" s="133">
        <f t="shared" si="27"/>
        <v>-0.13670578316483042</v>
      </c>
      <c r="AG60" s="118">
        <f t="shared" si="11"/>
        <v>-1137665.5274977188</v>
      </c>
      <c r="AH60" s="118"/>
      <c r="AI60" s="118"/>
    </row>
    <row r="61" spans="1:35" x14ac:dyDescent="0.35">
      <c r="A61" s="193">
        <f t="shared" si="28"/>
        <v>2042</v>
      </c>
      <c r="B61" s="194">
        <f t="shared" si="1"/>
        <v>0</v>
      </c>
      <c r="C61" s="194">
        <f t="shared" si="12"/>
        <v>0</v>
      </c>
      <c r="D61" s="194">
        <f t="shared" si="2"/>
        <v>0</v>
      </c>
      <c r="E61" s="195">
        <f t="shared" si="13"/>
        <v>0</v>
      </c>
      <c r="F61" s="195">
        <f t="shared" si="3"/>
        <v>0</v>
      </c>
      <c r="G61" s="195">
        <f t="shared" si="14"/>
        <v>0</v>
      </c>
      <c r="H61" s="195">
        <f t="shared" si="32"/>
        <v>0</v>
      </c>
      <c r="I61" s="195">
        <f t="shared" si="15"/>
        <v>0</v>
      </c>
      <c r="J61" s="196">
        <f t="shared" si="16"/>
        <v>0</v>
      </c>
      <c r="K61" s="196">
        <f t="shared" si="17"/>
        <v>0</v>
      </c>
      <c r="L61" s="195">
        <f t="shared" si="18"/>
        <v>0</v>
      </c>
      <c r="M61" s="131">
        <f t="shared" si="19"/>
        <v>0</v>
      </c>
      <c r="N61" s="131">
        <f t="shared" si="20"/>
        <v>0</v>
      </c>
      <c r="O61" s="131">
        <f t="shared" si="4"/>
        <v>0</v>
      </c>
      <c r="P61" s="138">
        <f t="shared" si="29"/>
        <v>0</v>
      </c>
      <c r="Q61" s="118">
        <f t="shared" si="5"/>
        <v>0</v>
      </c>
      <c r="R61" s="121">
        <f t="shared" si="21"/>
        <v>0</v>
      </c>
      <c r="S61" s="118">
        <f t="shared" si="22"/>
        <v>0</v>
      </c>
      <c r="T61" s="132">
        <f t="shared" si="30"/>
        <v>0</v>
      </c>
      <c r="V61" s="133">
        <f t="shared" si="6"/>
        <v>0</v>
      </c>
      <c r="W61" s="134">
        <f t="shared" si="7"/>
        <v>0</v>
      </c>
      <c r="X61" s="135">
        <f t="shared" si="23"/>
        <v>1.4999999999999999E-2</v>
      </c>
      <c r="Y61" s="133">
        <f t="shared" si="24"/>
        <v>0</v>
      </c>
      <c r="Z61" s="133">
        <f t="shared" si="8"/>
        <v>0</v>
      </c>
      <c r="AA61" s="136">
        <f t="shared" si="9"/>
        <v>0</v>
      </c>
      <c r="AB61" s="133">
        <f t="shared" si="25"/>
        <v>0</v>
      </c>
      <c r="AC61" s="135">
        <f t="shared" si="10"/>
        <v>1.4999999999999999E-2</v>
      </c>
      <c r="AD61" s="133">
        <f t="shared" si="26"/>
        <v>0.13875636991230286</v>
      </c>
      <c r="AE61" s="217">
        <f t="shared" si="31"/>
        <v>1.387563699123028</v>
      </c>
      <c r="AF61" s="133">
        <f t="shared" si="27"/>
        <v>-0.13875636991230286</v>
      </c>
      <c r="AG61" s="118">
        <f t="shared" si="11"/>
        <v>-1154730.5104101845</v>
      </c>
      <c r="AH61" s="118"/>
      <c r="AI61" s="118"/>
    </row>
    <row r="62" spans="1:35" x14ac:dyDescent="0.35">
      <c r="A62" s="193">
        <f t="shared" si="28"/>
        <v>2043</v>
      </c>
      <c r="B62" s="194">
        <f t="shared" si="1"/>
        <v>0</v>
      </c>
      <c r="C62" s="194">
        <f t="shared" si="12"/>
        <v>0</v>
      </c>
      <c r="D62" s="194">
        <f t="shared" si="2"/>
        <v>0</v>
      </c>
      <c r="E62" s="195">
        <f t="shared" si="13"/>
        <v>0</v>
      </c>
      <c r="F62" s="195">
        <f t="shared" si="3"/>
        <v>0</v>
      </c>
      <c r="G62" s="195">
        <f t="shared" si="14"/>
        <v>0</v>
      </c>
      <c r="H62" s="195">
        <f t="shared" si="32"/>
        <v>0</v>
      </c>
      <c r="I62" s="195">
        <f t="shared" si="15"/>
        <v>0</v>
      </c>
      <c r="J62" s="196">
        <f t="shared" si="16"/>
        <v>0</v>
      </c>
      <c r="K62" s="196">
        <f t="shared" si="17"/>
        <v>0</v>
      </c>
      <c r="L62" s="195">
        <f t="shared" si="18"/>
        <v>0</v>
      </c>
      <c r="M62" s="131">
        <f t="shared" si="19"/>
        <v>0</v>
      </c>
      <c r="N62" s="131">
        <f t="shared" si="20"/>
        <v>0</v>
      </c>
      <c r="O62" s="131">
        <f t="shared" si="4"/>
        <v>0</v>
      </c>
      <c r="P62" s="138">
        <f t="shared" si="29"/>
        <v>0</v>
      </c>
      <c r="Q62" s="118">
        <f t="shared" si="5"/>
        <v>0</v>
      </c>
      <c r="R62" s="121">
        <f t="shared" si="21"/>
        <v>0</v>
      </c>
      <c r="S62" s="118">
        <f t="shared" si="22"/>
        <v>0</v>
      </c>
      <c r="T62" s="132">
        <f t="shared" si="30"/>
        <v>0</v>
      </c>
      <c r="V62" s="133">
        <f t="shared" si="6"/>
        <v>0</v>
      </c>
      <c r="W62" s="134">
        <f t="shared" si="7"/>
        <v>0</v>
      </c>
      <c r="X62" s="135">
        <f t="shared" si="23"/>
        <v>1.4999999999999999E-2</v>
      </c>
      <c r="Y62" s="133">
        <f t="shared" si="24"/>
        <v>0</v>
      </c>
      <c r="Z62" s="133">
        <f t="shared" si="8"/>
        <v>0</v>
      </c>
      <c r="AA62" s="136">
        <f t="shared" si="9"/>
        <v>0</v>
      </c>
      <c r="AB62" s="133">
        <f t="shared" si="25"/>
        <v>0</v>
      </c>
      <c r="AC62" s="135">
        <f t="shared" si="10"/>
        <v>1.4999999999999999E-2</v>
      </c>
      <c r="AD62" s="133">
        <f t="shared" si="26"/>
        <v>0.14083771546098739</v>
      </c>
      <c r="AE62" s="217">
        <f t="shared" si="31"/>
        <v>1.4083771546098733</v>
      </c>
      <c r="AF62" s="133">
        <f t="shared" si="27"/>
        <v>-0.14083771546098739</v>
      </c>
      <c r="AG62" s="118">
        <f t="shared" si="11"/>
        <v>-1172051.4680663371</v>
      </c>
      <c r="AH62" s="118"/>
      <c r="AI62" s="118"/>
    </row>
    <row r="63" spans="1:35" x14ac:dyDescent="0.35">
      <c r="A63" s="193">
        <f t="shared" si="28"/>
        <v>2044</v>
      </c>
      <c r="B63" s="194">
        <f t="shared" si="1"/>
        <v>0</v>
      </c>
      <c r="C63" s="194">
        <f t="shared" si="12"/>
        <v>0</v>
      </c>
      <c r="D63" s="194">
        <f t="shared" si="2"/>
        <v>0</v>
      </c>
      <c r="E63" s="195">
        <f t="shared" si="13"/>
        <v>0</v>
      </c>
      <c r="F63" s="195">
        <f t="shared" si="3"/>
        <v>0</v>
      </c>
      <c r="G63" s="195">
        <f t="shared" si="14"/>
        <v>0</v>
      </c>
      <c r="H63" s="195">
        <f t="shared" si="32"/>
        <v>0</v>
      </c>
      <c r="I63" s="195">
        <f t="shared" si="15"/>
        <v>0</v>
      </c>
      <c r="J63" s="196">
        <f t="shared" si="16"/>
        <v>0</v>
      </c>
      <c r="K63" s="196">
        <f t="shared" si="17"/>
        <v>0</v>
      </c>
      <c r="L63" s="195">
        <f t="shared" si="18"/>
        <v>0</v>
      </c>
      <c r="M63" s="131">
        <f t="shared" si="19"/>
        <v>0</v>
      </c>
      <c r="N63" s="131">
        <f t="shared" si="20"/>
        <v>0</v>
      </c>
      <c r="O63" s="131">
        <f t="shared" si="4"/>
        <v>0</v>
      </c>
      <c r="P63" s="138">
        <f t="shared" si="29"/>
        <v>0</v>
      </c>
      <c r="Q63" s="118">
        <f t="shared" si="5"/>
        <v>0</v>
      </c>
      <c r="R63" s="121">
        <f t="shared" si="21"/>
        <v>0</v>
      </c>
      <c r="S63" s="118">
        <f t="shared" si="22"/>
        <v>0</v>
      </c>
      <c r="T63" s="132">
        <f t="shared" si="30"/>
        <v>0</v>
      </c>
      <c r="V63" s="133">
        <f t="shared" si="6"/>
        <v>0</v>
      </c>
      <c r="W63" s="134">
        <f t="shared" si="7"/>
        <v>0</v>
      </c>
      <c r="X63" s="135">
        <f t="shared" si="23"/>
        <v>1.4999999999999999E-2</v>
      </c>
      <c r="Y63" s="133">
        <f t="shared" si="24"/>
        <v>0</v>
      </c>
      <c r="Z63" s="133">
        <f t="shared" si="8"/>
        <v>0</v>
      </c>
      <c r="AA63" s="136">
        <f t="shared" si="9"/>
        <v>0</v>
      </c>
      <c r="AB63" s="133">
        <f t="shared" si="25"/>
        <v>0</v>
      </c>
      <c r="AC63" s="135">
        <f t="shared" si="10"/>
        <v>1.4999999999999999E-2</v>
      </c>
      <c r="AD63" s="133">
        <f t="shared" si="26"/>
        <v>0.14295028119290218</v>
      </c>
      <c r="AE63" s="217">
        <f t="shared" si="31"/>
        <v>1.4295028119290214</v>
      </c>
      <c r="AF63" s="133">
        <f t="shared" si="27"/>
        <v>-0.14295028119290218</v>
      </c>
      <c r="AG63" s="118">
        <f t="shared" si="11"/>
        <v>-1189632.240087332</v>
      </c>
      <c r="AH63" s="118"/>
      <c r="AI63" s="118"/>
    </row>
    <row r="64" spans="1:35" x14ac:dyDescent="0.35">
      <c r="A64" s="193">
        <f t="shared" si="28"/>
        <v>2045</v>
      </c>
      <c r="B64" s="194">
        <f t="shared" si="1"/>
        <v>0</v>
      </c>
      <c r="C64" s="194">
        <f t="shared" si="12"/>
        <v>0</v>
      </c>
      <c r="D64" s="194">
        <f t="shared" si="2"/>
        <v>0</v>
      </c>
      <c r="E64" s="195">
        <f t="shared" si="13"/>
        <v>0</v>
      </c>
      <c r="F64" s="195">
        <f t="shared" si="3"/>
        <v>0</v>
      </c>
      <c r="G64" s="195">
        <f t="shared" si="14"/>
        <v>0</v>
      </c>
      <c r="H64" s="195">
        <f t="shared" si="32"/>
        <v>0</v>
      </c>
      <c r="I64" s="195">
        <f t="shared" si="15"/>
        <v>0</v>
      </c>
      <c r="J64" s="196">
        <f t="shared" si="16"/>
        <v>0</v>
      </c>
      <c r="K64" s="196">
        <f t="shared" si="17"/>
        <v>0</v>
      </c>
      <c r="L64" s="195">
        <f t="shared" si="18"/>
        <v>0</v>
      </c>
      <c r="M64" s="131">
        <f t="shared" si="19"/>
        <v>0</v>
      </c>
      <c r="N64" s="131">
        <f t="shared" si="20"/>
        <v>0</v>
      </c>
      <c r="O64" s="131">
        <f t="shared" si="4"/>
        <v>0</v>
      </c>
      <c r="P64" s="138">
        <f t="shared" si="29"/>
        <v>0</v>
      </c>
      <c r="Q64" s="118">
        <f t="shared" si="5"/>
        <v>0</v>
      </c>
      <c r="R64" s="121">
        <f t="shared" si="21"/>
        <v>0</v>
      </c>
      <c r="S64" s="118">
        <f t="shared" si="22"/>
        <v>0</v>
      </c>
      <c r="T64" s="132">
        <f t="shared" si="30"/>
        <v>0</v>
      </c>
      <c r="V64" s="133">
        <f t="shared" si="6"/>
        <v>0</v>
      </c>
      <c r="W64" s="134">
        <f t="shared" si="7"/>
        <v>0</v>
      </c>
      <c r="X64" s="135">
        <f t="shared" si="23"/>
        <v>1.4999999999999999E-2</v>
      </c>
      <c r="Y64" s="133">
        <f t="shared" si="24"/>
        <v>0</v>
      </c>
      <c r="Z64" s="133">
        <f t="shared" si="8"/>
        <v>0</v>
      </c>
      <c r="AA64" s="136">
        <f t="shared" si="9"/>
        <v>0</v>
      </c>
      <c r="AB64" s="133">
        <f t="shared" si="25"/>
        <v>0</v>
      </c>
      <c r="AC64" s="135">
        <f t="shared" si="10"/>
        <v>1.4999999999999999E-2</v>
      </c>
      <c r="AD64" s="133">
        <f t="shared" si="26"/>
        <v>0.1450945354107957</v>
      </c>
      <c r="AE64" s="217">
        <f t="shared" si="31"/>
        <v>1.4509453541079567</v>
      </c>
      <c r="AF64" s="133">
        <f t="shared" si="27"/>
        <v>-0.1450945354107957</v>
      </c>
      <c r="AG64" s="118">
        <f t="shared" si="11"/>
        <v>-1207476.7236886418</v>
      </c>
      <c r="AH64" s="118"/>
      <c r="AI64" s="118"/>
    </row>
    <row r="65" spans="1:35" x14ac:dyDescent="0.35">
      <c r="A65" s="193">
        <f t="shared" si="28"/>
        <v>2046</v>
      </c>
      <c r="B65" s="194">
        <f t="shared" si="1"/>
        <v>0</v>
      </c>
      <c r="C65" s="194">
        <f t="shared" si="12"/>
        <v>0</v>
      </c>
      <c r="D65" s="194">
        <f t="shared" si="2"/>
        <v>0</v>
      </c>
      <c r="E65" s="195">
        <f t="shared" si="13"/>
        <v>0</v>
      </c>
      <c r="F65" s="195">
        <f t="shared" si="3"/>
        <v>0</v>
      </c>
      <c r="G65" s="195">
        <f t="shared" si="14"/>
        <v>0</v>
      </c>
      <c r="H65" s="195">
        <f t="shared" si="32"/>
        <v>0</v>
      </c>
      <c r="I65" s="195">
        <f t="shared" si="15"/>
        <v>0</v>
      </c>
      <c r="J65" s="196">
        <f t="shared" si="16"/>
        <v>0</v>
      </c>
      <c r="K65" s="196">
        <f t="shared" si="17"/>
        <v>0</v>
      </c>
      <c r="L65" s="195">
        <f t="shared" si="18"/>
        <v>0</v>
      </c>
      <c r="M65" s="131">
        <f t="shared" si="19"/>
        <v>0</v>
      </c>
      <c r="N65" s="131">
        <f t="shared" si="20"/>
        <v>0</v>
      </c>
      <c r="O65" s="131">
        <f t="shared" si="4"/>
        <v>0</v>
      </c>
      <c r="P65" s="138">
        <f t="shared" si="29"/>
        <v>0</v>
      </c>
      <c r="Q65" s="118">
        <f t="shared" si="5"/>
        <v>0</v>
      </c>
      <c r="R65" s="121">
        <f t="shared" si="21"/>
        <v>0</v>
      </c>
      <c r="S65" s="118">
        <f t="shared" si="22"/>
        <v>0</v>
      </c>
      <c r="T65" s="132">
        <f t="shared" si="30"/>
        <v>0</v>
      </c>
      <c r="V65" s="133">
        <f t="shared" si="6"/>
        <v>0</v>
      </c>
      <c r="W65" s="134">
        <f t="shared" si="7"/>
        <v>0</v>
      </c>
      <c r="X65" s="135">
        <f t="shared" si="23"/>
        <v>1.4999999999999999E-2</v>
      </c>
      <c r="Y65" s="133">
        <f t="shared" si="24"/>
        <v>0</v>
      </c>
      <c r="Z65" s="133">
        <f t="shared" si="8"/>
        <v>0</v>
      </c>
      <c r="AA65" s="136">
        <f t="shared" si="9"/>
        <v>0</v>
      </c>
      <c r="AB65" s="133">
        <f t="shared" si="25"/>
        <v>0</v>
      </c>
      <c r="AC65" s="135">
        <f t="shared" si="10"/>
        <v>1.4999999999999999E-2</v>
      </c>
      <c r="AD65" s="133">
        <f t="shared" si="26"/>
        <v>0.14727095344195762</v>
      </c>
      <c r="AE65" s="217">
        <f t="shared" si="31"/>
        <v>1.472709534419576</v>
      </c>
      <c r="AF65" s="133">
        <f t="shared" si="27"/>
        <v>-0.14727095344195762</v>
      </c>
      <c r="AG65" s="118">
        <f t="shared" si="11"/>
        <v>-1225588.8745439714</v>
      </c>
      <c r="AH65" s="118"/>
      <c r="AI65" s="118"/>
    </row>
    <row r="66" spans="1:35" x14ac:dyDescent="0.35">
      <c r="A66" s="193">
        <f t="shared" si="28"/>
        <v>2047</v>
      </c>
      <c r="B66" s="194">
        <f t="shared" si="1"/>
        <v>0</v>
      </c>
      <c r="C66" s="194">
        <f t="shared" si="12"/>
        <v>0</v>
      </c>
      <c r="D66" s="194">
        <f t="shared" si="2"/>
        <v>0</v>
      </c>
      <c r="E66" s="195">
        <f t="shared" si="13"/>
        <v>0</v>
      </c>
      <c r="F66" s="195">
        <f t="shared" si="3"/>
        <v>0</v>
      </c>
      <c r="G66" s="195">
        <f t="shared" si="14"/>
        <v>0</v>
      </c>
      <c r="H66" s="195">
        <f t="shared" si="32"/>
        <v>0</v>
      </c>
      <c r="I66" s="195">
        <f t="shared" si="15"/>
        <v>0</v>
      </c>
      <c r="J66" s="196">
        <f t="shared" si="16"/>
        <v>0</v>
      </c>
      <c r="K66" s="196">
        <f t="shared" si="17"/>
        <v>0</v>
      </c>
      <c r="L66" s="195">
        <f t="shared" si="18"/>
        <v>0</v>
      </c>
      <c r="M66" s="131">
        <f t="shared" si="19"/>
        <v>0</v>
      </c>
      <c r="N66" s="131">
        <f t="shared" si="20"/>
        <v>0</v>
      </c>
      <c r="O66" s="131">
        <f t="shared" si="4"/>
        <v>0</v>
      </c>
      <c r="P66" s="138">
        <f t="shared" si="29"/>
        <v>0</v>
      </c>
      <c r="Q66" s="118">
        <f t="shared" si="5"/>
        <v>0</v>
      </c>
      <c r="R66" s="121">
        <f t="shared" si="21"/>
        <v>0</v>
      </c>
      <c r="S66" s="118">
        <f t="shared" si="22"/>
        <v>0</v>
      </c>
      <c r="T66" s="132">
        <f t="shared" si="30"/>
        <v>0</v>
      </c>
      <c r="V66" s="133">
        <f t="shared" si="6"/>
        <v>0</v>
      </c>
      <c r="W66" s="134">
        <f t="shared" si="7"/>
        <v>0</v>
      </c>
      <c r="X66" s="135">
        <f t="shared" si="23"/>
        <v>1.4999999999999999E-2</v>
      </c>
      <c r="Y66" s="133">
        <f t="shared" si="24"/>
        <v>0</v>
      </c>
      <c r="Z66" s="133">
        <f t="shared" si="8"/>
        <v>0</v>
      </c>
      <c r="AA66" s="136">
        <f t="shared" si="9"/>
        <v>0</v>
      </c>
      <c r="AB66" s="133">
        <f t="shared" si="25"/>
        <v>0</v>
      </c>
      <c r="AC66" s="135">
        <f t="shared" si="10"/>
        <v>1.4999999999999999E-2</v>
      </c>
      <c r="AD66" s="133">
        <f t="shared" si="26"/>
        <v>0.14948001774358696</v>
      </c>
      <c r="AE66" s="217">
        <f t="shared" si="31"/>
        <v>1.4948001774358695</v>
      </c>
      <c r="AF66" s="133">
        <f t="shared" si="27"/>
        <v>-0.14948001774358696</v>
      </c>
      <c r="AG66" s="118">
        <f t="shared" si="11"/>
        <v>-1243972.7076621307</v>
      </c>
      <c r="AH66" s="118"/>
      <c r="AI66" s="118"/>
    </row>
    <row r="67" spans="1:35" x14ac:dyDescent="0.35">
      <c r="A67" s="193">
        <f t="shared" si="28"/>
        <v>2048</v>
      </c>
      <c r="B67" s="194">
        <f t="shared" si="1"/>
        <v>0</v>
      </c>
      <c r="C67" s="194">
        <f t="shared" si="12"/>
        <v>0</v>
      </c>
      <c r="D67" s="194">
        <f t="shared" si="2"/>
        <v>0</v>
      </c>
      <c r="E67" s="195">
        <f t="shared" si="13"/>
        <v>0</v>
      </c>
      <c r="F67" s="195">
        <f t="shared" si="3"/>
        <v>0</v>
      </c>
      <c r="G67" s="195">
        <f t="shared" si="14"/>
        <v>0</v>
      </c>
      <c r="H67" s="195">
        <f t="shared" si="32"/>
        <v>0</v>
      </c>
      <c r="I67" s="195">
        <f t="shared" si="15"/>
        <v>0</v>
      </c>
      <c r="J67" s="196">
        <f t="shared" si="16"/>
        <v>0</v>
      </c>
      <c r="K67" s="196">
        <f t="shared" si="17"/>
        <v>0</v>
      </c>
      <c r="L67" s="195">
        <f t="shared" si="18"/>
        <v>0</v>
      </c>
      <c r="M67" s="131">
        <f t="shared" si="19"/>
        <v>0</v>
      </c>
      <c r="N67" s="131">
        <f t="shared" si="20"/>
        <v>0</v>
      </c>
      <c r="O67" s="131">
        <f t="shared" si="4"/>
        <v>0</v>
      </c>
      <c r="P67" s="138">
        <f t="shared" si="29"/>
        <v>0</v>
      </c>
      <c r="Q67" s="118">
        <f t="shared" si="5"/>
        <v>0</v>
      </c>
      <c r="R67" s="121">
        <f t="shared" si="21"/>
        <v>0</v>
      </c>
      <c r="S67" s="118">
        <f t="shared" si="22"/>
        <v>0</v>
      </c>
      <c r="T67" s="132">
        <f t="shared" si="30"/>
        <v>0</v>
      </c>
      <c r="V67" s="133">
        <f t="shared" si="6"/>
        <v>0</v>
      </c>
      <c r="W67" s="134">
        <f t="shared" si="7"/>
        <v>0</v>
      </c>
      <c r="X67" s="135">
        <f t="shared" si="23"/>
        <v>1.4999999999999999E-2</v>
      </c>
      <c r="Y67" s="133">
        <f t="shared" si="24"/>
        <v>0</v>
      </c>
      <c r="Z67" s="133">
        <f t="shared" si="8"/>
        <v>0</v>
      </c>
      <c r="AA67" s="136">
        <f t="shared" si="9"/>
        <v>0</v>
      </c>
      <c r="AB67" s="133">
        <f t="shared" si="25"/>
        <v>0</v>
      </c>
      <c r="AC67" s="135">
        <f t="shared" si="10"/>
        <v>1.4999999999999999E-2</v>
      </c>
      <c r="AD67" s="133">
        <f t="shared" si="26"/>
        <v>0.15172221800974076</v>
      </c>
      <c r="AE67" s="217">
        <f t="shared" si="31"/>
        <v>1.5172221800974073</v>
      </c>
      <c r="AF67" s="133">
        <f t="shared" si="27"/>
        <v>-0.15172221800974076</v>
      </c>
      <c r="AG67" s="118">
        <f t="shared" si="11"/>
        <v>-1262632.2982770626</v>
      </c>
      <c r="AH67" s="118"/>
      <c r="AI67" s="118"/>
    </row>
    <row r="68" spans="1:35" x14ac:dyDescent="0.35">
      <c r="A68" s="193">
        <f t="shared" si="28"/>
        <v>2049</v>
      </c>
      <c r="B68" s="194">
        <f t="shared" si="1"/>
        <v>0</v>
      </c>
      <c r="C68" s="194">
        <f t="shared" si="12"/>
        <v>0</v>
      </c>
      <c r="D68" s="194">
        <f t="shared" si="2"/>
        <v>0</v>
      </c>
      <c r="E68" s="195">
        <f t="shared" si="13"/>
        <v>0</v>
      </c>
      <c r="F68" s="195">
        <f t="shared" si="3"/>
        <v>0</v>
      </c>
      <c r="G68" s="195">
        <f t="shared" si="14"/>
        <v>0</v>
      </c>
      <c r="H68" s="195">
        <f t="shared" si="32"/>
        <v>0</v>
      </c>
      <c r="I68" s="195">
        <f t="shared" si="15"/>
        <v>0</v>
      </c>
      <c r="J68" s="196">
        <f t="shared" si="16"/>
        <v>0</v>
      </c>
      <c r="K68" s="196">
        <f t="shared" si="17"/>
        <v>0</v>
      </c>
      <c r="L68" s="195">
        <f t="shared" si="18"/>
        <v>0</v>
      </c>
      <c r="M68" s="131">
        <f t="shared" si="19"/>
        <v>0</v>
      </c>
      <c r="N68" s="131">
        <f t="shared" si="20"/>
        <v>0</v>
      </c>
      <c r="O68" s="131">
        <f t="shared" si="4"/>
        <v>0</v>
      </c>
      <c r="P68" s="138">
        <f t="shared" si="29"/>
        <v>0</v>
      </c>
      <c r="Q68" s="118">
        <f t="shared" si="5"/>
        <v>0</v>
      </c>
      <c r="R68" s="121">
        <f t="shared" si="21"/>
        <v>0</v>
      </c>
      <c r="S68" s="118">
        <f t="shared" si="22"/>
        <v>0</v>
      </c>
      <c r="T68" s="132">
        <f t="shared" si="30"/>
        <v>0</v>
      </c>
      <c r="V68" s="133">
        <f t="shared" si="6"/>
        <v>0</v>
      </c>
      <c r="W68" s="134">
        <f t="shared" si="7"/>
        <v>0</v>
      </c>
      <c r="X68" s="135">
        <f t="shared" si="23"/>
        <v>1.4999999999999999E-2</v>
      </c>
      <c r="Y68" s="133">
        <f t="shared" si="24"/>
        <v>0</v>
      </c>
      <c r="Z68" s="133">
        <f t="shared" si="8"/>
        <v>0</v>
      </c>
      <c r="AA68" s="136">
        <f t="shared" si="9"/>
        <v>0</v>
      </c>
      <c r="AB68" s="133">
        <f t="shared" si="25"/>
        <v>0</v>
      </c>
      <c r="AC68" s="135">
        <f t="shared" si="10"/>
        <v>1.4999999999999999E-2</v>
      </c>
      <c r="AD68" s="133">
        <f t="shared" si="26"/>
        <v>0.15399805127988686</v>
      </c>
      <c r="AE68" s="217">
        <f t="shared" si="31"/>
        <v>1.5399805127988682</v>
      </c>
      <c r="AF68" s="133">
        <f t="shared" si="27"/>
        <v>-0.15399805127988686</v>
      </c>
      <c r="AG68" s="118">
        <f t="shared" si="11"/>
        <v>-1281571.7827512184</v>
      </c>
      <c r="AH68" s="118"/>
      <c r="AI68" s="118"/>
    </row>
    <row r="69" spans="1:35" x14ac:dyDescent="0.35">
      <c r="A69" s="193">
        <f t="shared" si="28"/>
        <v>2050</v>
      </c>
      <c r="B69" s="194">
        <f t="shared" si="1"/>
        <v>0</v>
      </c>
      <c r="C69" s="194">
        <f t="shared" si="12"/>
        <v>0</v>
      </c>
      <c r="D69" s="194">
        <f t="shared" si="2"/>
        <v>0</v>
      </c>
      <c r="E69" s="195">
        <f t="shared" si="13"/>
        <v>0</v>
      </c>
      <c r="F69" s="195">
        <f t="shared" si="3"/>
        <v>0</v>
      </c>
      <c r="G69" s="195">
        <f t="shared" si="14"/>
        <v>0</v>
      </c>
      <c r="H69" s="195">
        <f t="shared" si="32"/>
        <v>0</v>
      </c>
      <c r="I69" s="195">
        <f t="shared" si="15"/>
        <v>0</v>
      </c>
      <c r="J69" s="196">
        <f t="shared" si="16"/>
        <v>0</v>
      </c>
      <c r="K69" s="196">
        <f t="shared" si="17"/>
        <v>0</v>
      </c>
      <c r="L69" s="195">
        <f t="shared" si="18"/>
        <v>0</v>
      </c>
      <c r="M69" s="131">
        <f t="shared" si="19"/>
        <v>0</v>
      </c>
      <c r="N69" s="131">
        <f t="shared" si="20"/>
        <v>0</v>
      </c>
      <c r="O69" s="131">
        <f t="shared" si="4"/>
        <v>0</v>
      </c>
      <c r="P69" s="138">
        <f t="shared" si="29"/>
        <v>0</v>
      </c>
      <c r="Q69" s="118">
        <f t="shared" si="5"/>
        <v>0</v>
      </c>
      <c r="R69" s="121">
        <f t="shared" si="21"/>
        <v>0</v>
      </c>
      <c r="S69" s="118">
        <f t="shared" si="22"/>
        <v>0</v>
      </c>
      <c r="T69" s="132">
        <f t="shared" si="30"/>
        <v>0</v>
      </c>
      <c r="V69" s="133">
        <f t="shared" si="6"/>
        <v>0</v>
      </c>
      <c r="W69" s="134">
        <f t="shared" si="7"/>
        <v>0</v>
      </c>
      <c r="X69" s="135">
        <f t="shared" si="23"/>
        <v>1.4999999999999999E-2</v>
      </c>
      <c r="Y69" s="133">
        <f t="shared" si="24"/>
        <v>0</v>
      </c>
      <c r="Z69" s="133">
        <f t="shared" si="8"/>
        <v>0</v>
      </c>
      <c r="AA69" s="136">
        <f t="shared" si="9"/>
        <v>0</v>
      </c>
      <c r="AB69" s="133">
        <f t="shared" si="25"/>
        <v>0</v>
      </c>
      <c r="AC69" s="135">
        <f t="shared" si="10"/>
        <v>1.4999999999999999E-2</v>
      </c>
      <c r="AD69" s="133">
        <f t="shared" si="26"/>
        <v>0.15630802204908514</v>
      </c>
      <c r="AE69" s="217">
        <f t="shared" si="31"/>
        <v>1.5630802204908509</v>
      </c>
      <c r="AF69" s="133">
        <f t="shared" si="27"/>
        <v>-0.15630802204908514</v>
      </c>
      <c r="AG69" s="118">
        <f t="shared" si="11"/>
        <v>-1300795.3594924866</v>
      </c>
      <c r="AH69" s="118"/>
      <c r="AI69" s="118"/>
    </row>
    <row r="70" spans="1:35" x14ac:dyDescent="0.35">
      <c r="A70" s="193">
        <f t="shared" si="28"/>
        <v>2051</v>
      </c>
      <c r="B70" s="194">
        <f t="shared" si="1"/>
        <v>0</v>
      </c>
      <c r="C70" s="194">
        <f t="shared" si="12"/>
        <v>0</v>
      </c>
      <c r="D70" s="194">
        <f t="shared" si="2"/>
        <v>0</v>
      </c>
      <c r="E70" s="195">
        <f t="shared" si="13"/>
        <v>0</v>
      </c>
      <c r="F70" s="195">
        <f t="shared" si="3"/>
        <v>0</v>
      </c>
      <c r="G70" s="195">
        <f t="shared" si="14"/>
        <v>0</v>
      </c>
      <c r="H70" s="195">
        <f t="shared" si="32"/>
        <v>0</v>
      </c>
      <c r="I70" s="195">
        <f t="shared" si="15"/>
        <v>0</v>
      </c>
      <c r="J70" s="196">
        <f t="shared" si="16"/>
        <v>0</v>
      </c>
      <c r="K70" s="196">
        <f t="shared" si="17"/>
        <v>0</v>
      </c>
      <c r="L70" s="195">
        <f t="shared" si="18"/>
        <v>0</v>
      </c>
      <c r="M70" s="131">
        <f t="shared" si="19"/>
        <v>0</v>
      </c>
      <c r="N70" s="131">
        <f t="shared" si="20"/>
        <v>0</v>
      </c>
      <c r="O70" s="131">
        <f t="shared" si="4"/>
        <v>0</v>
      </c>
      <c r="P70" s="138">
        <f t="shared" si="29"/>
        <v>0</v>
      </c>
      <c r="Q70" s="118">
        <f t="shared" si="5"/>
        <v>0</v>
      </c>
      <c r="R70" s="121">
        <f t="shared" si="21"/>
        <v>0</v>
      </c>
      <c r="S70" s="118">
        <f t="shared" si="22"/>
        <v>0</v>
      </c>
      <c r="T70" s="132">
        <f t="shared" si="30"/>
        <v>0</v>
      </c>
      <c r="V70" s="133">
        <f t="shared" si="6"/>
        <v>0</v>
      </c>
      <c r="W70" s="134">
        <f t="shared" si="7"/>
        <v>0</v>
      </c>
      <c r="X70" s="135">
        <f t="shared" si="23"/>
        <v>1.4999999999999999E-2</v>
      </c>
      <c r="Y70" s="133">
        <f t="shared" si="24"/>
        <v>0</v>
      </c>
      <c r="Z70" s="133">
        <f t="shared" si="8"/>
        <v>0</v>
      </c>
      <c r="AA70" s="136">
        <f t="shared" si="9"/>
        <v>0</v>
      </c>
      <c r="AB70" s="133">
        <f t="shared" si="25"/>
        <v>0</v>
      </c>
      <c r="AC70" s="135">
        <f t="shared" si="10"/>
        <v>1.4999999999999999E-2</v>
      </c>
      <c r="AD70" s="133">
        <f t="shared" si="26"/>
        <v>0.15865264237982141</v>
      </c>
      <c r="AE70" s="217">
        <f t="shared" si="31"/>
        <v>1.5865264237982135</v>
      </c>
      <c r="AF70" s="133">
        <f t="shared" si="27"/>
        <v>-0.15865264237982141</v>
      </c>
      <c r="AG70" s="118">
        <f t="shared" si="11"/>
        <v>-1320307.2898848737</v>
      </c>
      <c r="AH70" s="118"/>
      <c r="AI70" s="118"/>
    </row>
    <row r="71" spans="1:35" x14ac:dyDescent="0.35">
      <c r="A71" s="193">
        <f t="shared" si="28"/>
        <v>2052</v>
      </c>
      <c r="B71" s="194">
        <f t="shared" si="1"/>
        <v>0</v>
      </c>
      <c r="C71" s="194">
        <f t="shared" si="12"/>
        <v>0</v>
      </c>
      <c r="D71" s="194">
        <f t="shared" si="2"/>
        <v>0</v>
      </c>
      <c r="E71" s="195">
        <f t="shared" si="13"/>
        <v>0</v>
      </c>
      <c r="F71" s="195">
        <f t="shared" si="3"/>
        <v>0</v>
      </c>
      <c r="G71" s="195">
        <f t="shared" si="14"/>
        <v>0</v>
      </c>
      <c r="H71" s="195">
        <f t="shared" si="32"/>
        <v>0</v>
      </c>
      <c r="I71" s="195">
        <f t="shared" si="15"/>
        <v>0</v>
      </c>
      <c r="J71" s="196">
        <f t="shared" si="16"/>
        <v>0</v>
      </c>
      <c r="K71" s="196">
        <f t="shared" si="17"/>
        <v>0</v>
      </c>
      <c r="L71" s="195">
        <f t="shared" si="18"/>
        <v>0</v>
      </c>
      <c r="M71" s="131">
        <f t="shared" si="19"/>
        <v>0</v>
      </c>
      <c r="N71" s="131">
        <f t="shared" si="20"/>
        <v>0</v>
      </c>
      <c r="O71" s="131">
        <f t="shared" si="4"/>
        <v>0</v>
      </c>
      <c r="P71" s="138">
        <f t="shared" si="29"/>
        <v>0</v>
      </c>
      <c r="Q71" s="118">
        <f t="shared" si="5"/>
        <v>0</v>
      </c>
      <c r="R71" s="121">
        <f t="shared" si="21"/>
        <v>0</v>
      </c>
      <c r="S71" s="118">
        <f t="shared" si="22"/>
        <v>0</v>
      </c>
      <c r="T71" s="132">
        <f t="shared" si="30"/>
        <v>0</v>
      </c>
      <c r="V71" s="133">
        <f t="shared" si="6"/>
        <v>0</v>
      </c>
      <c r="W71" s="134">
        <f t="shared" si="7"/>
        <v>0</v>
      </c>
      <c r="X71" s="135">
        <f t="shared" si="23"/>
        <v>1.4999999999999999E-2</v>
      </c>
      <c r="Y71" s="133">
        <f t="shared" si="24"/>
        <v>0</v>
      </c>
      <c r="Z71" s="133">
        <f t="shared" si="8"/>
        <v>0</v>
      </c>
      <c r="AA71" s="136">
        <f t="shared" si="9"/>
        <v>0</v>
      </c>
      <c r="AB71" s="133">
        <f t="shared" si="25"/>
        <v>0</v>
      </c>
      <c r="AC71" s="135">
        <f t="shared" si="10"/>
        <v>1.4999999999999999E-2</v>
      </c>
      <c r="AD71" s="133">
        <f t="shared" si="26"/>
        <v>0.1610324320155187</v>
      </c>
      <c r="AE71" s="217">
        <f t="shared" si="31"/>
        <v>1.6103243201551867</v>
      </c>
      <c r="AF71" s="133">
        <f t="shared" si="27"/>
        <v>-0.1610324320155187</v>
      </c>
      <c r="AG71" s="118">
        <f t="shared" si="11"/>
        <v>-1340111.8992331466</v>
      </c>
      <c r="AH71" s="118"/>
      <c r="AI71" s="118"/>
    </row>
    <row r="72" spans="1:35" x14ac:dyDescent="0.35">
      <c r="A72" s="193">
        <f t="shared" si="28"/>
        <v>2053</v>
      </c>
      <c r="B72" s="194">
        <f t="shared" si="1"/>
        <v>0</v>
      </c>
      <c r="C72" s="194">
        <f t="shared" si="12"/>
        <v>0</v>
      </c>
      <c r="D72" s="194">
        <f t="shared" si="2"/>
        <v>0</v>
      </c>
      <c r="E72" s="195">
        <f t="shared" si="13"/>
        <v>0</v>
      </c>
      <c r="F72" s="195">
        <f t="shared" si="3"/>
        <v>0</v>
      </c>
      <c r="G72" s="195">
        <f t="shared" si="14"/>
        <v>0</v>
      </c>
      <c r="H72" s="195">
        <f t="shared" si="32"/>
        <v>0</v>
      </c>
      <c r="I72" s="195">
        <f t="shared" si="15"/>
        <v>0</v>
      </c>
      <c r="J72" s="196">
        <f t="shared" si="16"/>
        <v>0</v>
      </c>
      <c r="K72" s="196">
        <f t="shared" si="17"/>
        <v>0</v>
      </c>
      <c r="L72" s="195">
        <f t="shared" si="18"/>
        <v>0</v>
      </c>
      <c r="M72" s="131">
        <f t="shared" si="19"/>
        <v>0</v>
      </c>
      <c r="N72" s="131">
        <f t="shared" si="20"/>
        <v>0</v>
      </c>
      <c r="O72" s="131">
        <f t="shared" si="4"/>
        <v>0</v>
      </c>
      <c r="P72" s="138">
        <f t="shared" si="29"/>
        <v>0</v>
      </c>
      <c r="Q72" s="118">
        <f t="shared" si="5"/>
        <v>0</v>
      </c>
      <c r="R72" s="121">
        <f t="shared" si="21"/>
        <v>0</v>
      </c>
      <c r="S72" s="118">
        <f t="shared" si="22"/>
        <v>0</v>
      </c>
      <c r="T72" s="132">
        <f t="shared" si="30"/>
        <v>0</v>
      </c>
      <c r="V72" s="133">
        <f t="shared" si="6"/>
        <v>0</v>
      </c>
      <c r="W72" s="134">
        <f t="shared" si="7"/>
        <v>0</v>
      </c>
      <c r="X72" s="135">
        <f t="shared" si="23"/>
        <v>1.4999999999999999E-2</v>
      </c>
      <c r="Y72" s="133">
        <f t="shared" si="24"/>
        <v>0</v>
      </c>
      <c r="Z72" s="133">
        <f t="shared" si="8"/>
        <v>0</v>
      </c>
      <c r="AA72" s="136">
        <f t="shared" si="9"/>
        <v>0</v>
      </c>
      <c r="AB72" s="133">
        <f t="shared" si="25"/>
        <v>0</v>
      </c>
      <c r="AC72" s="135">
        <f t="shared" si="10"/>
        <v>1.4999999999999999E-2</v>
      </c>
      <c r="AD72" s="133">
        <f t="shared" si="26"/>
        <v>0.16344791849575147</v>
      </c>
      <c r="AE72" s="217">
        <f t="shared" si="31"/>
        <v>1.6344791849575142</v>
      </c>
      <c r="AF72" s="133">
        <f t="shared" si="27"/>
        <v>-0.16344791849575147</v>
      </c>
      <c r="AG72" s="118">
        <f t="shared" si="11"/>
        <v>-1360213.5777216437</v>
      </c>
      <c r="AH72" s="118"/>
      <c r="AI72" s="118"/>
    </row>
    <row r="73" spans="1:35" x14ac:dyDescent="0.35">
      <c r="A73" s="193">
        <f t="shared" si="28"/>
        <v>2054</v>
      </c>
      <c r="B73" s="194">
        <f t="shared" si="1"/>
        <v>0</v>
      </c>
      <c r="C73" s="194">
        <f t="shared" si="12"/>
        <v>0</v>
      </c>
      <c r="D73" s="194">
        <f t="shared" si="2"/>
        <v>0</v>
      </c>
      <c r="E73" s="195">
        <f t="shared" si="13"/>
        <v>0</v>
      </c>
      <c r="F73" s="195">
        <f t="shared" si="3"/>
        <v>0</v>
      </c>
      <c r="G73" s="195">
        <f t="shared" si="14"/>
        <v>0</v>
      </c>
      <c r="H73" s="195">
        <f t="shared" si="32"/>
        <v>0</v>
      </c>
      <c r="I73" s="195">
        <f t="shared" si="15"/>
        <v>0</v>
      </c>
      <c r="J73" s="196">
        <f t="shared" si="16"/>
        <v>0</v>
      </c>
      <c r="K73" s="196">
        <f t="shared" si="17"/>
        <v>0</v>
      </c>
      <c r="L73" s="195">
        <f t="shared" si="18"/>
        <v>0</v>
      </c>
      <c r="M73" s="131">
        <f t="shared" si="19"/>
        <v>0</v>
      </c>
      <c r="N73" s="131">
        <f t="shared" si="20"/>
        <v>0</v>
      </c>
      <c r="O73" s="131">
        <f t="shared" si="4"/>
        <v>0</v>
      </c>
      <c r="P73" s="138">
        <f t="shared" si="29"/>
        <v>0</v>
      </c>
      <c r="Q73" s="118">
        <f t="shared" si="5"/>
        <v>0</v>
      </c>
      <c r="R73" s="121">
        <f t="shared" si="21"/>
        <v>0</v>
      </c>
      <c r="S73" s="118">
        <f t="shared" si="22"/>
        <v>0</v>
      </c>
      <c r="T73" s="132">
        <f t="shared" si="30"/>
        <v>0</v>
      </c>
      <c r="V73" s="133">
        <f t="shared" si="6"/>
        <v>0</v>
      </c>
      <c r="W73" s="134">
        <f t="shared" si="7"/>
        <v>0</v>
      </c>
      <c r="X73" s="135">
        <f t="shared" si="23"/>
        <v>1.4999999999999999E-2</v>
      </c>
      <c r="Y73" s="133">
        <f t="shared" si="24"/>
        <v>0</v>
      </c>
      <c r="Z73" s="133">
        <f t="shared" si="8"/>
        <v>0</v>
      </c>
      <c r="AA73" s="136">
        <f t="shared" si="9"/>
        <v>0</v>
      </c>
      <c r="AB73" s="133">
        <f t="shared" si="25"/>
        <v>0</v>
      </c>
      <c r="AC73" s="135">
        <f t="shared" si="10"/>
        <v>1.4999999999999999E-2</v>
      </c>
      <c r="AD73" s="133">
        <f t="shared" si="26"/>
        <v>0.16589963727318771</v>
      </c>
      <c r="AE73" s="217">
        <f t="shared" si="31"/>
        <v>1.6589963727318768</v>
      </c>
      <c r="AF73" s="133">
        <f t="shared" si="27"/>
        <v>-0.16589963727318771</v>
      </c>
      <c r="AG73" s="118">
        <f t="shared" si="11"/>
        <v>-1380616.7813874681</v>
      </c>
      <c r="AH73" s="118"/>
      <c r="AI73" s="118"/>
    </row>
    <row r="74" spans="1:35" x14ac:dyDescent="0.35">
      <c r="A74" s="193">
        <f t="shared" si="28"/>
        <v>2055</v>
      </c>
      <c r="B74" s="194">
        <f t="shared" si="1"/>
        <v>0</v>
      </c>
      <c r="C74" s="194">
        <f t="shared" si="12"/>
        <v>0</v>
      </c>
      <c r="D74" s="194">
        <f t="shared" si="2"/>
        <v>0</v>
      </c>
      <c r="E74" s="195">
        <f t="shared" si="13"/>
        <v>0</v>
      </c>
      <c r="F74" s="195">
        <f t="shared" si="3"/>
        <v>0</v>
      </c>
      <c r="G74" s="195">
        <f t="shared" si="14"/>
        <v>0</v>
      </c>
      <c r="H74" s="195">
        <f t="shared" si="32"/>
        <v>0</v>
      </c>
      <c r="I74" s="195">
        <f t="shared" si="15"/>
        <v>0</v>
      </c>
      <c r="J74" s="196">
        <f t="shared" si="16"/>
        <v>0</v>
      </c>
      <c r="K74" s="196">
        <f t="shared" si="17"/>
        <v>0</v>
      </c>
      <c r="L74" s="195">
        <f t="shared" si="18"/>
        <v>0</v>
      </c>
      <c r="M74" s="131">
        <f t="shared" si="19"/>
        <v>0</v>
      </c>
      <c r="N74" s="131">
        <f t="shared" si="20"/>
        <v>0</v>
      </c>
      <c r="O74" s="131">
        <f t="shared" si="4"/>
        <v>0</v>
      </c>
      <c r="P74" s="138">
        <f t="shared" si="29"/>
        <v>0</v>
      </c>
      <c r="Q74" s="118">
        <f t="shared" si="5"/>
        <v>0</v>
      </c>
      <c r="R74" s="121">
        <f t="shared" si="21"/>
        <v>0</v>
      </c>
      <c r="S74" s="118">
        <f t="shared" si="22"/>
        <v>0</v>
      </c>
      <c r="T74" s="132">
        <f t="shared" si="30"/>
        <v>0</v>
      </c>
      <c r="V74" s="133">
        <f t="shared" si="6"/>
        <v>0</v>
      </c>
      <c r="W74" s="134">
        <f t="shared" si="7"/>
        <v>0</v>
      </c>
      <c r="X74" s="135">
        <f t="shared" si="23"/>
        <v>1.4999999999999999E-2</v>
      </c>
      <c r="Y74" s="133">
        <f t="shared" si="24"/>
        <v>0</v>
      </c>
      <c r="Z74" s="133">
        <f t="shared" si="8"/>
        <v>0</v>
      </c>
      <c r="AA74" s="136">
        <f t="shared" si="9"/>
        <v>0</v>
      </c>
      <c r="AB74" s="133">
        <f t="shared" si="25"/>
        <v>0</v>
      </c>
      <c r="AC74" s="135">
        <f t="shared" si="10"/>
        <v>1.4999999999999999E-2</v>
      </c>
      <c r="AD74" s="133">
        <f t="shared" si="26"/>
        <v>0.16838813183228551</v>
      </c>
      <c r="AE74" s="217">
        <f t="shared" si="31"/>
        <v>1.6838813183228549</v>
      </c>
      <c r="AF74" s="133">
        <f t="shared" si="27"/>
        <v>-0.16838813183228551</v>
      </c>
      <c r="AG74" s="118">
        <f t="shared" si="11"/>
        <v>-1401326.03310828</v>
      </c>
      <c r="AH74" s="118"/>
      <c r="AI74" s="118"/>
    </row>
    <row r="75" spans="1:35" x14ac:dyDescent="0.35">
      <c r="A75" s="193">
        <f t="shared" si="28"/>
        <v>2056</v>
      </c>
      <c r="B75" s="194">
        <f t="shared" si="1"/>
        <v>0</v>
      </c>
      <c r="C75" s="194">
        <f t="shared" si="12"/>
        <v>0</v>
      </c>
      <c r="D75" s="194">
        <f t="shared" si="2"/>
        <v>0</v>
      </c>
      <c r="E75" s="195">
        <f t="shared" si="13"/>
        <v>0</v>
      </c>
      <c r="F75" s="195">
        <f t="shared" si="3"/>
        <v>0</v>
      </c>
      <c r="G75" s="195">
        <f t="shared" si="14"/>
        <v>0</v>
      </c>
      <c r="H75" s="195">
        <f t="shared" si="32"/>
        <v>0</v>
      </c>
      <c r="I75" s="195">
        <f t="shared" si="15"/>
        <v>0</v>
      </c>
      <c r="J75" s="196">
        <f t="shared" si="16"/>
        <v>0</v>
      </c>
      <c r="K75" s="196">
        <f t="shared" si="17"/>
        <v>0</v>
      </c>
      <c r="L75" s="195">
        <f t="shared" si="18"/>
        <v>0</v>
      </c>
      <c r="M75" s="131">
        <f t="shared" si="19"/>
        <v>0</v>
      </c>
      <c r="N75" s="131">
        <f t="shared" si="20"/>
        <v>0</v>
      </c>
      <c r="O75" s="131">
        <f t="shared" si="4"/>
        <v>0</v>
      </c>
      <c r="P75" s="138">
        <f t="shared" si="29"/>
        <v>0</v>
      </c>
      <c r="Q75" s="118">
        <f t="shared" si="5"/>
        <v>0</v>
      </c>
      <c r="R75" s="121">
        <f t="shared" si="21"/>
        <v>0</v>
      </c>
      <c r="S75" s="118">
        <f t="shared" si="22"/>
        <v>0</v>
      </c>
      <c r="T75" s="132">
        <f t="shared" si="30"/>
        <v>0</v>
      </c>
      <c r="V75" s="133">
        <f t="shared" si="6"/>
        <v>0</v>
      </c>
      <c r="W75" s="134">
        <f t="shared" si="7"/>
        <v>0</v>
      </c>
      <c r="X75" s="135">
        <f t="shared" si="23"/>
        <v>1.4999999999999999E-2</v>
      </c>
      <c r="Y75" s="133">
        <f t="shared" si="24"/>
        <v>0</v>
      </c>
      <c r="Z75" s="133">
        <f t="shared" si="8"/>
        <v>0</v>
      </c>
      <c r="AA75" s="136">
        <f t="shared" si="9"/>
        <v>0</v>
      </c>
      <c r="AB75" s="133">
        <f t="shared" si="25"/>
        <v>0</v>
      </c>
      <c r="AC75" s="135">
        <f t="shared" si="10"/>
        <v>1.4999999999999999E-2</v>
      </c>
      <c r="AD75" s="133">
        <f t="shared" si="26"/>
        <v>0.17091395380976979</v>
      </c>
      <c r="AE75" s="217">
        <f t="shared" si="31"/>
        <v>1.7091395380976975</v>
      </c>
      <c r="AF75" s="133">
        <f t="shared" si="27"/>
        <v>-0.17091395380976979</v>
      </c>
      <c r="AG75" s="118">
        <f t="shared" si="11"/>
        <v>-1422345.9236049042</v>
      </c>
      <c r="AH75" s="118"/>
      <c r="AI75" s="118"/>
    </row>
    <row r="76" spans="1:35" x14ac:dyDescent="0.35">
      <c r="A76" s="193">
        <f t="shared" si="28"/>
        <v>2057</v>
      </c>
      <c r="B76" s="194">
        <f t="shared" si="1"/>
        <v>0</v>
      </c>
      <c r="C76" s="194">
        <f t="shared" si="12"/>
        <v>0</v>
      </c>
      <c r="D76" s="194">
        <f t="shared" si="2"/>
        <v>0</v>
      </c>
      <c r="E76" s="195">
        <f t="shared" si="13"/>
        <v>0</v>
      </c>
      <c r="F76" s="195">
        <f t="shared" si="3"/>
        <v>0</v>
      </c>
      <c r="G76" s="195">
        <f t="shared" si="14"/>
        <v>0</v>
      </c>
      <c r="H76" s="195">
        <f t="shared" si="32"/>
        <v>0</v>
      </c>
      <c r="I76" s="195">
        <f t="shared" si="15"/>
        <v>0</v>
      </c>
      <c r="J76" s="196">
        <f t="shared" si="16"/>
        <v>0</v>
      </c>
      <c r="K76" s="196">
        <f t="shared" si="17"/>
        <v>0</v>
      </c>
      <c r="L76" s="195">
        <f t="shared" si="18"/>
        <v>0</v>
      </c>
      <c r="M76" s="131">
        <f t="shared" si="19"/>
        <v>0</v>
      </c>
      <c r="N76" s="131">
        <f t="shared" si="20"/>
        <v>0</v>
      </c>
      <c r="O76" s="131">
        <f t="shared" si="4"/>
        <v>0</v>
      </c>
      <c r="P76" s="138">
        <f t="shared" si="29"/>
        <v>0</v>
      </c>
      <c r="Q76" s="118">
        <f t="shared" si="5"/>
        <v>0</v>
      </c>
      <c r="R76" s="121">
        <f t="shared" si="21"/>
        <v>0</v>
      </c>
      <c r="S76" s="118">
        <f t="shared" si="22"/>
        <v>0</v>
      </c>
      <c r="T76" s="132">
        <f t="shared" si="30"/>
        <v>0</v>
      </c>
      <c r="V76" s="133">
        <f t="shared" si="6"/>
        <v>0</v>
      </c>
      <c r="W76" s="134">
        <f t="shared" si="7"/>
        <v>0</v>
      </c>
      <c r="X76" s="135">
        <f t="shared" si="23"/>
        <v>1.4999999999999999E-2</v>
      </c>
      <c r="Y76" s="133">
        <f t="shared" si="24"/>
        <v>0</v>
      </c>
      <c r="Z76" s="133">
        <f t="shared" si="8"/>
        <v>0</v>
      </c>
      <c r="AA76" s="136">
        <f t="shared" si="9"/>
        <v>0</v>
      </c>
      <c r="AB76" s="133">
        <f t="shared" si="25"/>
        <v>0</v>
      </c>
      <c r="AC76" s="135">
        <f t="shared" si="10"/>
        <v>1.4999999999999999E-2</v>
      </c>
      <c r="AD76" s="133">
        <f t="shared" si="26"/>
        <v>0.17347766311691631</v>
      </c>
      <c r="AE76" s="217">
        <f t="shared" si="31"/>
        <v>1.7347766311691628</v>
      </c>
      <c r="AF76" s="133">
        <f t="shared" si="27"/>
        <v>-0.17347766311691631</v>
      </c>
      <c r="AG76" s="118">
        <f t="shared" si="11"/>
        <v>-1443681.1124589776</v>
      </c>
      <c r="AH76" s="118"/>
      <c r="AI76" s="118"/>
    </row>
    <row r="77" spans="1:35" x14ac:dyDescent="0.35">
      <c r="A77" s="193">
        <f t="shared" si="28"/>
        <v>2058</v>
      </c>
      <c r="B77" s="194">
        <f t="shared" si="1"/>
        <v>0</v>
      </c>
      <c r="C77" s="194">
        <f t="shared" si="12"/>
        <v>0</v>
      </c>
      <c r="D77" s="194">
        <f t="shared" si="2"/>
        <v>0</v>
      </c>
      <c r="E77" s="195">
        <f t="shared" si="13"/>
        <v>0</v>
      </c>
      <c r="F77" s="195">
        <f t="shared" si="3"/>
        <v>0</v>
      </c>
      <c r="G77" s="195">
        <f t="shared" si="14"/>
        <v>0</v>
      </c>
      <c r="H77" s="195">
        <f t="shared" si="32"/>
        <v>0</v>
      </c>
      <c r="I77" s="195">
        <f t="shared" si="15"/>
        <v>0</v>
      </c>
      <c r="J77" s="196">
        <f t="shared" si="16"/>
        <v>0</v>
      </c>
      <c r="K77" s="196">
        <f t="shared" si="17"/>
        <v>0</v>
      </c>
      <c r="L77" s="195">
        <f t="shared" si="18"/>
        <v>0</v>
      </c>
      <c r="M77" s="131">
        <f t="shared" si="19"/>
        <v>0</v>
      </c>
      <c r="N77" s="131">
        <f t="shared" si="20"/>
        <v>0</v>
      </c>
      <c r="O77" s="131">
        <f t="shared" si="4"/>
        <v>0</v>
      </c>
      <c r="P77" s="138">
        <f t="shared" si="29"/>
        <v>0</v>
      </c>
      <c r="Q77" s="118">
        <f t="shared" si="5"/>
        <v>0</v>
      </c>
      <c r="R77" s="121">
        <f t="shared" si="21"/>
        <v>0</v>
      </c>
      <c r="S77" s="118">
        <f t="shared" si="22"/>
        <v>0</v>
      </c>
      <c r="T77" s="132">
        <f t="shared" si="30"/>
        <v>0</v>
      </c>
      <c r="V77" s="133">
        <f t="shared" si="6"/>
        <v>0</v>
      </c>
      <c r="W77" s="134">
        <f t="shared" si="7"/>
        <v>0</v>
      </c>
      <c r="X77" s="135">
        <f t="shared" si="23"/>
        <v>1.4999999999999999E-2</v>
      </c>
      <c r="Y77" s="133">
        <f t="shared" si="24"/>
        <v>0</v>
      </c>
      <c r="Z77" s="133">
        <f t="shared" si="8"/>
        <v>0</v>
      </c>
      <c r="AA77" s="136">
        <f t="shared" si="9"/>
        <v>0</v>
      </c>
      <c r="AB77" s="133">
        <f t="shared" si="25"/>
        <v>0</v>
      </c>
      <c r="AC77" s="135">
        <f t="shared" si="10"/>
        <v>1.4999999999999999E-2</v>
      </c>
      <c r="AD77" s="133">
        <f t="shared" si="26"/>
        <v>0.17607982806367004</v>
      </c>
      <c r="AE77" s="217">
        <f t="shared" si="31"/>
        <v>1.7607982806367002</v>
      </c>
      <c r="AF77" s="133">
        <f t="shared" si="27"/>
        <v>-0.17607982806367004</v>
      </c>
      <c r="AG77" s="118">
        <f t="shared" si="11"/>
        <v>-1465336.329145862</v>
      </c>
      <c r="AH77" s="118"/>
      <c r="AI77" s="118"/>
    </row>
    <row r="78" spans="1:35" x14ac:dyDescent="0.35">
      <c r="B78" s="21"/>
      <c r="G78" s="17"/>
      <c r="H78" s="17"/>
      <c r="I78" s="17"/>
      <c r="J78" s="17"/>
      <c r="K78" s="17"/>
      <c r="L78" s="17"/>
      <c r="M78" s="17"/>
      <c r="O78" s="22"/>
      <c r="P78" s="23"/>
      <c r="Q78" s="22"/>
      <c r="R78" s="22"/>
      <c r="S78" s="24"/>
      <c r="T78" s="22"/>
      <c r="U78" s="22"/>
      <c r="W78" s="22"/>
      <c r="X78" s="17"/>
    </row>
  </sheetData>
  <mergeCells count="16">
    <mergeCell ref="B24:D24"/>
    <mergeCell ref="B25:D25"/>
    <mergeCell ref="R24:S24"/>
    <mergeCell ref="R15:S15"/>
    <mergeCell ref="B15:D15"/>
    <mergeCell ref="M15:O15"/>
    <mergeCell ref="M20:O20"/>
    <mergeCell ref="B16:D16"/>
    <mergeCell ref="R16:S16"/>
    <mergeCell ref="M24:O24"/>
    <mergeCell ref="R25:S25"/>
    <mergeCell ref="M19:O19"/>
    <mergeCell ref="R23:S23"/>
    <mergeCell ref="R22:S22"/>
    <mergeCell ref="M23:O23"/>
    <mergeCell ref="M16:O16"/>
  </mergeCells>
  <dataValidations count="5">
    <dataValidation type="list" showInputMessage="1" showErrorMessage="1" sqref="L23" xr:uid="{00000000-0002-0000-0000-000000000000}">
      <formula1>"Cash, Borrow"</formula1>
    </dataValidation>
    <dataValidation type="list" showInputMessage="1" showErrorMessage="1" sqref="Q15" xr:uid="{00000000-0002-0000-0000-000001000000}">
      <formula1>"Yes, No"</formula1>
    </dataValidation>
    <dataValidation type="list" showInputMessage="1" showErrorMessage="1" sqref="A23" xr:uid="{00000000-0002-0000-0000-000002000000}">
      <formula1>"Generation, Savings"</formula1>
    </dataValidation>
    <dataValidation type="list" allowBlank="1" showInputMessage="1" showErrorMessage="1" sqref="Q22" xr:uid="{00000000-0002-0000-0000-000003000000}">
      <formula1>$U$22:$Y$22</formula1>
    </dataValidation>
    <dataValidation type="list" allowBlank="1" showInputMessage="1" showErrorMessage="1" sqref="A26" xr:uid="{0E590F26-D20D-4BFD-A6FD-2F4DB96D6079}">
      <formula1>$U$26:$X$26</formula1>
    </dataValidation>
  </dataValidations>
  <pageMargins left="0.7" right="0.7" top="0.75" bottom="0.75" header="0.3" footer="0.3"/>
  <pageSetup scale="58" orientation="landscape" r:id="rId1"/>
  <headerFooter>
    <oddFooter>&amp;L&amp;Z&amp;F&amp;R&amp;D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"/>
  <sheetViews>
    <sheetView workbookViewId="0">
      <selection activeCell="F5" sqref="F5"/>
    </sheetView>
  </sheetViews>
  <sheetFormatPr defaultRowHeight="13.5" x14ac:dyDescent="0.35"/>
  <cols>
    <col min="1" max="1" width="11.125" bestFit="1" customWidth="1"/>
    <col min="4" max="4" width="11.75" customWidth="1"/>
    <col min="8" max="8" width="10.875" customWidth="1"/>
    <col min="9" max="9" width="12.125" customWidth="1"/>
  </cols>
  <sheetData>
    <row r="1" spans="1:9" ht="20.65" x14ac:dyDescent="0.6">
      <c r="A1" s="97" t="s">
        <v>153</v>
      </c>
    </row>
    <row r="2" spans="1:9" ht="20.65" x14ac:dyDescent="0.6">
      <c r="A2" s="227" t="s">
        <v>152</v>
      </c>
    </row>
    <row r="3" spans="1:9" ht="14.65" customHeight="1" x14ac:dyDescent="0.6">
      <c r="A3" s="227"/>
    </row>
    <row r="4" spans="1:9" ht="13.9" x14ac:dyDescent="0.4">
      <c r="A4" s="57" t="s">
        <v>6</v>
      </c>
    </row>
    <row r="5" spans="1:9" x14ac:dyDescent="0.35">
      <c r="A5" s="118">
        <v>25000</v>
      </c>
      <c r="B5" s="119" t="s">
        <v>101</v>
      </c>
      <c r="C5" s="119"/>
    </row>
    <row r="6" spans="1:9" x14ac:dyDescent="0.35">
      <c r="A6" s="118">
        <v>5000</v>
      </c>
      <c r="B6" s="119" t="s">
        <v>102</v>
      </c>
      <c r="C6" s="119"/>
    </row>
    <row r="7" spans="1:9" x14ac:dyDescent="0.35">
      <c r="A7" s="118">
        <v>5000</v>
      </c>
      <c r="B7" s="119" t="s">
        <v>103</v>
      </c>
      <c r="C7" s="119"/>
    </row>
    <row r="8" spans="1:9" ht="13.9" x14ac:dyDescent="0.4">
      <c r="A8" s="120">
        <f>SUM(A5:A7)</f>
        <v>35000</v>
      </c>
      <c r="B8" s="251" t="s">
        <v>15</v>
      </c>
      <c r="C8" s="252"/>
    </row>
    <row r="10" spans="1:9" ht="13.9" x14ac:dyDescent="0.4">
      <c r="A10" s="57" t="s">
        <v>97</v>
      </c>
      <c r="B10" s="57"/>
      <c r="C10" s="57"/>
      <c r="F10" s="57" t="s">
        <v>97</v>
      </c>
      <c r="G10" s="57"/>
      <c r="H10" s="57"/>
    </row>
    <row r="11" spans="1:9" x14ac:dyDescent="0.35">
      <c r="A11" s="121">
        <v>250000</v>
      </c>
      <c r="B11" s="119" t="s">
        <v>107</v>
      </c>
      <c r="C11" s="119"/>
      <c r="D11" s="119"/>
      <c r="F11" s="126">
        <v>20</v>
      </c>
      <c r="G11" s="94" t="s">
        <v>111</v>
      </c>
      <c r="H11" s="94"/>
      <c r="I11" s="94"/>
    </row>
    <row r="12" spans="1:9" x14ac:dyDescent="0.35">
      <c r="A12" s="119">
        <v>10</v>
      </c>
      <c r="B12" s="119" t="s">
        <v>109</v>
      </c>
      <c r="C12" s="119"/>
      <c r="D12" s="119"/>
      <c r="F12" s="127">
        <v>0.85</v>
      </c>
      <c r="G12" s="94" t="s">
        <v>104</v>
      </c>
      <c r="H12" s="94"/>
      <c r="I12" s="94"/>
    </row>
    <row r="13" spans="1:9" x14ac:dyDescent="0.35">
      <c r="A13" s="122">
        <f>20/24</f>
        <v>0.83333333333333337</v>
      </c>
      <c r="B13" s="119" t="s">
        <v>104</v>
      </c>
      <c r="C13" s="119"/>
      <c r="D13" s="119"/>
      <c r="F13" s="126">
        <f>+F11*F12*8760</f>
        <v>148920</v>
      </c>
      <c r="G13" s="94" t="s">
        <v>112</v>
      </c>
      <c r="H13" s="94"/>
      <c r="I13" s="94"/>
    </row>
    <row r="14" spans="1:9" x14ac:dyDescent="0.35">
      <c r="A14" s="121">
        <f>+A12*8760*A13</f>
        <v>73000</v>
      </c>
      <c r="B14" s="119" t="s">
        <v>105</v>
      </c>
      <c r="C14" s="119"/>
      <c r="D14" s="119"/>
      <c r="F14" s="119">
        <v>10</v>
      </c>
      <c r="G14" s="119" t="s">
        <v>110</v>
      </c>
      <c r="H14" s="119"/>
      <c r="I14" s="119"/>
    </row>
    <row r="15" spans="1:9" ht="13.9" x14ac:dyDescent="0.4">
      <c r="A15" s="123">
        <f>+A11-A14</f>
        <v>177000</v>
      </c>
      <c r="B15" s="124" t="s">
        <v>106</v>
      </c>
      <c r="C15" s="124"/>
      <c r="D15" s="124"/>
      <c r="F15" s="122">
        <v>0.85</v>
      </c>
      <c r="G15" s="119" t="s">
        <v>104</v>
      </c>
      <c r="H15" s="119"/>
      <c r="I15" s="119"/>
    </row>
    <row r="16" spans="1:9" x14ac:dyDescent="0.35">
      <c r="F16" s="121">
        <f>+F14*8760*F15</f>
        <v>74460</v>
      </c>
      <c r="G16" s="119" t="s">
        <v>113</v>
      </c>
      <c r="H16" s="119"/>
      <c r="I16" s="119"/>
    </row>
    <row r="17" spans="1:9" ht="13.9" x14ac:dyDescent="0.4">
      <c r="F17" s="123">
        <f>+F13-F16</f>
        <v>74460</v>
      </c>
      <c r="G17" s="124" t="s">
        <v>106</v>
      </c>
      <c r="H17" s="124"/>
      <c r="I17" s="124"/>
    </row>
    <row r="20" spans="1:9" ht="13.9" x14ac:dyDescent="0.4">
      <c r="A20" s="57" t="s">
        <v>114</v>
      </c>
    </row>
    <row r="21" spans="1:9" x14ac:dyDescent="0.35">
      <c r="A21" s="118">
        <v>15000</v>
      </c>
      <c r="B21" s="253" t="s">
        <v>116</v>
      </c>
      <c r="C21" s="254"/>
      <c r="D21" s="255"/>
    </row>
    <row r="22" spans="1:9" x14ac:dyDescent="0.35">
      <c r="A22" s="128">
        <v>-1000</v>
      </c>
      <c r="B22" s="119" t="s">
        <v>115</v>
      </c>
      <c r="C22" s="119"/>
      <c r="D22" s="119"/>
    </row>
  </sheetData>
  <mergeCells count="2">
    <mergeCell ref="B8:C8"/>
    <mergeCell ref="B21:D2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9521EE7A386F418719B680D6839F8F" ma:contentTypeVersion="7" ma:contentTypeDescription="Create a new document." ma:contentTypeScope="" ma:versionID="3bb1fc1d54374708ba2e8fc9b143a9d1">
  <xsd:schema xmlns:xsd="http://www.w3.org/2001/XMLSchema" xmlns:xs="http://www.w3.org/2001/XMLSchema" xmlns:p="http://schemas.microsoft.com/office/2006/metadata/properties" xmlns:ns1="http://schemas.microsoft.com/sharepoint/v3" xmlns:ns2="b9ad4448-539c-4dd7-8bf2-db70bf7e3232" targetNamespace="http://schemas.microsoft.com/office/2006/metadata/properties" ma:root="true" ma:fieldsID="25d4cdaa1b1687c0c36620faf7e39275" ns1:_="" ns2:_="">
    <xsd:import namespace="http://schemas.microsoft.com/sharepoint/v3"/>
    <xsd:import namespace="b9ad4448-539c-4dd7-8bf2-db70bf7e323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d4448-539c-4dd7-8bf2-db70bf7e32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CDCF82-84E4-4BB6-950B-ED9590896B50}">
  <ds:schemaRefs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sharepoint/v3"/>
    <ds:schemaRef ds:uri="http://purl.org/dc/terms/"/>
    <ds:schemaRef ds:uri="http://purl.org/dc/dcmitype/"/>
    <ds:schemaRef ds:uri="b9ad4448-539c-4dd7-8bf2-db70bf7e3232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BAE6E89-2FC5-4F21-9FD7-5C52410337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9ad4448-539c-4dd7-8bf2-db70bf7e32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8537A7-776B-44B3-9928-2912CC85DE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Cost&amp;Savings Calcs</vt:lpstr>
      <vt:lpstr>Project Calcs</vt:lpstr>
      <vt:lpstr>Combined</vt:lpstr>
      <vt:lpstr>'Cost&amp;Savings Calcs'!Print_Area</vt:lpstr>
      <vt:lpstr>RPU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Analysis Tool</dc:title>
  <dc:creator>Alan.Zelenka@oregon.gov</dc:creator>
  <cp:lastModifiedBy>Blake Shelide</cp:lastModifiedBy>
  <cp:lastPrinted>2017-05-15T23:45:32Z</cp:lastPrinted>
  <dcterms:created xsi:type="dcterms:W3CDTF">2013-01-16T18:58:54Z</dcterms:created>
  <dcterms:modified xsi:type="dcterms:W3CDTF">2022-07-18T13:45:36Z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0x010100B29521EE7A386F418719B680D6839F8F</vt:lpwstr>
  </property>
</Properties>
</file>