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odoe\DavWWWRoot\teams\siting\Rulemaking\R203 - 2020 Carbon Offset Update\"/>
    </mc:Choice>
  </mc:AlternateContent>
  <xr:revisionPtr revIDLastSave="0" documentId="13_ncr:1_{3D69CF1C-D3D7-4CAB-AEE1-0577A8D4D6C1}" xr6:coauthVersionLast="44" xr6:coauthVersionMax="44" xr10:uidLastSave="{00000000-0000-0000-0000-000000000000}"/>
  <bookViews>
    <workbookView xWindow="-120" yWindow="-120" windowWidth="29040" windowHeight="15840" xr2:uid="{634D05FB-F10E-4C7E-8AEF-D7A16E3EA81E}"/>
  </bookViews>
  <sheets>
    <sheet name="Econ. Achievabi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G24" i="1"/>
  <c r="H24" i="1" s="1"/>
  <c r="F24" i="1"/>
  <c r="J23" i="1"/>
  <c r="G23" i="1"/>
  <c r="H23" i="1" s="1"/>
  <c r="F23" i="1"/>
  <c r="J22" i="1"/>
  <c r="G22" i="1"/>
  <c r="H22" i="1" s="1"/>
  <c r="F22" i="1"/>
  <c r="J21" i="1"/>
  <c r="G21" i="1"/>
  <c r="H21" i="1" s="1"/>
  <c r="O21" i="1" s="1"/>
  <c r="F21" i="1"/>
  <c r="J20" i="1"/>
  <c r="G20" i="1"/>
  <c r="H20" i="1" s="1"/>
  <c r="F20" i="1"/>
  <c r="K21" i="1" l="1"/>
  <c r="L21" i="1" s="1"/>
  <c r="I21" i="1"/>
  <c r="I24" i="1"/>
  <c r="O24" i="1"/>
  <c r="P21" i="1"/>
  <c r="Q21" i="1" s="1"/>
  <c r="R21" i="1" s="1"/>
  <c r="N21" i="1"/>
  <c r="M21" i="1"/>
  <c r="I23" i="1"/>
  <c r="O23" i="1"/>
  <c r="K24" i="1"/>
  <c r="L24" i="1" s="1"/>
  <c r="O20" i="1"/>
  <c r="I20" i="1"/>
  <c r="K22" i="1"/>
  <c r="L22" i="1" s="1"/>
  <c r="I22" i="1"/>
  <c r="O22" i="1"/>
  <c r="K20" i="1"/>
  <c r="L20" i="1" s="1"/>
  <c r="K23" i="1"/>
  <c r="L23" i="1" s="1"/>
  <c r="P24" i="1" l="1"/>
  <c r="Q24" i="1" s="1"/>
  <c r="R24" i="1" s="1"/>
  <c r="M24" i="1"/>
  <c r="N24" i="1"/>
  <c r="M22" i="1"/>
  <c r="P22" i="1"/>
  <c r="Q22" i="1" s="1"/>
  <c r="R22" i="1" s="1"/>
  <c r="N22" i="1"/>
  <c r="N23" i="1"/>
  <c r="P23" i="1"/>
  <c r="Q23" i="1" s="1"/>
  <c r="R23" i="1" s="1"/>
  <c r="M23" i="1"/>
  <c r="M20" i="1"/>
  <c r="P20" i="1"/>
  <c r="Q20" i="1" s="1"/>
  <c r="R20" i="1" s="1"/>
  <c r="N20" i="1"/>
  <c r="B13" i="1"/>
  <c r="B14" i="1" s="1"/>
  <c r="B15" i="1" s="1"/>
  <c r="B16" i="1" s="1"/>
  <c r="B11" i="1" l="1"/>
  <c r="B12" i="1"/>
</calcChain>
</file>

<file path=xl/sharedStrings.xml><?xml version="1.0" encoding="utf-8"?>
<sst xmlns="http://schemas.openxmlformats.org/spreadsheetml/2006/main" count="57" uniqueCount="52">
  <si>
    <t>Assumptions</t>
  </si>
  <si>
    <t>Carbon Standard</t>
  </si>
  <si>
    <t>lbs CO2/kWh</t>
  </si>
  <si>
    <t>Plant life</t>
  </si>
  <si>
    <t>Years</t>
  </si>
  <si>
    <t>CO2 Emissions Rate for Natural Gas</t>
  </si>
  <si>
    <t>lbs CO2/Btu</t>
  </si>
  <si>
    <t>Monetary Offset Rate - Current</t>
  </si>
  <si>
    <t>$/ton CO2</t>
  </si>
  <si>
    <t>Monetary Offset Rate - Proposed</t>
  </si>
  <si>
    <t>TCT Offset Price</t>
  </si>
  <si>
    <t>Social Cost of Carbon</t>
  </si>
  <si>
    <t>Results</t>
  </si>
  <si>
    <t>Increased Cost of Compliance</t>
  </si>
  <si>
    <t>$/kW</t>
  </si>
  <si>
    <t>Avg. Total Inc. in Cost of Compliance</t>
  </si>
  <si>
    <t xml:space="preserve">Avg, Increase Costs of Production </t>
  </si>
  <si>
    <t>$/MWh</t>
  </si>
  <si>
    <t xml:space="preserve">Avg. Reduction in Net GHG Emissions </t>
  </si>
  <si>
    <t>tCO2e/MWh</t>
  </si>
  <si>
    <t>Avg. Social Benefit of Rate Increase</t>
  </si>
  <si>
    <t>Avg. Net Impact of Rate Increase</t>
  </si>
  <si>
    <t>Description</t>
  </si>
  <si>
    <t>Net Capacity (MW)</t>
  </si>
  <si>
    <t>Capacity Factor</t>
  </si>
  <si>
    <t>Total Overnight Capital Costs ($)</t>
  </si>
  <si>
    <t>Avg. Full Load Heat Rate (HHV Btu/KWh)</t>
  </si>
  <si>
    <t>Gross Emissions Rate (lbs/kWh)</t>
  </si>
  <si>
    <t>Excess Emissions Rate (lbs/kWh)</t>
  </si>
  <si>
    <t>Required Emissions Reduction (%)</t>
  </si>
  <si>
    <t>Projects Annual Net Production (MWh)</t>
  </si>
  <si>
    <t>Total Annual Excess Emissions (Tons)</t>
  </si>
  <si>
    <t>Total Increased Cost of Compliance</t>
  </si>
  <si>
    <t>Increased Costs of Compliance ($/kw)</t>
  </si>
  <si>
    <t>% Increase over Total Capital Costs.</t>
  </si>
  <si>
    <t>Increased Cost of Compliance ($/MWh)</t>
  </si>
  <si>
    <t>Additional CO2 Offsets Achieved (tons)</t>
  </si>
  <si>
    <t>Social Benefit of Rate Increase ($)</t>
  </si>
  <si>
    <t>Net Impact of Rate Increase (Millions $)</t>
  </si>
  <si>
    <t>Combined Cycle - Single Shaft</t>
  </si>
  <si>
    <t>Combined Cycle - Multi Shaft</t>
  </si>
  <si>
    <t>Combustion Turbine - Aeroderivative</t>
  </si>
  <si>
    <t>Combustion Turbine - Industrial Frame</t>
  </si>
  <si>
    <t>Indicator #1</t>
  </si>
  <si>
    <t>Indicator #2</t>
  </si>
  <si>
    <t>Calculated Values</t>
  </si>
  <si>
    <t>Net Social Impacts</t>
  </si>
  <si>
    <t>Cost Estimates and Performance Characteristics*</t>
  </si>
  <si>
    <t xml:space="preserve">*Cost Estimates and Performance Characteristics from US Energy Information Administration; Assumptions to the Annual Energy Outlook 2020: Elecricity Module. January, 2020. Accessed from: https://www.eia.gov/outlooks/aeo/assumptions/pdf/electricity.pdf </t>
  </si>
  <si>
    <t>Total Overnight Capital Costs.** ($/kw)</t>
  </si>
  <si>
    <t xml:space="preserve">**Total overnight capital costs cost includes contingency factors and a regional multipliers to reflect prices in the Northwest Power Pool area. </t>
  </si>
  <si>
    <t>Reciprocating Internal Combustion 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</si>
</sst>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000"/>
    <numFmt numFmtId="167" formatCode="0.000"/>
    <numFmt numFmtId="168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8" fontId="0" fillId="3" borderId="0" xfId="0" applyNumberFormat="1" applyFill="1"/>
    <xf numFmtId="0" fontId="0" fillId="3" borderId="6" xfId="0" applyFill="1" applyBorder="1"/>
    <xf numFmtId="6" fontId="0" fillId="3" borderId="7" xfId="0" applyNumberFormat="1" applyFill="1" applyBorder="1"/>
    <xf numFmtId="0" fontId="0" fillId="3" borderId="8" xfId="0" applyFill="1" applyBorder="1"/>
    <xf numFmtId="6" fontId="0" fillId="0" borderId="0" xfId="0" applyNumberFormat="1"/>
    <xf numFmtId="0" fontId="0" fillId="4" borderId="2" xfId="0" applyFill="1" applyBorder="1"/>
    <xf numFmtId="0" fontId="0" fillId="4" borderId="3" xfId="0" applyFill="1" applyBorder="1"/>
    <xf numFmtId="0" fontId="0" fillId="5" borderId="4" xfId="0" applyFill="1" applyBorder="1"/>
    <xf numFmtId="44" fontId="0" fillId="0" borderId="0" xfId="1" applyFont="1"/>
    <xf numFmtId="0" fontId="0" fillId="5" borderId="5" xfId="0" applyFill="1" applyBorder="1"/>
    <xf numFmtId="0" fontId="0" fillId="5" borderId="6" xfId="0" applyFill="1" applyBorder="1"/>
    <xf numFmtId="8" fontId="0" fillId="5" borderId="7" xfId="0" applyNumberFormat="1" applyFill="1" applyBorder="1"/>
    <xf numFmtId="0" fontId="0" fillId="5" borderId="8" xfId="0" applyFill="1" applyBorder="1"/>
    <xf numFmtId="0" fontId="0" fillId="6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/>
    <xf numFmtId="44" fontId="0" fillId="0" borderId="9" xfId="1" applyFont="1" applyBorder="1"/>
    <xf numFmtId="167" fontId="0" fillId="0" borderId="9" xfId="0" applyNumberFormat="1" applyBorder="1"/>
    <xf numFmtId="9" fontId="0" fillId="0" borderId="9" xfId="2" applyFont="1" applyBorder="1"/>
    <xf numFmtId="168" fontId="0" fillId="0" borderId="9" xfId="2" applyNumberFormat="1" applyFont="1" applyBorder="1"/>
    <xf numFmtId="2" fontId="0" fillId="0" borderId="10" xfId="0" applyNumberFormat="1" applyBorder="1"/>
    <xf numFmtId="168" fontId="0" fillId="0" borderId="0" xfId="0" applyNumberFormat="1"/>
    <xf numFmtId="0" fontId="0" fillId="8" borderId="9" xfId="0" applyFill="1" applyBorder="1" applyAlignment="1">
      <alignment wrapText="1"/>
    </xf>
    <xf numFmtId="44" fontId="0" fillId="8" borderId="9" xfId="1" applyFont="1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2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2" borderId="1" xfId="0" applyFont="1" applyFill="1" applyBorder="1"/>
    <xf numFmtId="164" fontId="3" fillId="5" borderId="0" xfId="1" applyNumberFormat="1" applyFont="1" applyFill="1" applyBorder="1"/>
    <xf numFmtId="0" fontId="3" fillId="5" borderId="5" xfId="0" applyFont="1" applyFill="1" applyBorder="1"/>
    <xf numFmtId="165" fontId="3" fillId="5" borderId="0" xfId="0" applyNumberFormat="1" applyFont="1" applyFill="1" applyBorder="1"/>
    <xf numFmtId="8" fontId="0" fillId="5" borderId="0" xfId="0" applyNumberFormat="1" applyFill="1" applyBorder="1"/>
    <xf numFmtId="166" fontId="0" fillId="5" borderId="0" xfId="0" applyNumberForma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7" borderId="7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BDF9-DA17-4857-9388-773CB96EE923}">
  <dimension ref="A1:R28"/>
  <sheetViews>
    <sheetView tabSelected="1" workbookViewId="0">
      <selection activeCell="A22" sqref="A22"/>
    </sheetView>
  </sheetViews>
  <sheetFormatPr defaultRowHeight="15" x14ac:dyDescent="0.25"/>
  <cols>
    <col min="1" max="1" width="39.85546875" customWidth="1"/>
    <col min="2" max="2" width="12.140625" customWidth="1"/>
    <col min="3" max="3" width="12" customWidth="1"/>
    <col min="4" max="4" width="15.85546875" customWidth="1"/>
    <col min="5" max="5" width="14" customWidth="1"/>
    <col min="6" max="6" width="18" style="14" customWidth="1"/>
    <col min="7" max="7" width="10.28515625" customWidth="1"/>
    <col min="8" max="8" width="10.140625" customWidth="1"/>
    <col min="9" max="9" width="11.85546875" customWidth="1"/>
    <col min="10" max="10" width="12.42578125" customWidth="1"/>
    <col min="11" max="11" width="16.42578125" customWidth="1"/>
    <col min="12" max="12" width="15.7109375" customWidth="1"/>
    <col min="13" max="13" width="14.5703125" customWidth="1"/>
    <col min="14" max="14" width="13" customWidth="1"/>
    <col min="15" max="15" width="15.42578125" customWidth="1"/>
    <col min="16" max="16" width="15.28515625" customWidth="1"/>
    <col min="17" max="17" width="16.85546875" customWidth="1"/>
    <col min="18" max="18" width="15.7109375" customWidth="1"/>
    <col min="19" max="19" width="16.7109375" customWidth="1"/>
  </cols>
  <sheetData>
    <row r="1" spans="1:6" x14ac:dyDescent="0.25">
      <c r="A1" s="34" t="s">
        <v>0</v>
      </c>
      <c r="B1" s="1"/>
      <c r="C1" s="2"/>
      <c r="F1"/>
    </row>
    <row r="2" spans="1:6" x14ac:dyDescent="0.25">
      <c r="A2" s="3" t="s">
        <v>1</v>
      </c>
      <c r="B2" s="4">
        <v>0.61399999999999999</v>
      </c>
      <c r="C2" s="5" t="s">
        <v>2</v>
      </c>
      <c r="F2"/>
    </row>
    <row r="3" spans="1:6" x14ac:dyDescent="0.25">
      <c r="A3" s="3" t="s">
        <v>3</v>
      </c>
      <c r="B3" s="4">
        <v>30</v>
      </c>
      <c r="C3" s="5" t="s">
        <v>4</v>
      </c>
      <c r="F3"/>
    </row>
    <row r="4" spans="1:6" x14ac:dyDescent="0.25">
      <c r="A4" s="3" t="s">
        <v>5</v>
      </c>
      <c r="B4" s="4">
        <v>1.17E-4</v>
      </c>
      <c r="C4" s="5" t="s">
        <v>6</v>
      </c>
      <c r="F4"/>
    </row>
    <row r="5" spans="1:6" x14ac:dyDescent="0.25">
      <c r="A5" s="3" t="s">
        <v>7</v>
      </c>
      <c r="B5" s="6">
        <v>1.9</v>
      </c>
      <c r="C5" s="5" t="s">
        <v>8</v>
      </c>
      <c r="F5"/>
    </row>
    <row r="6" spans="1:6" x14ac:dyDescent="0.25">
      <c r="A6" s="3" t="s">
        <v>9</v>
      </c>
      <c r="B6" s="6">
        <v>2.85</v>
      </c>
      <c r="C6" s="5" t="s">
        <v>8</v>
      </c>
      <c r="F6"/>
    </row>
    <row r="7" spans="1:6" x14ac:dyDescent="0.25">
      <c r="A7" s="3" t="s">
        <v>10</v>
      </c>
      <c r="B7" s="6">
        <v>6</v>
      </c>
      <c r="C7" s="5" t="s">
        <v>8</v>
      </c>
      <c r="F7"/>
    </row>
    <row r="8" spans="1:6" x14ac:dyDescent="0.25">
      <c r="A8" s="7" t="s">
        <v>11</v>
      </c>
      <c r="B8" s="8">
        <v>57.63</v>
      </c>
      <c r="C8" s="9" t="s">
        <v>8</v>
      </c>
      <c r="F8"/>
    </row>
    <row r="9" spans="1:6" x14ac:dyDescent="0.25">
      <c r="B9" s="10"/>
      <c r="F9"/>
    </row>
    <row r="10" spans="1:6" x14ac:dyDescent="0.25">
      <c r="A10" s="33" t="s">
        <v>12</v>
      </c>
      <c r="B10" s="11"/>
      <c r="C10" s="12"/>
      <c r="F10"/>
    </row>
    <row r="11" spans="1:6" x14ac:dyDescent="0.25">
      <c r="A11" s="13" t="s">
        <v>13</v>
      </c>
      <c r="B11" s="35">
        <f>AVERAGE(M20:M24)</f>
        <v>15.841907591805001</v>
      </c>
      <c r="C11" s="36" t="s">
        <v>14</v>
      </c>
      <c r="F11"/>
    </row>
    <row r="12" spans="1:6" x14ac:dyDescent="0.25">
      <c r="A12" s="13" t="s">
        <v>15</v>
      </c>
      <c r="B12" s="37">
        <f>AVERAGE(N20:N24)</f>
        <v>1.5129510971758164E-2</v>
      </c>
      <c r="C12" s="36"/>
    </row>
    <row r="13" spans="1:6" x14ac:dyDescent="0.25">
      <c r="A13" s="13" t="s">
        <v>16</v>
      </c>
      <c r="B13" s="38">
        <f>AVERAGE($O$20:$O$24)</f>
        <v>0.154339375</v>
      </c>
      <c r="C13" s="15" t="s">
        <v>17</v>
      </c>
    </row>
    <row r="14" spans="1:6" x14ac:dyDescent="0.25">
      <c r="A14" s="13" t="s">
        <v>18</v>
      </c>
      <c r="B14" s="39">
        <f>(B13/B7)</f>
        <v>2.5723229166666667E-2</v>
      </c>
      <c r="C14" s="15" t="s">
        <v>19</v>
      </c>
    </row>
    <row r="15" spans="1:6" x14ac:dyDescent="0.25">
      <c r="A15" s="13" t="s">
        <v>20</v>
      </c>
      <c r="B15" s="38">
        <f>B14*$B$8</f>
        <v>1.4824296968750001</v>
      </c>
      <c r="C15" s="15" t="s">
        <v>17</v>
      </c>
    </row>
    <row r="16" spans="1:6" x14ac:dyDescent="0.25">
      <c r="A16" s="16" t="s">
        <v>21</v>
      </c>
      <c r="B16" s="17">
        <f>B15-B13</f>
        <v>1.3280903218750002</v>
      </c>
      <c r="C16" s="18" t="s">
        <v>17</v>
      </c>
    </row>
    <row r="17" spans="1:18" x14ac:dyDescent="0.25">
      <c r="B17" s="10"/>
      <c r="F17"/>
    </row>
    <row r="18" spans="1:18" x14ac:dyDescent="0.25">
      <c r="A18" s="42" t="s">
        <v>47</v>
      </c>
      <c r="B18" s="42"/>
      <c r="C18" s="42"/>
      <c r="D18" s="42"/>
      <c r="E18" s="42"/>
      <c r="F18" s="40" t="s">
        <v>45</v>
      </c>
      <c r="G18" s="40"/>
      <c r="H18" s="40"/>
      <c r="I18" s="40"/>
      <c r="J18" s="40"/>
      <c r="K18" s="40"/>
      <c r="L18" s="40"/>
      <c r="M18" s="41"/>
      <c r="N18" s="32" t="s">
        <v>43</v>
      </c>
      <c r="O18" s="32" t="s">
        <v>44</v>
      </c>
      <c r="P18" s="43" t="s">
        <v>46</v>
      </c>
      <c r="Q18" s="44"/>
      <c r="R18" s="44"/>
    </row>
    <row r="19" spans="1:18" s="20" customFormat="1" ht="60" x14ac:dyDescent="0.25">
      <c r="A19" s="28" t="s">
        <v>22</v>
      </c>
      <c r="B19" s="28" t="s">
        <v>23</v>
      </c>
      <c r="C19" s="28" t="s">
        <v>24</v>
      </c>
      <c r="D19" s="29" t="s">
        <v>49</v>
      </c>
      <c r="E19" s="28" t="s">
        <v>26</v>
      </c>
      <c r="F19" s="30" t="s">
        <v>25</v>
      </c>
      <c r="G19" s="30" t="s">
        <v>27</v>
      </c>
      <c r="H19" s="30" t="s">
        <v>28</v>
      </c>
      <c r="I19" s="30" t="s">
        <v>29</v>
      </c>
      <c r="J19" s="30" t="s">
        <v>30</v>
      </c>
      <c r="K19" s="30" t="s">
        <v>31</v>
      </c>
      <c r="L19" s="30" t="s">
        <v>32</v>
      </c>
      <c r="M19" s="30" t="s">
        <v>33</v>
      </c>
      <c r="N19" s="31" t="s">
        <v>34</v>
      </c>
      <c r="O19" s="31" t="s">
        <v>35</v>
      </c>
      <c r="P19" s="19" t="s">
        <v>36</v>
      </c>
      <c r="Q19" s="19" t="s">
        <v>37</v>
      </c>
      <c r="R19" s="19" t="s">
        <v>38</v>
      </c>
    </row>
    <row r="20" spans="1:18" x14ac:dyDescent="0.25">
      <c r="A20" s="21" t="s">
        <v>39</v>
      </c>
      <c r="B20" s="21">
        <v>418.3</v>
      </c>
      <c r="C20" s="21">
        <v>0.87</v>
      </c>
      <c r="D20" s="22">
        <v>1135</v>
      </c>
      <c r="E20" s="21">
        <v>6431</v>
      </c>
      <c r="F20" s="22">
        <f>D20*B20*1000</f>
        <v>474770500</v>
      </c>
      <c r="G20" s="23">
        <f>E20*$B$4</f>
        <v>0.75242699999999996</v>
      </c>
      <c r="H20" s="23">
        <f>G20-$B$2</f>
        <v>0.13842699999999997</v>
      </c>
      <c r="I20" s="24">
        <f>H20/G20</f>
        <v>0.18397399349039836</v>
      </c>
      <c r="J20" s="21">
        <f>B20*C20*8670</f>
        <v>3155195.07</v>
      </c>
      <c r="K20" s="21">
        <f t="shared" ref="K20:K21" si="0">J20*(H20/2)</f>
        <v>218382.09397744492</v>
      </c>
      <c r="L20" s="22">
        <f t="shared" ref="L20:L21" si="1">K20*($B$6-$B$5)*$B$3</f>
        <v>6223889.6783571821</v>
      </c>
      <c r="M20" s="22">
        <f>(L20/B20)/1000</f>
        <v>14.879009510774999</v>
      </c>
      <c r="N20" s="25">
        <f>L20/F20</f>
        <v>1.310925948085903E-2</v>
      </c>
      <c r="O20" s="22">
        <f>(H20*0.5)*0.95</f>
        <v>6.5752824999999987E-2</v>
      </c>
      <c r="P20" s="26">
        <f>L20/$B$7</f>
        <v>1037314.9463928636</v>
      </c>
      <c r="Q20" s="22">
        <f>(P20*$B$8)</f>
        <v>59780460.360620737</v>
      </c>
      <c r="R20" s="22">
        <f>(Q20-L20)/1000000</f>
        <v>53.556570682263555</v>
      </c>
    </row>
    <row r="21" spans="1:18" x14ac:dyDescent="0.25">
      <c r="A21" s="21" t="s">
        <v>40</v>
      </c>
      <c r="B21" s="21">
        <v>1083.3</v>
      </c>
      <c r="C21" s="21">
        <v>0.87</v>
      </c>
      <c r="D21" s="22">
        <v>985</v>
      </c>
      <c r="E21" s="21">
        <v>6370</v>
      </c>
      <c r="F21" s="22">
        <f>D21*B21*1000</f>
        <v>1067050500</v>
      </c>
      <c r="G21" s="23">
        <f t="shared" ref="G21" si="2">E21*$B$4</f>
        <v>0.74529000000000001</v>
      </c>
      <c r="H21" s="23">
        <f t="shared" ref="H21" si="3">G21-$B$2</f>
        <v>0.13129000000000002</v>
      </c>
      <c r="I21" s="24">
        <f t="shared" ref="I21" si="4">H21/G21</f>
        <v>0.17615961572005531</v>
      </c>
      <c r="J21" s="21">
        <f>B21*C21*8670</f>
        <v>8171223.5700000003</v>
      </c>
      <c r="K21" s="21">
        <f t="shared" si="0"/>
        <v>536399.97125265014</v>
      </c>
      <c r="L21" s="22">
        <f t="shared" si="1"/>
        <v>15287399.180700531</v>
      </c>
      <c r="M21" s="22">
        <f>(L21/B21)/1000</f>
        <v>14.111879609250007</v>
      </c>
      <c r="N21" s="25">
        <f>L21/F21</f>
        <v>1.4326781329187823E-2</v>
      </c>
      <c r="O21" s="22">
        <f>(H21/2)*0.95</f>
        <v>6.2362750000000008E-2</v>
      </c>
      <c r="P21" s="26">
        <f>L21/$B$7</f>
        <v>2547899.8634500885</v>
      </c>
      <c r="Q21" s="22">
        <f t="shared" ref="Q21" si="5">P21*$B$8</f>
        <v>146835469.13062862</v>
      </c>
      <c r="R21" s="22">
        <f>(Q21-L21)/1000000</f>
        <v>131.54806994992808</v>
      </c>
    </row>
    <row r="22" spans="1:18" x14ac:dyDescent="0.25">
      <c r="A22" s="21" t="s">
        <v>51</v>
      </c>
      <c r="B22" s="21">
        <v>21.4</v>
      </c>
      <c r="C22" s="21">
        <v>0.3</v>
      </c>
      <c r="D22" s="22">
        <v>1904</v>
      </c>
      <c r="E22" s="21">
        <v>8295</v>
      </c>
      <c r="F22" s="22">
        <f>D22*B22*1000</f>
        <v>40745600</v>
      </c>
      <c r="G22" s="23">
        <f>E22*$B$4</f>
        <v>0.97051500000000002</v>
      </c>
      <c r="H22" s="23">
        <f>G22-$B$2</f>
        <v>0.35651500000000003</v>
      </c>
      <c r="I22" s="24">
        <f>H22/G22</f>
        <v>0.36734620278924079</v>
      </c>
      <c r="J22" s="21">
        <f>B22*C22*8670</f>
        <v>55661.399999999994</v>
      </c>
      <c r="K22" s="21">
        <f>J22*(H22/2)</f>
        <v>9922.0620104999998</v>
      </c>
      <c r="L22" s="22">
        <f>K22*($B$6-$B$5)*$B$3</f>
        <v>282778.76729925</v>
      </c>
      <c r="M22" s="22">
        <f>(L22/B22)/1000</f>
        <v>13.213961088750001</v>
      </c>
      <c r="N22" s="25">
        <f>L22/F22</f>
        <v>6.9401056138392861E-3</v>
      </c>
      <c r="O22" s="22">
        <f>(H22/2)*0.95</f>
        <v>0.169344625</v>
      </c>
      <c r="P22" s="26">
        <f>L22/$B$7</f>
        <v>47129.794549874998</v>
      </c>
      <c r="Q22" s="22">
        <f>P22*$B$8</f>
        <v>2716090.0599092962</v>
      </c>
      <c r="R22" s="22">
        <f>(Q22-L22)/1000000</f>
        <v>2.4333112926100466</v>
      </c>
    </row>
    <row r="23" spans="1:18" x14ac:dyDescent="0.25">
      <c r="A23" s="21" t="s">
        <v>41</v>
      </c>
      <c r="B23" s="21">
        <v>105.1</v>
      </c>
      <c r="C23" s="21">
        <v>0.3</v>
      </c>
      <c r="D23" s="22">
        <v>1212</v>
      </c>
      <c r="E23" s="21">
        <v>9124</v>
      </c>
      <c r="F23" s="22">
        <f>D23*B23*1000</f>
        <v>127381200</v>
      </c>
      <c r="G23" s="23">
        <f>E23*$B$4</f>
        <v>1.0675079999999999</v>
      </c>
      <c r="H23" s="23">
        <f>G23-$B$2</f>
        <v>0.45350799999999991</v>
      </c>
      <c r="I23" s="24">
        <f>H23/G23</f>
        <v>0.42482866638938532</v>
      </c>
      <c r="J23" s="21">
        <f>B23*C23*8670</f>
        <v>273365.09999999998</v>
      </c>
      <c r="K23" s="21">
        <f>J23*(H23/2)</f>
        <v>61986.629885399983</v>
      </c>
      <c r="L23" s="22">
        <f>K23*($B$6-$B$5)*$B$3</f>
        <v>1766618.9517338998</v>
      </c>
      <c r="M23" s="22">
        <f>(L23/B23)/1000</f>
        <v>16.808933888999999</v>
      </c>
      <c r="N23" s="25">
        <f>L23/F23</f>
        <v>1.3868757334158413E-2</v>
      </c>
      <c r="O23" s="22">
        <f>(H23/2)*0.95</f>
        <v>0.21541629999999995</v>
      </c>
      <c r="P23" s="26">
        <f>L23/$B$7</f>
        <v>294436.49195564998</v>
      </c>
      <c r="Q23" s="22">
        <f>P23*$B$8</f>
        <v>16968375.031404108</v>
      </c>
      <c r="R23" s="22">
        <f>(Q23-L23)/1000000</f>
        <v>15.201756079670208</v>
      </c>
    </row>
    <row r="24" spans="1:18" x14ac:dyDescent="0.25">
      <c r="A24" s="21" t="s">
        <v>42</v>
      </c>
      <c r="B24" s="21">
        <v>232.6</v>
      </c>
      <c r="C24" s="21">
        <v>0.3</v>
      </c>
      <c r="D24" s="22">
        <v>737</v>
      </c>
      <c r="E24" s="21">
        <v>9905</v>
      </c>
      <c r="F24" s="22">
        <f>D24*B24*1000</f>
        <v>171426199.99999997</v>
      </c>
      <c r="G24" s="23">
        <f>E24*$B$4</f>
        <v>1.1588849999999999</v>
      </c>
      <c r="H24" s="23">
        <f>G24-$B$2</f>
        <v>0.54488499999999995</v>
      </c>
      <c r="I24" s="24">
        <f>H24/G24</f>
        <v>0.4701803889083041</v>
      </c>
      <c r="J24" s="21">
        <f>B24*C24*8670</f>
        <v>604992.6</v>
      </c>
      <c r="K24" s="21">
        <f>J24*(H24/2)</f>
        <v>164825.69642549998</v>
      </c>
      <c r="L24" s="22">
        <f>K24*($B$6-$B$5)*$B$3</f>
        <v>4697532.3481267495</v>
      </c>
      <c r="M24" s="22">
        <f>(L24/B24)/1000</f>
        <v>20.195753861250001</v>
      </c>
      <c r="N24" s="25">
        <f>L24/F24</f>
        <v>2.7402651100746269E-2</v>
      </c>
      <c r="O24" s="22">
        <f>(H24/2)*0.95</f>
        <v>0.25882037499999999</v>
      </c>
      <c r="P24" s="26">
        <f>L24/$B$7</f>
        <v>782922.05802112492</v>
      </c>
      <c r="Q24" s="22">
        <f>P24*$B$8</f>
        <v>45119798.203757428</v>
      </c>
      <c r="R24" s="22">
        <f>(Q24-L24)/1000000</f>
        <v>40.422265855630684</v>
      </c>
    </row>
    <row r="25" spans="1:18" x14ac:dyDescent="0.25">
      <c r="D25" s="14"/>
      <c r="F25"/>
      <c r="N25" s="27"/>
    </row>
    <row r="27" spans="1:18" x14ac:dyDescent="0.25">
      <c r="A27" t="s">
        <v>48</v>
      </c>
    </row>
    <row r="28" spans="1:18" x14ac:dyDescent="0.25">
      <c r="A28" t="s">
        <v>50</v>
      </c>
    </row>
  </sheetData>
  <mergeCells count="3">
    <mergeCell ref="F18:M18"/>
    <mergeCell ref="A18:E18"/>
    <mergeCell ref="P18:R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329AB3E663C478F512992C291CB00" ma:contentTypeVersion="8" ma:contentTypeDescription="Create a new document." ma:contentTypeScope="" ma:versionID="808e5bdabc25d65233e9d3631d004aaa">
  <xsd:schema xmlns:xsd="http://www.w3.org/2001/XMLSchema" xmlns:xs="http://www.w3.org/2001/XMLSchema" xmlns:p="http://schemas.microsoft.com/office/2006/metadata/properties" xmlns:ns2="607131e1-f8a6-40cc-b6ca-5fe3222ac3de" xmlns:ns3="b9ad4448-539c-4dd7-8bf2-db70bf7e3232" targetNamespace="http://schemas.microsoft.com/office/2006/metadata/properties" ma:root="true" ma:fieldsID="565ef032ccfb7934ff4b4653b482ea30" ns2:_="" ns3:_="">
    <xsd:import namespace="607131e1-f8a6-40cc-b6ca-5fe3222ac3de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2:Category"/>
                <xsd:element ref="ns2:Expiry_x0020_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131e1-f8a6-40cc-b6ca-5fe3222ac3de" elementFormDefault="qualified">
    <xsd:import namespace="http://schemas.microsoft.com/office/2006/documentManagement/types"/>
    <xsd:import namespace="http://schemas.microsoft.com/office/infopath/2007/PartnerControls"/>
    <xsd:element name="Category" ma:index="4" ma:displayName="Category" ma:list="{e7f08f15-ee24-458b-ad09-b6ed3ea035be}" ma:internalName="Category" ma:readOnly="false" ma:showField="Code">
      <xsd:simpleType>
        <xsd:restriction base="dms:Lookup"/>
      </xsd:simpleType>
    </xsd:element>
    <xsd:element name="Expiry_x0020_Date" ma:index="5" nillable="true" ma:displayName="Expiry Date" ma:format="DateOnly" ma:internalName="Expiry_x0020_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607131e1-f8a6-40cc-b6ca-5fe3222ac3de">17</Category>
    <Expiry_x0020_Date xmlns="607131e1-f8a6-40cc-b6ca-5fe3222ac3de">2021-06-30T07:00:00+00:00</Expiry_x0020_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D365A-2015-4968-8818-77335B52F02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E2D88F-8633-447F-A857-A4231468EB7B}"/>
</file>

<file path=customXml/itemProps3.xml><?xml version="1.0" encoding="utf-8"?>
<ds:datastoreItem xmlns:ds="http://schemas.openxmlformats.org/officeDocument/2006/customXml" ds:itemID="{3760F874-B5D9-49E0-91E2-A50F56FEC73E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8928f6f-e2a6-4f85-9810-94b46c46293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ADD192-8A37-4467-871B-AAAA72243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Econ. Achievability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Christopher Clark</dc:creator>
  <cp:lastModifiedBy>Christopher Clark</cp:lastModifiedBy>
  <dcterms:created xsi:type="dcterms:W3CDTF">2020-05-08T18:43:14Z</dcterms:created>
  <dcterms:modified xsi:type="dcterms:W3CDTF">2020-05-11T16:10:46Z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0x01010054A329AB3E663C478F512992C291CB00</vt:lpwstr>
  </property>
  <property fmtid="{D5CDD505-2E9C-101B-9397-08002B2CF9AE}" pid="3" name="_dlc_DocIdItemGuid">
    <vt:lpwstr>e5b4dc97-1412-4187-90e0-a29c0849ce3c</vt:lpwstr>
  </property>
</Properties>
</file>