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style2.xml" ContentType="application/vnd.ms-office.chartsty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F:\Transit and School Bus Electrification\Bus EV Cost Tools\For Schools\Jessica's Team\"/>
    </mc:Choice>
  </mc:AlternateContent>
  <xr:revisionPtr revIDLastSave="0" documentId="13_ncr:1_{CB984F39-47AF-4B93-B37D-CD0C614183AC}" xr6:coauthVersionLast="46" xr6:coauthVersionMax="46" xr10:uidLastSave="{00000000-0000-0000-0000-000000000000}"/>
  <bookViews>
    <workbookView xWindow="-25620" yWindow="390" windowWidth="24600" windowHeight="14130" xr2:uid="{4070D5CB-2D31-4841-9250-21679338E9AC}"/>
  </bookViews>
  <sheets>
    <sheet name="Instructions" sheetId="14" r:id="rId1"/>
    <sheet name="Inputs" sheetId="1" r:id="rId2"/>
    <sheet name="Summary" sheetId="13" r:id="rId3"/>
    <sheet name="Fleet Carbon Footprint" sheetId="12" r:id="rId4"/>
    <sheet name="Bus 1 Calc" sheetId="9" state="hidden" r:id="rId5"/>
    <sheet name="Bus 2 Calc" sheetId="15" state="hidden" r:id="rId6"/>
    <sheet name="Default Data" sheetId="3" state="hidden" r:id="rId7"/>
    <sheet name="School Bus Table" sheetId="2" state="hidden" r:id="rId8"/>
    <sheet name="CIs for 2020" sheetId="6" state="hidden" r:id="rId9"/>
    <sheet name="Fuel Factors" sheetId="7" state="hidden" r:id="rId10"/>
    <sheet name="CFP Credit Estimator" sheetId="11" state="hidden" r:id="rId11"/>
    <sheet name="Bus Price-Infrastructure" sheetId="4" state="hidden" r:id="rId12"/>
    <sheet name="Maint-Fuel mpg" sheetId="5" state="hidden" r:id="rId13"/>
    <sheet name="Criteria Polutant Data" sheetId="10" state="hidden" r:id="rId14"/>
    <sheet name="CPI" sheetId="8" state="hidden" r:id="rId15"/>
    <sheet name="ESRI_MAPINFO_SHEET" sheetId="16" state="veryHidden" r:id="rId16"/>
  </sheets>
  <externalReferences>
    <externalReference r:id="rId17"/>
  </externalReferences>
  <definedNames>
    <definedName name="Bustypes">'[1]Default Data'!$A$2:$A$12</definedName>
    <definedName name="_xlnm.Print_Area" localSheetId="2">Summary!$65:$65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E15" i="1" l="1"/>
  <c r="E11" i="1"/>
  <c r="E8" i="1"/>
  <c r="W61" i="6" l="1"/>
  <c r="H59" i="6" l="1"/>
  <c r="K59" i="6"/>
  <c r="N59" i="6"/>
  <c r="Q59" i="6"/>
  <c r="T59" i="6"/>
  <c r="W59" i="6"/>
  <c r="Z59" i="6"/>
  <c r="AC59" i="6" l="1"/>
  <c r="E3" i="6"/>
  <c r="AJ56" i="6" l="1"/>
  <c r="O5" i="9" l="1"/>
  <c r="M5" i="15" l="1"/>
  <c r="M5" i="9"/>
  <c r="M6" i="8" l="1"/>
  <c r="N48" i="13" l="1"/>
  <c r="N49" i="13"/>
  <c r="N50" i="13"/>
  <c r="N51" i="13"/>
  <c r="N52" i="13"/>
  <c r="N53" i="13"/>
  <c r="N54" i="13"/>
  <c r="N55" i="13"/>
  <c r="D49" i="7" l="1"/>
  <c r="H52" i="7" s="1"/>
  <c r="H34" i="7"/>
  <c r="H22" i="7"/>
  <c r="D31" i="7"/>
  <c r="G24" i="7" l="1"/>
  <c r="G77" i="7" l="1"/>
  <c r="J22" i="15" l="1"/>
  <c r="D22" i="15"/>
  <c r="C19" i="15"/>
  <c r="D19" i="15"/>
  <c r="E19" i="15"/>
  <c r="F19" i="15"/>
  <c r="G19" i="15"/>
  <c r="H19" i="15"/>
  <c r="I19" i="15"/>
  <c r="J19" i="15"/>
  <c r="K19" i="15"/>
  <c r="B19" i="15"/>
  <c r="B19" i="9"/>
  <c r="C19" i="9"/>
  <c r="D19" i="9"/>
  <c r="E19" i="9"/>
  <c r="F19" i="9"/>
  <c r="G19" i="9"/>
  <c r="H19" i="9"/>
  <c r="I19" i="9"/>
  <c r="J19" i="9"/>
  <c r="K19" i="9"/>
  <c r="F156" i="2"/>
  <c r="N56" i="13" l="1"/>
  <c r="N57" i="13"/>
  <c r="N58" i="13"/>
  <c r="N59" i="13"/>
  <c r="N60" i="13"/>
  <c r="N61" i="13"/>
  <c r="N62" i="13"/>
  <c r="D50" i="13"/>
  <c r="B50" i="13"/>
  <c r="B29" i="10" l="1"/>
  <c r="C29" i="10" s="1"/>
  <c r="B28" i="10"/>
  <c r="C28" i="10" s="1"/>
  <c r="B25" i="10"/>
  <c r="C25" i="10" s="1"/>
  <c r="W7" i="3" s="1"/>
  <c r="B24" i="10"/>
  <c r="C24" i="10" s="1"/>
  <c r="B21" i="10"/>
  <c r="C21" i="10" s="1"/>
  <c r="B20" i="10"/>
  <c r="C20" i="10" s="1"/>
  <c r="B16" i="10"/>
  <c r="C16" i="10" s="1"/>
  <c r="B15" i="10"/>
  <c r="C15" i="10" s="1"/>
  <c r="B9" i="10"/>
  <c r="C9" i="10" s="1"/>
  <c r="D9" i="10" s="1"/>
  <c r="X4" i="3" s="1"/>
  <c r="C8" i="10"/>
  <c r="B8" i="10"/>
  <c r="B5" i="10"/>
  <c r="C5" i="10" s="1"/>
  <c r="B4" i="10"/>
  <c r="C4" i="10" s="1"/>
  <c r="B3" i="10"/>
  <c r="C3" i="10" s="1"/>
  <c r="B2" i="10"/>
  <c r="B74" i="5"/>
  <c r="G70" i="5"/>
  <c r="E70" i="5"/>
  <c r="C70" i="5"/>
  <c r="E68" i="5"/>
  <c r="Q55" i="5"/>
  <c r="P55" i="5"/>
  <c r="O55" i="5"/>
  <c r="N55" i="5"/>
  <c r="M55" i="5"/>
  <c r="L55" i="5"/>
  <c r="K55" i="5"/>
  <c r="J55" i="5"/>
  <c r="I55" i="5"/>
  <c r="H55" i="5"/>
  <c r="G55" i="5"/>
  <c r="F55" i="5"/>
  <c r="E55" i="5"/>
  <c r="D55" i="5"/>
  <c r="C51" i="5"/>
  <c r="D51" i="5" s="1"/>
  <c r="E51" i="5" s="1"/>
  <c r="F51" i="5" s="1"/>
  <c r="G51" i="5" s="1"/>
  <c r="H51" i="5" s="1"/>
  <c r="I51" i="5" s="1"/>
  <c r="J51" i="5" s="1"/>
  <c r="K51" i="5" s="1"/>
  <c r="L51" i="5" s="1"/>
  <c r="M51" i="5" s="1"/>
  <c r="N51" i="5" s="1"/>
  <c r="O51" i="5" s="1"/>
  <c r="P51" i="5" s="1"/>
  <c r="Q51" i="5" s="1"/>
  <c r="R51" i="5" s="1"/>
  <c r="S51" i="5" s="1"/>
  <c r="T51" i="5" s="1"/>
  <c r="U51" i="5" s="1"/>
  <c r="V51" i="5" s="1"/>
  <c r="W51" i="5" s="1"/>
  <c r="C50" i="5"/>
  <c r="D50" i="5" s="1"/>
  <c r="E50" i="5" s="1"/>
  <c r="F50" i="5" s="1"/>
  <c r="G50" i="5" s="1"/>
  <c r="H50" i="5" s="1"/>
  <c r="I50" i="5" s="1"/>
  <c r="J50" i="5" s="1"/>
  <c r="K50" i="5" s="1"/>
  <c r="L50" i="5" s="1"/>
  <c r="M50" i="5" s="1"/>
  <c r="N50" i="5" s="1"/>
  <c r="O50" i="5" s="1"/>
  <c r="P50" i="5" s="1"/>
  <c r="Q50" i="5" s="1"/>
  <c r="R50" i="5" s="1"/>
  <c r="S50" i="5" s="1"/>
  <c r="T50" i="5" s="1"/>
  <c r="U50" i="5" s="1"/>
  <c r="V50" i="5" s="1"/>
  <c r="W50" i="5" s="1"/>
  <c r="C49" i="5"/>
  <c r="D49" i="5" s="1"/>
  <c r="C48" i="5"/>
  <c r="D48" i="5" s="1"/>
  <c r="E48" i="5" s="1"/>
  <c r="F48" i="5" s="1"/>
  <c r="G48" i="5" s="1"/>
  <c r="H48" i="5" s="1"/>
  <c r="I48" i="5" s="1"/>
  <c r="J48" i="5" s="1"/>
  <c r="K48" i="5" s="1"/>
  <c r="L48" i="5" s="1"/>
  <c r="M48" i="5" s="1"/>
  <c r="N48" i="5" s="1"/>
  <c r="O48" i="5" s="1"/>
  <c r="P48" i="5" s="1"/>
  <c r="Q48" i="5" s="1"/>
  <c r="R48" i="5" s="1"/>
  <c r="S48" i="5" s="1"/>
  <c r="T48" i="5" s="1"/>
  <c r="U48" i="5" s="1"/>
  <c r="V48" i="5" s="1"/>
  <c r="W48" i="5" s="1"/>
  <c r="D47" i="5"/>
  <c r="E47" i="5" s="1"/>
  <c r="F47" i="5" s="1"/>
  <c r="G47" i="5" s="1"/>
  <c r="H47" i="5" s="1"/>
  <c r="I47" i="5" s="1"/>
  <c r="J47" i="5" s="1"/>
  <c r="K47" i="5" s="1"/>
  <c r="L47" i="5" s="1"/>
  <c r="M47" i="5" s="1"/>
  <c r="N47" i="5" s="1"/>
  <c r="O47" i="5" s="1"/>
  <c r="P47" i="5" s="1"/>
  <c r="Q47" i="5" s="1"/>
  <c r="R47" i="5" s="1"/>
  <c r="S47" i="5" s="1"/>
  <c r="T47" i="5" s="1"/>
  <c r="U47" i="5" s="1"/>
  <c r="V47" i="5" s="1"/>
  <c r="W47" i="5" s="1"/>
  <c r="C47" i="5"/>
  <c r="G42" i="5"/>
  <c r="E42" i="5"/>
  <c r="K34" i="5"/>
  <c r="G34" i="5"/>
  <c r="E34" i="5"/>
  <c r="C34" i="5"/>
  <c r="G8" i="2" s="1"/>
  <c r="H7" i="3" s="1"/>
  <c r="B34" i="5"/>
  <c r="I7" i="5"/>
  <c r="I10" i="5" s="1"/>
  <c r="I34" i="5" s="1"/>
  <c r="I35" i="5" s="1"/>
  <c r="G7" i="5"/>
  <c r="G10" i="5" s="1"/>
  <c r="I56" i="4"/>
  <c r="E56" i="4"/>
  <c r="E40" i="4"/>
  <c r="D40" i="4"/>
  <c r="C40" i="4"/>
  <c r="B40" i="4"/>
  <c r="G38" i="4"/>
  <c r="G40" i="4" s="1"/>
  <c r="Q7" i="3" s="1"/>
  <c r="E35" i="4"/>
  <c r="B35" i="4"/>
  <c r="G33" i="4"/>
  <c r="G31" i="4"/>
  <c r="G30" i="4"/>
  <c r="G29" i="4"/>
  <c r="K7" i="4"/>
  <c r="E7" i="4"/>
  <c r="D7" i="4"/>
  <c r="C7" i="4"/>
  <c r="B7" i="4"/>
  <c r="F6" i="4" s="1"/>
  <c r="F7" i="4" s="1"/>
  <c r="J6" i="4"/>
  <c r="I6" i="4"/>
  <c r="H6" i="4"/>
  <c r="J5" i="4"/>
  <c r="I5" i="4"/>
  <c r="H5" i="4"/>
  <c r="J4" i="4"/>
  <c r="I4" i="4"/>
  <c r="H4" i="4"/>
  <c r="J3" i="4"/>
  <c r="I3" i="4"/>
  <c r="H3" i="4"/>
  <c r="J253" i="11"/>
  <c r="J252" i="11"/>
  <c r="J251" i="11"/>
  <c r="J250" i="11"/>
  <c r="J249" i="11"/>
  <c r="J248" i="11"/>
  <c r="J247" i="11"/>
  <c r="J246" i="11"/>
  <c r="J245" i="11"/>
  <c r="J244" i="11"/>
  <c r="J242" i="11"/>
  <c r="J241" i="11"/>
  <c r="J240" i="11"/>
  <c r="J239" i="11"/>
  <c r="J238" i="11"/>
  <c r="J237" i="11"/>
  <c r="J236" i="11"/>
  <c r="J231" i="11"/>
  <c r="J230" i="11"/>
  <c r="J229" i="11"/>
  <c r="J228" i="11"/>
  <c r="J227" i="11"/>
  <c r="J226" i="11"/>
  <c r="J225" i="11"/>
  <c r="J224" i="11"/>
  <c r="J223" i="11"/>
  <c r="J222" i="11"/>
  <c r="J206" i="11"/>
  <c r="F203" i="11"/>
  <c r="J203" i="11" s="1"/>
  <c r="J202" i="11"/>
  <c r="J186" i="11"/>
  <c r="F183" i="11"/>
  <c r="F184" i="11" s="1"/>
  <c r="J182" i="11"/>
  <c r="F131" i="11"/>
  <c r="J131" i="11" s="1"/>
  <c r="F115" i="11"/>
  <c r="F116" i="11" s="1"/>
  <c r="J114" i="11"/>
  <c r="F114" i="11"/>
  <c r="F97" i="11"/>
  <c r="L95" i="11"/>
  <c r="J64" i="11"/>
  <c r="J63" i="11"/>
  <c r="J62" i="11"/>
  <c r="J61" i="11"/>
  <c r="J60" i="11"/>
  <c r="J43" i="11"/>
  <c r="F39" i="11"/>
  <c r="J39" i="11" s="1"/>
  <c r="F19" i="11"/>
  <c r="F20" i="11" s="1"/>
  <c r="F21" i="11" s="1"/>
  <c r="J16" i="11"/>
  <c r="J15" i="11"/>
  <c r="J14" i="11"/>
  <c r="J13" i="11"/>
  <c r="J12" i="11"/>
  <c r="J11" i="11"/>
  <c r="J10" i="11"/>
  <c r="J9" i="11"/>
  <c r="J8" i="11"/>
  <c r="J7" i="11"/>
  <c r="C79" i="7"/>
  <c r="G79" i="7" s="1"/>
  <c r="D78" i="7"/>
  <c r="D77" i="7"/>
  <c r="D76" i="7"/>
  <c r="D75" i="7"/>
  <c r="D74" i="7"/>
  <c r="E71" i="7"/>
  <c r="I62" i="7"/>
  <c r="G54" i="7"/>
  <c r="Q53" i="7"/>
  <c r="E53" i="7"/>
  <c r="D53" i="7"/>
  <c r="G53" i="7" s="1"/>
  <c r="G52" i="7"/>
  <c r="Q51" i="7"/>
  <c r="Q50" i="7"/>
  <c r="G45" i="7"/>
  <c r="G44" i="7"/>
  <c r="Q40" i="7"/>
  <c r="Q39" i="7"/>
  <c r="G36" i="7"/>
  <c r="G35" i="7"/>
  <c r="G34" i="7"/>
  <c r="C30" i="7"/>
  <c r="B30" i="7"/>
  <c r="T29" i="7"/>
  <c r="Q29" i="7"/>
  <c r="G26" i="7"/>
  <c r="D25" i="7"/>
  <c r="G25" i="7" s="1"/>
  <c r="C19" i="7"/>
  <c r="B19" i="7"/>
  <c r="M17" i="7"/>
  <c r="E15" i="7"/>
  <c r="E14" i="7"/>
  <c r="E13" i="7"/>
  <c r="I15" i="7" s="1"/>
  <c r="M12" i="7"/>
  <c r="Q18" i="7" s="1"/>
  <c r="Q19" i="7" s="1"/>
  <c r="Q23" i="7" s="1"/>
  <c r="V10" i="7"/>
  <c r="Q9" i="7"/>
  <c r="Q10" i="7" s="1"/>
  <c r="Q11" i="7" s="1"/>
  <c r="Q12" i="7" s="1"/>
  <c r="D9" i="7"/>
  <c r="C9" i="7"/>
  <c r="B9" i="7"/>
  <c r="E5" i="7"/>
  <c r="E4" i="7"/>
  <c r="E3" i="7"/>
  <c r="I5" i="7" s="1"/>
  <c r="R2" i="7"/>
  <c r="R47" i="7" s="1"/>
  <c r="AB58" i="6"/>
  <c r="AA58" i="6"/>
  <c r="AC58" i="6" s="1"/>
  <c r="Y57" i="6"/>
  <c r="X57" i="6"/>
  <c r="X58" i="6" s="1"/>
  <c r="V57" i="6"/>
  <c r="W57" i="6" s="1"/>
  <c r="U57" i="6"/>
  <c r="U58" i="6" s="1"/>
  <c r="S57" i="6"/>
  <c r="S58" i="6" s="1"/>
  <c r="R57" i="6"/>
  <c r="R58" i="6" s="1"/>
  <c r="P57" i="6"/>
  <c r="O57" i="6"/>
  <c r="O58" i="6" s="1"/>
  <c r="M57" i="6"/>
  <c r="M58" i="6" s="1"/>
  <c r="L57" i="6"/>
  <c r="L58" i="6" s="1"/>
  <c r="J57" i="6"/>
  <c r="J58" i="6" s="1"/>
  <c r="I57" i="6"/>
  <c r="I58" i="6" s="1"/>
  <c r="G57" i="6"/>
  <c r="G58" i="6" s="1"/>
  <c r="F57" i="6"/>
  <c r="F58" i="6" s="1"/>
  <c r="D57" i="6"/>
  <c r="E57" i="6" s="1"/>
  <c r="C57" i="6"/>
  <c r="AB54" i="6"/>
  <c r="AC54" i="6" s="1"/>
  <c r="AA54" i="6"/>
  <c r="AI53" i="6" s="1"/>
  <c r="AQ53" i="6"/>
  <c r="AM53" i="6"/>
  <c r="AL53" i="6"/>
  <c r="AE53" i="6"/>
  <c r="Z53" i="6"/>
  <c r="AP53" i="6" s="1"/>
  <c r="W53" i="6"/>
  <c r="AO53" i="6" s="1"/>
  <c r="T53" i="6"/>
  <c r="AN53" i="6" s="1"/>
  <c r="AQ52" i="6"/>
  <c r="AM52" i="6"/>
  <c r="AL52" i="6"/>
  <c r="AI52" i="6"/>
  <c r="Z52" i="6"/>
  <c r="AP52" i="6" s="1"/>
  <c r="W52" i="6"/>
  <c r="AO52" i="6" s="1"/>
  <c r="T52" i="6"/>
  <c r="K52" i="6"/>
  <c r="H52" i="6"/>
  <c r="E52" i="6"/>
  <c r="AQ51" i="6"/>
  <c r="AI51" i="6"/>
  <c r="Z51" i="6"/>
  <c r="AE51" i="6" s="1"/>
  <c r="W51" i="6"/>
  <c r="AO51" i="6" s="1"/>
  <c r="T51" i="6"/>
  <c r="AN51" i="6" s="1"/>
  <c r="Q51" i="6"/>
  <c r="AM51" i="6" s="1"/>
  <c r="N51" i="6"/>
  <c r="AL51" i="6" s="1"/>
  <c r="K51" i="6"/>
  <c r="H51" i="6"/>
  <c r="E51" i="6"/>
  <c r="AQ50" i="6"/>
  <c r="AO50" i="6"/>
  <c r="AI50" i="6"/>
  <c r="Z50" i="6"/>
  <c r="W50" i="6"/>
  <c r="T50" i="6"/>
  <c r="AN50" i="6" s="1"/>
  <c r="Q50" i="6"/>
  <c r="AM50" i="6" s="1"/>
  <c r="N50" i="6"/>
  <c r="AL50" i="6" s="1"/>
  <c r="AQ49" i="6"/>
  <c r="AO49" i="6"/>
  <c r="AN49" i="6"/>
  <c r="AM49" i="6"/>
  <c r="AL49" i="6"/>
  <c r="AI49" i="6"/>
  <c r="AD49" i="6"/>
  <c r="Z49" i="6"/>
  <c r="AQ48" i="6"/>
  <c r="AI48" i="6"/>
  <c r="Z48" i="6"/>
  <c r="AP48" i="6" s="1"/>
  <c r="W48" i="6"/>
  <c r="AO48" i="6" s="1"/>
  <c r="T48" i="6"/>
  <c r="AN48" i="6" s="1"/>
  <c r="Q48" i="6"/>
  <c r="AM48" i="6" s="1"/>
  <c r="N48" i="6"/>
  <c r="AL48" i="6" s="1"/>
  <c r="K48" i="6"/>
  <c r="H48" i="6"/>
  <c r="E48" i="6"/>
  <c r="AQ47" i="6"/>
  <c r="AI47" i="6"/>
  <c r="Z47" i="6"/>
  <c r="AP47" i="6" s="1"/>
  <c r="W47" i="6"/>
  <c r="AO47" i="6" s="1"/>
  <c r="T47" i="6"/>
  <c r="AN47" i="6" s="1"/>
  <c r="Q47" i="6"/>
  <c r="AM47" i="6" s="1"/>
  <c r="N47" i="6"/>
  <c r="AL47" i="6" s="1"/>
  <c r="K47" i="6"/>
  <c r="H47" i="6"/>
  <c r="E47" i="6"/>
  <c r="AQ46" i="6"/>
  <c r="AL46" i="6"/>
  <c r="AI46" i="6"/>
  <c r="Z46" i="6"/>
  <c r="AP46" i="6" s="1"/>
  <c r="W46" i="6"/>
  <c r="AO46" i="6" s="1"/>
  <c r="T46" i="6"/>
  <c r="AN46" i="6" s="1"/>
  <c r="Q46" i="6"/>
  <c r="AQ45" i="6"/>
  <c r="AI45" i="6"/>
  <c r="Z45" i="6"/>
  <c r="AP45" i="6" s="1"/>
  <c r="W45" i="6"/>
  <c r="AO45" i="6" s="1"/>
  <c r="T45" i="6"/>
  <c r="Q45" i="6"/>
  <c r="AM45" i="6" s="1"/>
  <c r="N45" i="6"/>
  <c r="AL45" i="6" s="1"/>
  <c r="K45" i="6"/>
  <c r="H45" i="6"/>
  <c r="E45" i="6"/>
  <c r="AQ44" i="6"/>
  <c r="AI44" i="6"/>
  <c r="Z44" i="6"/>
  <c r="AP44" i="6" s="1"/>
  <c r="W44" i="6"/>
  <c r="AO44" i="6" s="1"/>
  <c r="T44" i="6"/>
  <c r="Q44" i="6"/>
  <c r="AM44" i="6" s="1"/>
  <c r="N44" i="6"/>
  <c r="AL44" i="6" s="1"/>
  <c r="K44" i="6"/>
  <c r="H44" i="6"/>
  <c r="E44" i="6"/>
  <c r="AQ43" i="6"/>
  <c r="AP43" i="6"/>
  <c r="AI43" i="6"/>
  <c r="Z43" i="6"/>
  <c r="W43" i="6"/>
  <c r="AO43" i="6" s="1"/>
  <c r="T43" i="6"/>
  <c r="Q43" i="6"/>
  <c r="AM43" i="6" s="1"/>
  <c r="N43" i="6"/>
  <c r="AL43" i="6" s="1"/>
  <c r="K43" i="6"/>
  <c r="H43" i="6"/>
  <c r="E43" i="6"/>
  <c r="AQ42" i="6"/>
  <c r="AM42" i="6"/>
  <c r="AL42" i="6"/>
  <c r="AI42" i="6"/>
  <c r="Z42" i="6"/>
  <c r="AP42" i="6" s="1"/>
  <c r="W42" i="6"/>
  <c r="AO42" i="6" s="1"/>
  <c r="T42" i="6"/>
  <c r="Q42" i="6"/>
  <c r="N42" i="6"/>
  <c r="K42" i="6"/>
  <c r="H42" i="6"/>
  <c r="E42" i="6"/>
  <c r="AQ41" i="6"/>
  <c r="AL41" i="6"/>
  <c r="AI41" i="6"/>
  <c r="Z41" i="6"/>
  <c r="AP41" i="6" s="1"/>
  <c r="W41" i="6"/>
  <c r="AO41" i="6" s="1"/>
  <c r="T41" i="6"/>
  <c r="Q41" i="6"/>
  <c r="AM41" i="6" s="1"/>
  <c r="N41" i="6"/>
  <c r="K41" i="6"/>
  <c r="H41" i="6"/>
  <c r="E41" i="6"/>
  <c r="AQ40" i="6"/>
  <c r="AI40" i="6"/>
  <c r="Z40" i="6"/>
  <c r="AP40" i="6" s="1"/>
  <c r="W40" i="6"/>
  <c r="AO40" i="6" s="1"/>
  <c r="T40" i="6"/>
  <c r="AN40" i="6" s="1"/>
  <c r="Q40" i="6"/>
  <c r="AM40" i="6" s="1"/>
  <c r="N40" i="6"/>
  <c r="AL40" i="6" s="1"/>
  <c r="K40" i="6"/>
  <c r="H40" i="6"/>
  <c r="E40" i="6"/>
  <c r="AQ39" i="6"/>
  <c r="AP39" i="6"/>
  <c r="AO39" i="6"/>
  <c r="AI39" i="6"/>
  <c r="Z39" i="6"/>
  <c r="W39" i="6"/>
  <c r="T39" i="6"/>
  <c r="AN39" i="6" s="1"/>
  <c r="Q39" i="6"/>
  <c r="AM39" i="6" s="1"/>
  <c r="N39" i="6"/>
  <c r="AL39" i="6" s="1"/>
  <c r="K39" i="6"/>
  <c r="H39" i="6"/>
  <c r="E39" i="6"/>
  <c r="AQ38" i="6"/>
  <c r="AI38" i="6"/>
  <c r="Z38" i="6"/>
  <c r="AP38" i="6" s="1"/>
  <c r="W38" i="6"/>
  <c r="AO38" i="6" s="1"/>
  <c r="T38" i="6"/>
  <c r="Q38" i="6"/>
  <c r="AM38" i="6" s="1"/>
  <c r="N38" i="6"/>
  <c r="AL38" i="6" s="1"/>
  <c r="K38" i="6"/>
  <c r="H38" i="6"/>
  <c r="E38" i="6"/>
  <c r="AQ37" i="6"/>
  <c r="AM37" i="6"/>
  <c r="AI37" i="6"/>
  <c r="Z37" i="6"/>
  <c r="AP37" i="6" s="1"/>
  <c r="W37" i="6"/>
  <c r="AO37" i="6" s="1"/>
  <c r="T37" i="6"/>
  <c r="Q37" i="6"/>
  <c r="N37" i="6"/>
  <c r="AL37" i="6" s="1"/>
  <c r="K37" i="6"/>
  <c r="H37" i="6"/>
  <c r="E37" i="6"/>
  <c r="AQ36" i="6"/>
  <c r="AI36" i="6"/>
  <c r="Z36" i="6"/>
  <c r="AP36" i="6" s="1"/>
  <c r="W36" i="6"/>
  <c r="AO36" i="6" s="1"/>
  <c r="T36" i="6"/>
  <c r="AN36" i="6" s="1"/>
  <c r="Q36" i="6"/>
  <c r="AM36" i="6" s="1"/>
  <c r="N36" i="6"/>
  <c r="AL36" i="6" s="1"/>
  <c r="K36" i="6"/>
  <c r="H36" i="6"/>
  <c r="E36" i="6"/>
  <c r="AQ35" i="6"/>
  <c r="AP35" i="6"/>
  <c r="AO35" i="6"/>
  <c r="AI35" i="6"/>
  <c r="Z35" i="6"/>
  <c r="W35" i="6"/>
  <c r="T35" i="6"/>
  <c r="Q35" i="6"/>
  <c r="AM35" i="6" s="1"/>
  <c r="N35" i="6"/>
  <c r="AL35" i="6" s="1"/>
  <c r="K35" i="6"/>
  <c r="H35" i="6"/>
  <c r="E35" i="6"/>
  <c r="AQ34" i="6"/>
  <c r="AO34" i="6"/>
  <c r="AI34" i="6"/>
  <c r="AD34" i="6"/>
  <c r="Z34" i="6"/>
  <c r="AP34" i="6" s="1"/>
  <c r="W34" i="6"/>
  <c r="AE34" i="6" s="1"/>
  <c r="T34" i="6"/>
  <c r="AN34" i="6" s="1"/>
  <c r="Q34" i="6"/>
  <c r="AM34" i="6" s="1"/>
  <c r="N34" i="6"/>
  <c r="AL34" i="6" s="1"/>
  <c r="K34" i="6"/>
  <c r="H34" i="6"/>
  <c r="E34" i="6"/>
  <c r="AQ33" i="6"/>
  <c r="AI33" i="6"/>
  <c r="Z33" i="6"/>
  <c r="AP33" i="6" s="1"/>
  <c r="W33" i="6"/>
  <c r="T33" i="6"/>
  <c r="AN33" i="6" s="1"/>
  <c r="Q33" i="6"/>
  <c r="AM33" i="6" s="1"/>
  <c r="N33" i="6"/>
  <c r="AL33" i="6" s="1"/>
  <c r="K33" i="6"/>
  <c r="H33" i="6"/>
  <c r="E33" i="6"/>
  <c r="AQ32" i="6"/>
  <c r="AI32" i="6"/>
  <c r="Z32" i="6"/>
  <c r="AP32" i="6" s="1"/>
  <c r="W32" i="6"/>
  <c r="AO32" i="6" s="1"/>
  <c r="T32" i="6"/>
  <c r="Q32" i="6"/>
  <c r="AM32" i="6" s="1"/>
  <c r="N32" i="6"/>
  <c r="AL32" i="6" s="1"/>
  <c r="K32" i="6"/>
  <c r="H32" i="6"/>
  <c r="E32" i="6"/>
  <c r="AQ31" i="6"/>
  <c r="AM31" i="6"/>
  <c r="AI31" i="6"/>
  <c r="Z31" i="6"/>
  <c r="AP31" i="6" s="1"/>
  <c r="W31" i="6"/>
  <c r="AO31" i="6" s="1"/>
  <c r="T31" i="6"/>
  <c r="AN31" i="6" s="1"/>
  <c r="Q31" i="6"/>
  <c r="N31" i="6"/>
  <c r="AL31" i="6" s="1"/>
  <c r="K31" i="6"/>
  <c r="H31" i="6"/>
  <c r="E31" i="6"/>
  <c r="AQ30" i="6"/>
  <c r="AI30" i="6"/>
  <c r="Z30" i="6"/>
  <c r="AP30" i="6" s="1"/>
  <c r="W30" i="6"/>
  <c r="AO30" i="6" s="1"/>
  <c r="T30" i="6"/>
  <c r="AN30" i="6" s="1"/>
  <c r="Q30" i="6"/>
  <c r="AM30" i="6" s="1"/>
  <c r="N30" i="6"/>
  <c r="AL30" i="6" s="1"/>
  <c r="K30" i="6"/>
  <c r="H30" i="6"/>
  <c r="E30" i="6"/>
  <c r="AQ29" i="6"/>
  <c r="AP29" i="6"/>
  <c r="AI29" i="6"/>
  <c r="Z29" i="6"/>
  <c r="W29" i="6"/>
  <c r="T29" i="6"/>
  <c r="AN29" i="6" s="1"/>
  <c r="Q29" i="6"/>
  <c r="AM29" i="6" s="1"/>
  <c r="N29" i="6"/>
  <c r="AL29" i="6" s="1"/>
  <c r="K29" i="6"/>
  <c r="H29" i="6"/>
  <c r="E29" i="6"/>
  <c r="AQ28" i="6"/>
  <c r="AO28" i="6"/>
  <c r="AI28" i="6"/>
  <c r="Z28" i="6"/>
  <c r="AP28" i="6" s="1"/>
  <c r="W28" i="6"/>
  <c r="T28" i="6"/>
  <c r="Q28" i="6"/>
  <c r="AM28" i="6" s="1"/>
  <c r="N28" i="6"/>
  <c r="AL28" i="6" s="1"/>
  <c r="K28" i="6"/>
  <c r="H28" i="6"/>
  <c r="E28" i="6"/>
  <c r="AQ27" i="6"/>
  <c r="AM27" i="6"/>
  <c r="AI27" i="6"/>
  <c r="AD27" i="6"/>
  <c r="Z27" i="6"/>
  <c r="AP27" i="6" s="1"/>
  <c r="W27" i="6"/>
  <c r="T27" i="6"/>
  <c r="AN27" i="6" s="1"/>
  <c r="Q27" i="6"/>
  <c r="N27" i="6"/>
  <c r="AL27" i="6" s="1"/>
  <c r="K27" i="6"/>
  <c r="H27" i="6"/>
  <c r="E27" i="6"/>
  <c r="AQ26" i="6"/>
  <c r="AI26" i="6"/>
  <c r="Z26" i="6"/>
  <c r="AP26" i="6" s="1"/>
  <c r="W26" i="6"/>
  <c r="AO26" i="6" s="1"/>
  <c r="T26" i="6"/>
  <c r="AN26" i="6" s="1"/>
  <c r="Q26" i="6"/>
  <c r="AM26" i="6" s="1"/>
  <c r="N26" i="6"/>
  <c r="AL26" i="6" s="1"/>
  <c r="K26" i="6"/>
  <c r="H26" i="6"/>
  <c r="E26" i="6"/>
  <c r="AQ25" i="6"/>
  <c r="AI25" i="6"/>
  <c r="Z25" i="6"/>
  <c r="AP25" i="6" s="1"/>
  <c r="W25" i="6"/>
  <c r="T25" i="6"/>
  <c r="AN25" i="6" s="1"/>
  <c r="Q25" i="6"/>
  <c r="AM25" i="6" s="1"/>
  <c r="N25" i="6"/>
  <c r="AL25" i="6" s="1"/>
  <c r="K25" i="6"/>
  <c r="H25" i="6"/>
  <c r="E25" i="6"/>
  <c r="AQ24" i="6"/>
  <c r="AI24" i="6"/>
  <c r="Z24" i="6"/>
  <c r="AP24" i="6" s="1"/>
  <c r="W24" i="6"/>
  <c r="AO24" i="6" s="1"/>
  <c r="T24" i="6"/>
  <c r="Q24" i="6"/>
  <c r="AM24" i="6" s="1"/>
  <c r="N24" i="6"/>
  <c r="AL24" i="6" s="1"/>
  <c r="K24" i="6"/>
  <c r="H24" i="6"/>
  <c r="E24" i="6"/>
  <c r="AQ23" i="6"/>
  <c r="AP23" i="6"/>
  <c r="AI23" i="6"/>
  <c r="Z23" i="6"/>
  <c r="W23" i="6"/>
  <c r="T23" i="6"/>
  <c r="AN23" i="6" s="1"/>
  <c r="Q23" i="6"/>
  <c r="AM23" i="6" s="1"/>
  <c r="N23" i="6"/>
  <c r="AL23" i="6" s="1"/>
  <c r="K23" i="6"/>
  <c r="H23" i="6"/>
  <c r="E23" i="6"/>
  <c r="AQ22" i="6"/>
  <c r="AI22" i="6"/>
  <c r="Z22" i="6"/>
  <c r="AP22" i="6" s="1"/>
  <c r="W22" i="6"/>
  <c r="AO22" i="6" s="1"/>
  <c r="T22" i="6"/>
  <c r="AN22" i="6" s="1"/>
  <c r="Q22" i="6"/>
  <c r="AM22" i="6" s="1"/>
  <c r="N22" i="6"/>
  <c r="AL22" i="6" s="1"/>
  <c r="K22" i="6"/>
  <c r="H22" i="6"/>
  <c r="E22" i="6"/>
  <c r="AQ21" i="6"/>
  <c r="AL21" i="6"/>
  <c r="AI21" i="6"/>
  <c r="Z21" i="6"/>
  <c r="AP21" i="6" s="1"/>
  <c r="W21" i="6"/>
  <c r="AO21" i="6" s="1"/>
  <c r="T21" i="6"/>
  <c r="AN21" i="6" s="1"/>
  <c r="Q21" i="6"/>
  <c r="AM21" i="6" s="1"/>
  <c r="N21" i="6"/>
  <c r="K21" i="6"/>
  <c r="H21" i="6"/>
  <c r="E21" i="6"/>
  <c r="AQ20" i="6"/>
  <c r="AI20" i="6"/>
  <c r="Z20" i="6"/>
  <c r="AP20" i="6" s="1"/>
  <c r="W20" i="6"/>
  <c r="T20" i="6"/>
  <c r="AN20" i="6" s="1"/>
  <c r="Q20" i="6"/>
  <c r="AM20" i="6" s="1"/>
  <c r="N20" i="6"/>
  <c r="AL20" i="6" s="1"/>
  <c r="K20" i="6"/>
  <c r="H20" i="6"/>
  <c r="E20" i="6"/>
  <c r="AQ19" i="6"/>
  <c r="AI19" i="6"/>
  <c r="AD19" i="6"/>
  <c r="Z19" i="6"/>
  <c r="AP19" i="6" s="1"/>
  <c r="W19" i="6"/>
  <c r="AO19" i="6" s="1"/>
  <c r="T19" i="6"/>
  <c r="AN19" i="6" s="1"/>
  <c r="Q19" i="6"/>
  <c r="AM19" i="6" s="1"/>
  <c r="N19" i="6"/>
  <c r="AL19" i="6" s="1"/>
  <c r="K19" i="6"/>
  <c r="H19" i="6"/>
  <c r="E19" i="6"/>
  <c r="AQ18" i="6"/>
  <c r="AI18" i="6"/>
  <c r="Z18" i="6"/>
  <c r="AP18" i="6" s="1"/>
  <c r="W18" i="6"/>
  <c r="AO18" i="6" s="1"/>
  <c r="T18" i="6"/>
  <c r="AN18" i="6" s="1"/>
  <c r="Q18" i="6"/>
  <c r="AM18" i="6" s="1"/>
  <c r="N18" i="6"/>
  <c r="AL18" i="6" s="1"/>
  <c r="K18" i="6"/>
  <c r="H18" i="6"/>
  <c r="E18" i="6"/>
  <c r="AQ17" i="6"/>
  <c r="AO17" i="6"/>
  <c r="AI17" i="6"/>
  <c r="Z17" i="6"/>
  <c r="AP17" i="6" s="1"/>
  <c r="W17" i="6"/>
  <c r="T17" i="6"/>
  <c r="AN17" i="6" s="1"/>
  <c r="Q17" i="6"/>
  <c r="AM17" i="6" s="1"/>
  <c r="N17" i="6"/>
  <c r="AL17" i="6" s="1"/>
  <c r="K17" i="6"/>
  <c r="H17" i="6"/>
  <c r="E17" i="6"/>
  <c r="AQ16" i="6"/>
  <c r="AI16" i="6"/>
  <c r="AD16" i="6"/>
  <c r="Z16" i="6"/>
  <c r="AP16" i="6" s="1"/>
  <c r="W16" i="6"/>
  <c r="AO16" i="6" s="1"/>
  <c r="T16" i="6"/>
  <c r="AN16" i="6" s="1"/>
  <c r="Q16" i="6"/>
  <c r="AM16" i="6" s="1"/>
  <c r="N16" i="6"/>
  <c r="AL16" i="6" s="1"/>
  <c r="K16" i="6"/>
  <c r="H16" i="6"/>
  <c r="E16" i="6"/>
  <c r="AQ15" i="6"/>
  <c r="AI15" i="6"/>
  <c r="Z15" i="6"/>
  <c r="AP15" i="6" s="1"/>
  <c r="W15" i="6"/>
  <c r="AO15" i="6" s="1"/>
  <c r="T15" i="6"/>
  <c r="AN15" i="6" s="1"/>
  <c r="Q15" i="6"/>
  <c r="AM15" i="6" s="1"/>
  <c r="N15" i="6"/>
  <c r="AL15" i="6" s="1"/>
  <c r="K15" i="6"/>
  <c r="H15" i="6"/>
  <c r="E15" i="6"/>
  <c r="AQ14" i="6"/>
  <c r="AI14" i="6"/>
  <c r="Z14" i="6"/>
  <c r="AP14" i="6" s="1"/>
  <c r="W14" i="6"/>
  <c r="AO14" i="6" s="1"/>
  <c r="T14" i="6"/>
  <c r="Q14" i="6"/>
  <c r="AM14" i="6" s="1"/>
  <c r="N14" i="6"/>
  <c r="AL14" i="6" s="1"/>
  <c r="K14" i="6"/>
  <c r="H14" i="6"/>
  <c r="E14" i="6"/>
  <c r="AQ13" i="6"/>
  <c r="AO13" i="6"/>
  <c r="AI13" i="6"/>
  <c r="Z13" i="6"/>
  <c r="AP13" i="6" s="1"/>
  <c r="W13" i="6"/>
  <c r="T13" i="6"/>
  <c r="Q13" i="6"/>
  <c r="AM13" i="6" s="1"/>
  <c r="N13" i="6"/>
  <c r="AL13" i="6" s="1"/>
  <c r="K13" i="6"/>
  <c r="H13" i="6"/>
  <c r="E13" i="6"/>
  <c r="AQ12" i="6"/>
  <c r="AI12" i="6"/>
  <c r="Z12" i="6"/>
  <c r="AP12" i="6" s="1"/>
  <c r="W12" i="6"/>
  <c r="AO12" i="6" s="1"/>
  <c r="T12" i="6"/>
  <c r="Q12" i="6"/>
  <c r="AM12" i="6" s="1"/>
  <c r="N12" i="6"/>
  <c r="AL12" i="6" s="1"/>
  <c r="K12" i="6"/>
  <c r="H12" i="6"/>
  <c r="E12" i="6"/>
  <c r="AQ11" i="6"/>
  <c r="AI11" i="6"/>
  <c r="AD11" i="6"/>
  <c r="Z11" i="6"/>
  <c r="AP11" i="6" s="1"/>
  <c r="W11" i="6"/>
  <c r="AO11" i="6" s="1"/>
  <c r="T11" i="6"/>
  <c r="Q11" i="6"/>
  <c r="AM11" i="6" s="1"/>
  <c r="N11" i="6"/>
  <c r="AL11" i="6" s="1"/>
  <c r="K11" i="6"/>
  <c r="H11" i="6"/>
  <c r="E11" i="6"/>
  <c r="AQ10" i="6"/>
  <c r="AI10" i="6"/>
  <c r="Z10" i="6"/>
  <c r="AP10" i="6" s="1"/>
  <c r="W10" i="6"/>
  <c r="AO10" i="6" s="1"/>
  <c r="T10" i="6"/>
  <c r="Q10" i="6"/>
  <c r="AM10" i="6" s="1"/>
  <c r="N10" i="6"/>
  <c r="AL10" i="6" s="1"/>
  <c r="K10" i="6"/>
  <c r="H10" i="6"/>
  <c r="E10" i="6"/>
  <c r="AQ9" i="6"/>
  <c r="AO9" i="6"/>
  <c r="AI9" i="6"/>
  <c r="Z9" i="6"/>
  <c r="AP9" i="6" s="1"/>
  <c r="W9" i="6"/>
  <c r="T9" i="6"/>
  <c r="Q9" i="6"/>
  <c r="AM9" i="6" s="1"/>
  <c r="N9" i="6"/>
  <c r="AL9" i="6" s="1"/>
  <c r="K9" i="6"/>
  <c r="H9" i="6"/>
  <c r="E9" i="6"/>
  <c r="AQ8" i="6"/>
  <c r="AL8" i="6"/>
  <c r="AI8" i="6"/>
  <c r="AD8" i="6"/>
  <c r="Z8" i="6"/>
  <c r="AP8" i="6" s="1"/>
  <c r="W8" i="6"/>
  <c r="AO8" i="6" s="1"/>
  <c r="T8" i="6"/>
  <c r="Q8" i="6"/>
  <c r="AM8" i="6" s="1"/>
  <c r="N8" i="6"/>
  <c r="K8" i="6"/>
  <c r="H8" i="6"/>
  <c r="E8" i="6"/>
  <c r="AQ7" i="6"/>
  <c r="AI7" i="6"/>
  <c r="Z7" i="6"/>
  <c r="AP7" i="6" s="1"/>
  <c r="W7" i="6"/>
  <c r="AO7" i="6" s="1"/>
  <c r="T7" i="6"/>
  <c r="Q7" i="6"/>
  <c r="AM7" i="6" s="1"/>
  <c r="N7" i="6"/>
  <c r="AL7" i="6" s="1"/>
  <c r="K7" i="6"/>
  <c r="H7" i="6"/>
  <c r="E7" i="6"/>
  <c r="AI166" i="2"/>
  <c r="AH166" i="2"/>
  <c r="AG166" i="2"/>
  <c r="AF166" i="2"/>
  <c r="AE166" i="2"/>
  <c r="AD166" i="2"/>
  <c r="AC166" i="2"/>
  <c r="AB166" i="2"/>
  <c r="AA166" i="2"/>
  <c r="Z166" i="2"/>
  <c r="Y166" i="2"/>
  <c r="X166" i="2"/>
  <c r="W166" i="2"/>
  <c r="V166" i="2"/>
  <c r="U166" i="2"/>
  <c r="T166" i="2"/>
  <c r="S166" i="2"/>
  <c r="R166" i="2"/>
  <c r="Q166" i="2"/>
  <c r="P166" i="2"/>
  <c r="O166" i="2"/>
  <c r="N166" i="2"/>
  <c r="M166" i="2"/>
  <c r="L166" i="2"/>
  <c r="K166" i="2"/>
  <c r="J166" i="2"/>
  <c r="I166" i="2"/>
  <c r="H166" i="2"/>
  <c r="G166" i="2"/>
  <c r="AI156" i="2"/>
  <c r="AH156" i="2"/>
  <c r="AG156" i="2"/>
  <c r="AF156" i="2"/>
  <c r="AE156" i="2"/>
  <c r="AD156" i="2"/>
  <c r="AC156" i="2"/>
  <c r="AB156" i="2"/>
  <c r="AA156" i="2"/>
  <c r="Z156" i="2"/>
  <c r="Y156" i="2"/>
  <c r="X156" i="2"/>
  <c r="W156" i="2"/>
  <c r="V156" i="2"/>
  <c r="U156" i="2"/>
  <c r="T156" i="2"/>
  <c r="S156" i="2"/>
  <c r="R156" i="2"/>
  <c r="Q156" i="2"/>
  <c r="P156" i="2"/>
  <c r="O156" i="2"/>
  <c r="N156" i="2"/>
  <c r="M156" i="2"/>
  <c r="L156" i="2"/>
  <c r="K156" i="2"/>
  <c r="J156" i="2"/>
  <c r="I156" i="2"/>
  <c r="H156" i="2"/>
  <c r="G156" i="2"/>
  <c r="F153" i="2"/>
  <c r="E153" i="2"/>
  <c r="F152" i="2"/>
  <c r="E152" i="2"/>
  <c r="F151" i="2"/>
  <c r="E151" i="2"/>
  <c r="F149" i="2"/>
  <c r="E149" i="2"/>
  <c r="F148" i="2"/>
  <c r="E148" i="2"/>
  <c r="F147" i="2"/>
  <c r="E147" i="2"/>
  <c r="F146" i="2"/>
  <c r="E146" i="2"/>
  <c r="C128" i="2"/>
  <c r="AI103" i="2"/>
  <c r="AH103" i="2"/>
  <c r="AG103" i="2"/>
  <c r="AF103" i="2"/>
  <c r="AE103" i="2"/>
  <c r="AD103" i="2"/>
  <c r="AC103" i="2"/>
  <c r="AB103" i="2"/>
  <c r="AA103" i="2"/>
  <c r="Z103" i="2"/>
  <c r="Y103" i="2"/>
  <c r="X103" i="2"/>
  <c r="W103" i="2"/>
  <c r="V103" i="2"/>
  <c r="U103" i="2"/>
  <c r="T103" i="2"/>
  <c r="S103" i="2"/>
  <c r="R103" i="2"/>
  <c r="Q103" i="2"/>
  <c r="P103" i="2"/>
  <c r="O103" i="2"/>
  <c r="N103" i="2"/>
  <c r="M103" i="2"/>
  <c r="L103" i="2"/>
  <c r="K103" i="2"/>
  <c r="J103" i="2"/>
  <c r="I103" i="2"/>
  <c r="H103" i="2"/>
  <c r="G103" i="2"/>
  <c r="F103" i="2"/>
  <c r="E103" i="2"/>
  <c r="AI89" i="2"/>
  <c r="AH89" i="2"/>
  <c r="AG89" i="2"/>
  <c r="AF89" i="2"/>
  <c r="AE89" i="2"/>
  <c r="AD89" i="2"/>
  <c r="AC89" i="2"/>
  <c r="AB89" i="2"/>
  <c r="AA89" i="2"/>
  <c r="Z89" i="2"/>
  <c r="Y89" i="2"/>
  <c r="X89" i="2"/>
  <c r="W89" i="2"/>
  <c r="V89" i="2"/>
  <c r="W90" i="2" s="1"/>
  <c r="U89" i="2"/>
  <c r="T89" i="2"/>
  <c r="S89" i="2"/>
  <c r="R89" i="2"/>
  <c r="Q89" i="2"/>
  <c r="P89" i="2"/>
  <c r="O89" i="2"/>
  <c r="N89" i="2"/>
  <c r="M89" i="2"/>
  <c r="L89" i="2"/>
  <c r="K89" i="2"/>
  <c r="J89" i="2"/>
  <c r="I89" i="2"/>
  <c r="H89" i="2"/>
  <c r="G89" i="2"/>
  <c r="F89" i="2"/>
  <c r="E89" i="2"/>
  <c r="K11" i="2"/>
  <c r="M6" i="3" s="1"/>
  <c r="F29" i="1" s="1"/>
  <c r="E29" i="1" s="1"/>
  <c r="G11" i="2"/>
  <c r="M2" i="3" s="1"/>
  <c r="C29" i="1" s="1"/>
  <c r="B29" i="1" s="1"/>
  <c r="G9" i="2"/>
  <c r="B12" i="2" s="1"/>
  <c r="G7" i="2"/>
  <c r="H8" i="3" s="1"/>
  <c r="D7" i="2"/>
  <c r="D8" i="2" s="1"/>
  <c r="G6" i="2"/>
  <c r="D6" i="2"/>
  <c r="G5" i="2"/>
  <c r="H10" i="3" s="1"/>
  <c r="AC4" i="2"/>
  <c r="G4" i="2"/>
  <c r="H2" i="3" s="1"/>
  <c r="D4" i="2"/>
  <c r="G3" i="2"/>
  <c r="B2" i="2"/>
  <c r="Q11" i="3"/>
  <c r="K22" i="15" s="1"/>
  <c r="L11" i="3"/>
  <c r="C11" i="3"/>
  <c r="AE10" i="3"/>
  <c r="AG10" i="3" s="1"/>
  <c r="W10" i="3"/>
  <c r="J14" i="9" s="1"/>
  <c r="U10" i="3"/>
  <c r="O10" i="3"/>
  <c r="M10" i="3"/>
  <c r="C10" i="3"/>
  <c r="B10" i="3"/>
  <c r="AG9" i="3"/>
  <c r="Q9" i="3"/>
  <c r="O9" i="3"/>
  <c r="M9" i="3"/>
  <c r="C9" i="3"/>
  <c r="B9" i="3"/>
  <c r="I17" i="9" s="1"/>
  <c r="I21" i="9" s="1"/>
  <c r="AE8" i="3"/>
  <c r="AG8" i="3" s="1"/>
  <c r="Q8" i="3"/>
  <c r="H22" i="15" s="1"/>
  <c r="O8" i="3"/>
  <c r="M8" i="3"/>
  <c r="C8" i="3"/>
  <c r="B8" i="3"/>
  <c r="AE7" i="3"/>
  <c r="AG7" i="3" s="1"/>
  <c r="O7" i="3"/>
  <c r="F33" i="1" s="1"/>
  <c r="E33" i="1" s="1"/>
  <c r="D42" i="13" s="1"/>
  <c r="M7" i="3"/>
  <c r="C7" i="3"/>
  <c r="B7" i="3"/>
  <c r="G18" i="9" s="1"/>
  <c r="G20" i="9" s="1"/>
  <c r="AE6" i="3"/>
  <c r="AG6" i="3" s="1"/>
  <c r="W6" i="3"/>
  <c r="Q6" i="3"/>
  <c r="F114" i="15" s="1"/>
  <c r="L6" i="3"/>
  <c r="F31" i="1" s="1"/>
  <c r="E31" i="1" s="1"/>
  <c r="D39" i="13" s="1"/>
  <c r="C6" i="3"/>
  <c r="B6" i="3"/>
  <c r="F18" i="9" s="1"/>
  <c r="F20" i="9" s="1"/>
  <c r="AG5" i="3"/>
  <c r="U5" i="3"/>
  <c r="O5" i="3"/>
  <c r="M5" i="3"/>
  <c r="C5" i="3"/>
  <c r="B5" i="3"/>
  <c r="AG4" i="3"/>
  <c r="U4" i="3"/>
  <c r="O4" i="3"/>
  <c r="M4" i="3"/>
  <c r="C4" i="3"/>
  <c r="B4" i="3"/>
  <c r="D17" i="9" s="1"/>
  <c r="D21" i="9" s="1"/>
  <c r="AG3" i="3"/>
  <c r="U3" i="3"/>
  <c r="O3" i="3"/>
  <c r="M3" i="3"/>
  <c r="C3" i="3"/>
  <c r="B3" i="3"/>
  <c r="AG2" i="3"/>
  <c r="U2" i="3"/>
  <c r="O2" i="3"/>
  <c r="C2" i="3"/>
  <c r="AB2" i="3" s="1"/>
  <c r="B2" i="3"/>
  <c r="A120" i="15"/>
  <c r="K26" i="15"/>
  <c r="J114" i="15"/>
  <c r="H114" i="15"/>
  <c r="E114" i="15"/>
  <c r="D114" i="15"/>
  <c r="C114" i="15"/>
  <c r="B114" i="15"/>
  <c r="H17" i="15"/>
  <c r="J14" i="15"/>
  <c r="J13" i="15"/>
  <c r="G9" i="15"/>
  <c r="K3" i="15"/>
  <c r="J3" i="15"/>
  <c r="I3" i="15"/>
  <c r="H3" i="15"/>
  <c r="G3" i="15"/>
  <c r="F3" i="15"/>
  <c r="E3" i="15"/>
  <c r="D3" i="15"/>
  <c r="C3" i="15"/>
  <c r="B3" i="15"/>
  <c r="K2" i="15"/>
  <c r="J2" i="15"/>
  <c r="I2" i="15"/>
  <c r="H2" i="15"/>
  <c r="G2" i="15"/>
  <c r="F2" i="15"/>
  <c r="E2" i="15"/>
  <c r="D2" i="15"/>
  <c r="C2" i="15"/>
  <c r="B2" i="15"/>
  <c r="A1" i="15"/>
  <c r="A120" i="9"/>
  <c r="F83" i="9"/>
  <c r="F82" i="9"/>
  <c r="F81" i="9"/>
  <c r="F80" i="9"/>
  <c r="F79" i="9"/>
  <c r="F78" i="9"/>
  <c r="F77" i="9"/>
  <c r="F76" i="9"/>
  <c r="F75" i="9"/>
  <c r="F74" i="9"/>
  <c r="F73" i="9"/>
  <c r="F72" i="9"/>
  <c r="F71" i="9"/>
  <c r="F70" i="9"/>
  <c r="F69" i="9"/>
  <c r="K26" i="9"/>
  <c r="K22" i="9"/>
  <c r="I22" i="9"/>
  <c r="I114" i="9" s="1"/>
  <c r="H22" i="9"/>
  <c r="H114" i="9" s="1"/>
  <c r="F22" i="9"/>
  <c r="F114" i="9" s="1"/>
  <c r="D22" i="9"/>
  <c r="D114" i="9" s="1"/>
  <c r="H17" i="9"/>
  <c r="H21" i="9" s="1"/>
  <c r="G17" i="9"/>
  <c r="G21" i="9" s="1"/>
  <c r="F17" i="9"/>
  <c r="F21" i="9" s="1"/>
  <c r="J13" i="9"/>
  <c r="K8" i="9"/>
  <c r="F8" i="9"/>
  <c r="K3" i="9"/>
  <c r="J3" i="9"/>
  <c r="I3" i="9"/>
  <c r="H3" i="9"/>
  <c r="G3" i="9"/>
  <c r="F3" i="9"/>
  <c r="E3" i="9"/>
  <c r="D3" i="9"/>
  <c r="C3" i="9"/>
  <c r="B3" i="9"/>
  <c r="K2" i="9"/>
  <c r="J2" i="9"/>
  <c r="I2" i="9"/>
  <c r="H2" i="9"/>
  <c r="G2" i="9"/>
  <c r="F2" i="9"/>
  <c r="E2" i="9"/>
  <c r="D2" i="9"/>
  <c r="C2" i="9"/>
  <c r="B2" i="9"/>
  <c r="A1" i="9"/>
  <c r="E19" i="12"/>
  <c r="O39" i="13"/>
  <c r="N39" i="13"/>
  <c r="M39" i="13"/>
  <c r="O38" i="13"/>
  <c r="N38" i="13"/>
  <c r="M38" i="13"/>
  <c r="O37" i="13"/>
  <c r="N37" i="13"/>
  <c r="M37" i="13"/>
  <c r="O36" i="13"/>
  <c r="N36" i="13"/>
  <c r="M36" i="13"/>
  <c r="O35" i="13"/>
  <c r="N35" i="13"/>
  <c r="M35" i="13"/>
  <c r="O34" i="13"/>
  <c r="N34" i="13"/>
  <c r="M34" i="13"/>
  <c r="O33" i="13"/>
  <c r="N33" i="13"/>
  <c r="M33" i="13"/>
  <c r="O32" i="13"/>
  <c r="N32" i="13"/>
  <c r="M32" i="13"/>
  <c r="O31" i="13"/>
  <c r="N31" i="13"/>
  <c r="M31" i="13"/>
  <c r="O30" i="13"/>
  <c r="N30" i="13"/>
  <c r="M30" i="13"/>
  <c r="O29" i="13"/>
  <c r="N29" i="13"/>
  <c r="M29" i="13"/>
  <c r="O28" i="13"/>
  <c r="N28" i="13"/>
  <c r="M28" i="13"/>
  <c r="O27" i="13"/>
  <c r="N27" i="13"/>
  <c r="M27" i="13"/>
  <c r="D27" i="13"/>
  <c r="B27" i="13"/>
  <c r="O26" i="13"/>
  <c r="N26" i="13"/>
  <c r="M26" i="13"/>
  <c r="D26" i="13"/>
  <c r="B26" i="13"/>
  <c r="O25" i="13"/>
  <c r="N25" i="13"/>
  <c r="M25" i="13"/>
  <c r="D25" i="13"/>
  <c r="B25" i="13"/>
  <c r="C33" i="1"/>
  <c r="C25" i="1"/>
  <c r="B25" i="1" s="1"/>
  <c r="H11" i="9" s="1"/>
  <c r="B24" i="1"/>
  <c r="C19" i="1"/>
  <c r="B19" i="1" s="1"/>
  <c r="E22" i="9" s="1"/>
  <c r="E114" i="9" s="1"/>
  <c r="F8" i="1"/>
  <c r="C8" i="1"/>
  <c r="B8" i="1" s="1"/>
  <c r="G5" i="13" l="1"/>
  <c r="S5" i="13"/>
  <c r="F5" i="13"/>
  <c r="R5" i="13"/>
  <c r="J9" i="15"/>
  <c r="K9" i="15"/>
  <c r="K8" i="15"/>
  <c r="F8" i="15"/>
  <c r="H4" i="3"/>
  <c r="G45" i="13"/>
  <c r="B47" i="13"/>
  <c r="J22" i="9"/>
  <c r="J114" i="9" s="1"/>
  <c r="AD7" i="6"/>
  <c r="AD15" i="6"/>
  <c r="AD26" i="6"/>
  <c r="AD46" i="6"/>
  <c r="AJ58" i="6"/>
  <c r="R3" i="3"/>
  <c r="C113" i="9" s="1"/>
  <c r="AD13" i="6"/>
  <c r="AE27" i="6"/>
  <c r="D17" i="15"/>
  <c r="AD31" i="6"/>
  <c r="K58" i="6"/>
  <c r="R5" i="3"/>
  <c r="E113" i="15" s="1"/>
  <c r="AB9" i="3"/>
  <c r="AD9" i="6"/>
  <c r="AS48" i="6"/>
  <c r="H5" i="3"/>
  <c r="AE20" i="6"/>
  <c r="AE23" i="6"/>
  <c r="AD30" i="6"/>
  <c r="AD36" i="6"/>
  <c r="M18" i="7"/>
  <c r="M19" i="7" s="1"/>
  <c r="F132" i="11"/>
  <c r="AD12" i="6"/>
  <c r="AE30" i="6"/>
  <c r="AD39" i="6"/>
  <c r="F204" i="11"/>
  <c r="F205" i="11" s="1"/>
  <c r="J205" i="11" s="1"/>
  <c r="C82" i="13"/>
  <c r="B67" i="13"/>
  <c r="B82" i="13"/>
  <c r="C73" i="13"/>
  <c r="C90" i="13"/>
  <c r="C67" i="13"/>
  <c r="T58" i="6"/>
  <c r="D15" i="10"/>
  <c r="U9" i="3"/>
  <c r="I13" i="9" s="1"/>
  <c r="U8" i="3"/>
  <c r="H13" i="15" s="1"/>
  <c r="W9" i="3"/>
  <c r="W8" i="3"/>
  <c r="U6" i="3"/>
  <c r="F13" i="15" s="1"/>
  <c r="D20" i="10"/>
  <c r="V6" i="3" s="1"/>
  <c r="AB7" i="3"/>
  <c r="F19" i="1"/>
  <c r="E19" i="1" s="1"/>
  <c r="D28" i="9"/>
  <c r="D92" i="9" s="1"/>
  <c r="D28" i="15"/>
  <c r="D92" i="15" s="1"/>
  <c r="J116" i="11"/>
  <c r="F117" i="11"/>
  <c r="F118" i="11" s="1"/>
  <c r="D24" i="10"/>
  <c r="V7" i="3" s="1"/>
  <c r="U7" i="3"/>
  <c r="X5" i="3"/>
  <c r="L90" i="2"/>
  <c r="T90" i="2"/>
  <c r="AB90" i="2"/>
  <c r="AS39" i="6"/>
  <c r="E70" i="7"/>
  <c r="I70" i="7" s="1"/>
  <c r="B116" i="2" s="1"/>
  <c r="P115" i="2" s="1"/>
  <c r="C104" i="2"/>
  <c r="O104" i="2" s="1"/>
  <c r="G35" i="4"/>
  <c r="D8" i="10"/>
  <c r="J18" i="15"/>
  <c r="J20" i="15" s="1"/>
  <c r="J21" i="15" s="1"/>
  <c r="J23" i="15" s="1"/>
  <c r="W2" i="3"/>
  <c r="AB10" i="3"/>
  <c r="N115" i="2"/>
  <c r="AE26" i="6"/>
  <c r="AE36" i="6"/>
  <c r="AE40" i="6"/>
  <c r="AM46" i="6"/>
  <c r="AD48" i="6"/>
  <c r="H58" i="6"/>
  <c r="J115" i="11"/>
  <c r="J204" i="11"/>
  <c r="X2" i="3"/>
  <c r="W3" i="3"/>
  <c r="C14" i="15" s="1"/>
  <c r="I114" i="15"/>
  <c r="AD10" i="6"/>
  <c r="AD14" i="6"/>
  <c r="AE17" i="6"/>
  <c r="AD20" i="6"/>
  <c r="AD23" i="6"/>
  <c r="AO27" i="6"/>
  <c r="AS27" i="6" s="1"/>
  <c r="AE38" i="6"/>
  <c r="AE48" i="6"/>
  <c r="K57" i="6"/>
  <c r="T57" i="6"/>
  <c r="X3" i="3"/>
  <c r="AF115" i="2"/>
  <c r="AS21" i="6"/>
  <c r="AD22" i="6"/>
  <c r="AD47" i="6"/>
  <c r="AE50" i="6"/>
  <c r="F40" i="11"/>
  <c r="J183" i="11"/>
  <c r="D16" i="10"/>
  <c r="F14" i="9"/>
  <c r="C18" i="9"/>
  <c r="C20" i="9" s="1"/>
  <c r="W4" i="3"/>
  <c r="D14" i="9" s="1"/>
  <c r="H18" i="9"/>
  <c r="H20" i="9" s="1"/>
  <c r="H18" i="15"/>
  <c r="H20" i="15" s="1"/>
  <c r="H21" i="15" s="1"/>
  <c r="H23" i="15" s="1"/>
  <c r="AE16" i="6"/>
  <c r="AD17" i="6"/>
  <c r="AE22" i="6"/>
  <c r="AE31" i="6"/>
  <c r="AS36" i="6"/>
  <c r="AE47" i="6"/>
  <c r="V58" i="6"/>
  <c r="W58" i="6" s="1"/>
  <c r="D52" i="5"/>
  <c r="C52" i="5"/>
  <c r="J17" i="15"/>
  <c r="D18" i="15"/>
  <c r="D20" i="15" s="1"/>
  <c r="D21" i="15" s="1"/>
  <c r="D23" i="15" s="1"/>
  <c r="D18" i="9"/>
  <c r="D20" i="9" s="1"/>
  <c r="Z115" i="2"/>
  <c r="AO20" i="6"/>
  <c r="AS20" i="6" s="1"/>
  <c r="AO23" i="6"/>
  <c r="N58" i="6"/>
  <c r="D28" i="10"/>
  <c r="V10" i="3" s="1"/>
  <c r="W5" i="3"/>
  <c r="I18" i="9"/>
  <c r="I20" i="9" s="1"/>
  <c r="AE15" i="6"/>
  <c r="AE46" i="6"/>
  <c r="G23" i="13"/>
  <c r="H9" i="3"/>
  <c r="F15" i="2"/>
  <c r="N15" i="2"/>
  <c r="V15" i="2"/>
  <c r="AD15" i="2"/>
  <c r="G15" i="2"/>
  <c r="O15" i="2"/>
  <c r="W15" i="2"/>
  <c r="AE15" i="2"/>
  <c r="H15" i="2"/>
  <c r="P15" i="2"/>
  <c r="X15" i="2"/>
  <c r="AF15" i="2"/>
  <c r="I15" i="2"/>
  <c r="Q15" i="2"/>
  <c r="Y15" i="2"/>
  <c r="J15" i="2"/>
  <c r="R15" i="2"/>
  <c r="Z15" i="2"/>
  <c r="AH15" i="2"/>
  <c r="K15" i="2"/>
  <c r="S15" i="2"/>
  <c r="AA15" i="2"/>
  <c r="AI15" i="2"/>
  <c r="L15" i="2"/>
  <c r="T15" i="2"/>
  <c r="AB15" i="2"/>
  <c r="E15" i="2"/>
  <c r="E21" i="7" s="1"/>
  <c r="M15" i="2"/>
  <c r="U15" i="2"/>
  <c r="AC15" i="2"/>
  <c r="AG15" i="2"/>
  <c r="W8" i="2"/>
  <c r="B17" i="10" s="1"/>
  <c r="C17" i="10" s="1"/>
  <c r="D17" i="10" s="1"/>
  <c r="T8" i="3" s="1"/>
  <c r="H26" i="9" s="1"/>
  <c r="M11" i="3"/>
  <c r="N11" i="3" s="1"/>
  <c r="W12" i="2"/>
  <c r="B30" i="10" s="1"/>
  <c r="C30" i="10" s="1"/>
  <c r="D30" i="10" s="1"/>
  <c r="T10" i="3" s="1"/>
  <c r="B9" i="2"/>
  <c r="F9" i="15"/>
  <c r="AD115" i="2"/>
  <c r="J90" i="2"/>
  <c r="R90" i="2"/>
  <c r="Z90" i="2"/>
  <c r="AH90" i="2"/>
  <c r="B22" i="9"/>
  <c r="B114" i="9" s="1"/>
  <c r="G22" i="9"/>
  <c r="G114" i="9" s="1"/>
  <c r="D23" i="9"/>
  <c r="D16" i="9" s="1"/>
  <c r="B42" i="13"/>
  <c r="H90" i="2"/>
  <c r="P90" i="2"/>
  <c r="X90" i="2"/>
  <c r="AF90" i="2"/>
  <c r="I90" i="2"/>
  <c r="Q90" i="2"/>
  <c r="Y90" i="2"/>
  <c r="AG90" i="2"/>
  <c r="Q115" i="2"/>
  <c r="K90" i="2"/>
  <c r="S90" i="2"/>
  <c r="AA90" i="2"/>
  <c r="AI90" i="2"/>
  <c r="Y115" i="2"/>
  <c r="E90" i="2"/>
  <c r="M90" i="2"/>
  <c r="U90" i="2"/>
  <c r="AC90" i="2"/>
  <c r="K115" i="2"/>
  <c r="S115" i="2"/>
  <c r="AA115" i="2"/>
  <c r="AI115" i="2"/>
  <c r="D115" i="2"/>
  <c r="L115" i="2"/>
  <c r="G90" i="2"/>
  <c r="O90" i="2"/>
  <c r="AE90" i="2"/>
  <c r="E4" i="15"/>
  <c r="H4" i="9"/>
  <c r="D13" i="9"/>
  <c r="R8" i="3"/>
  <c r="H113" i="9" s="1"/>
  <c r="R2" i="3"/>
  <c r="AB5" i="3"/>
  <c r="D40" i="13"/>
  <c r="D41" i="13" s="1"/>
  <c r="AB3" i="3"/>
  <c r="I23" i="9"/>
  <c r="I16" i="9" s="1"/>
  <c r="R10" i="3"/>
  <c r="AG115" i="2"/>
  <c r="O40" i="13"/>
  <c r="B64" i="13" s="1"/>
  <c r="T115" i="2"/>
  <c r="AB115" i="2"/>
  <c r="H23" i="9"/>
  <c r="H16" i="9" s="1"/>
  <c r="F115" i="2"/>
  <c r="G9" i="3" s="1"/>
  <c r="V115" i="2"/>
  <c r="C22" i="9"/>
  <c r="C114" i="9" s="1"/>
  <c r="B53" i="13"/>
  <c r="B99" i="13"/>
  <c r="R4" i="3"/>
  <c r="B5" i="2"/>
  <c r="F23" i="9"/>
  <c r="F16" i="9" s="1"/>
  <c r="C59" i="13"/>
  <c r="B59" i="13" s="1"/>
  <c r="AB8" i="3"/>
  <c r="B6" i="2"/>
  <c r="B4" i="2"/>
  <c r="B10" i="2"/>
  <c r="B8" i="2"/>
  <c r="D12" i="2"/>
  <c r="D11" i="15"/>
  <c r="K11" i="15"/>
  <c r="C11" i="15"/>
  <c r="J11" i="15"/>
  <c r="B11" i="15"/>
  <c r="I11" i="15"/>
  <c r="H11" i="15"/>
  <c r="G11" i="15"/>
  <c r="F11" i="15"/>
  <c r="E11" i="15"/>
  <c r="F11" i="9"/>
  <c r="E11" i="9"/>
  <c r="D11" i="9"/>
  <c r="K11" i="9"/>
  <c r="C11" i="9"/>
  <c r="J11" i="9"/>
  <c r="B11" i="9"/>
  <c r="I11" i="9"/>
  <c r="G11" i="9"/>
  <c r="N4" i="15"/>
  <c r="P4" i="9"/>
  <c r="D47" i="13"/>
  <c r="M40" i="13"/>
  <c r="B63" i="13" s="1"/>
  <c r="D36" i="13"/>
  <c r="D37" i="13" s="1"/>
  <c r="G114" i="15"/>
  <c r="D28" i="13"/>
  <c r="D43" i="13" s="1"/>
  <c r="G4" i="9"/>
  <c r="C13" i="9"/>
  <c r="B14" i="9"/>
  <c r="E58" i="13"/>
  <c r="D58" i="13" s="1"/>
  <c r="I4" i="9"/>
  <c r="E13" i="9"/>
  <c r="B4" i="9"/>
  <c r="J4" i="9"/>
  <c r="F13" i="9"/>
  <c r="E14" i="9"/>
  <c r="C4" i="9"/>
  <c r="K4" i="9"/>
  <c r="G13" i="9"/>
  <c r="G14" i="15"/>
  <c r="F14" i="15"/>
  <c r="D4" i="15"/>
  <c r="E14" i="15"/>
  <c r="K4" i="15"/>
  <c r="C4" i="15"/>
  <c r="E13" i="15"/>
  <c r="J4" i="15"/>
  <c r="B4" i="15"/>
  <c r="I4" i="15"/>
  <c r="B14" i="15"/>
  <c r="C13" i="15"/>
  <c r="H4" i="15"/>
  <c r="I14" i="15"/>
  <c r="H14" i="15"/>
  <c r="B13" i="15"/>
  <c r="G4" i="15"/>
  <c r="F4" i="15"/>
  <c r="C99" i="13"/>
  <c r="D4" i="9"/>
  <c r="H13" i="9"/>
  <c r="G14" i="9"/>
  <c r="B36" i="13"/>
  <c r="B37" i="13" s="1"/>
  <c r="E4" i="9"/>
  <c r="H14" i="9"/>
  <c r="B28" i="13"/>
  <c r="F4" i="9"/>
  <c r="B13" i="9"/>
  <c r="I14" i="9"/>
  <c r="F84" i="9"/>
  <c r="D13" i="15"/>
  <c r="G13" i="15"/>
  <c r="AI66" i="2"/>
  <c r="AA66" i="2"/>
  <c r="S66" i="2"/>
  <c r="K66" i="2"/>
  <c r="AG66" i="2"/>
  <c r="Y66" i="2"/>
  <c r="Q66" i="2"/>
  <c r="I66" i="2"/>
  <c r="AF66" i="2"/>
  <c r="X66" i="2"/>
  <c r="P66" i="2"/>
  <c r="H66" i="2"/>
  <c r="AD66" i="2"/>
  <c r="V66" i="2"/>
  <c r="N66" i="2"/>
  <c r="F66" i="2"/>
  <c r="F67" i="2" s="1"/>
  <c r="AH66" i="2"/>
  <c r="R66" i="2"/>
  <c r="AE66" i="2"/>
  <c r="O66" i="2"/>
  <c r="AC66" i="2"/>
  <c r="M66" i="2"/>
  <c r="AB66" i="2"/>
  <c r="L66" i="2"/>
  <c r="Z66" i="2"/>
  <c r="J66" i="2"/>
  <c r="W66" i="2"/>
  <c r="G66" i="2"/>
  <c r="T66" i="2"/>
  <c r="U66" i="2"/>
  <c r="E66" i="2"/>
  <c r="E67" i="2" s="1"/>
  <c r="E68" i="2" s="1"/>
  <c r="R7" i="3"/>
  <c r="H3" i="3"/>
  <c r="C30" i="1" s="1"/>
  <c r="B30" i="1" s="1"/>
  <c r="AB6" i="3"/>
  <c r="R6" i="3"/>
  <c r="B11" i="3"/>
  <c r="AH127" i="2"/>
  <c r="AH128" i="2" s="1"/>
  <c r="AH130" i="2" s="1"/>
  <c r="Z127" i="2"/>
  <c r="Z128" i="2" s="1"/>
  <c r="Z130" i="2" s="1"/>
  <c r="R127" i="2"/>
  <c r="R128" i="2" s="1"/>
  <c r="R130" i="2" s="1"/>
  <c r="J127" i="2"/>
  <c r="J128" i="2" s="1"/>
  <c r="J130" i="2" s="1"/>
  <c r="AG127" i="2"/>
  <c r="AG128" i="2" s="1"/>
  <c r="AG130" i="2" s="1"/>
  <c r="Y127" i="2"/>
  <c r="Y128" i="2" s="1"/>
  <c r="Y130" i="2" s="1"/>
  <c r="Q127" i="2"/>
  <c r="Q128" i="2" s="1"/>
  <c r="Q130" i="2" s="1"/>
  <c r="I127" i="2"/>
  <c r="I128" i="2" s="1"/>
  <c r="I130" i="2" s="1"/>
  <c r="AD127" i="2"/>
  <c r="AD128" i="2" s="1"/>
  <c r="AD130" i="2" s="1"/>
  <c r="T127" i="2"/>
  <c r="T128" i="2" s="1"/>
  <c r="T130" i="2" s="1"/>
  <c r="H127" i="2"/>
  <c r="H128" i="2" s="1"/>
  <c r="H130" i="2" s="1"/>
  <c r="AC127" i="2"/>
  <c r="AC128" i="2" s="1"/>
  <c r="AC130" i="2" s="1"/>
  <c r="S127" i="2"/>
  <c r="S128" i="2" s="1"/>
  <c r="S130" i="2" s="1"/>
  <c r="G127" i="2"/>
  <c r="G128" i="2" s="1"/>
  <c r="G130" i="2" s="1"/>
  <c r="AB127" i="2"/>
  <c r="AB128" i="2" s="1"/>
  <c r="AB130" i="2" s="1"/>
  <c r="P127" i="2"/>
  <c r="P128" i="2" s="1"/>
  <c r="P130" i="2" s="1"/>
  <c r="F127" i="2"/>
  <c r="F128" i="2" s="1"/>
  <c r="G10" i="3" s="1"/>
  <c r="AA127" i="2"/>
  <c r="AA128" i="2" s="1"/>
  <c r="AA130" i="2" s="1"/>
  <c r="O127" i="2"/>
  <c r="O128" i="2" s="1"/>
  <c r="O130" i="2" s="1"/>
  <c r="E127" i="2"/>
  <c r="E128" i="2" s="1"/>
  <c r="E130" i="2" s="1"/>
  <c r="AI127" i="2"/>
  <c r="AI128" i="2" s="1"/>
  <c r="AI130" i="2" s="1"/>
  <c r="W127" i="2"/>
  <c r="W128" i="2" s="1"/>
  <c r="W130" i="2" s="1"/>
  <c r="M127" i="2"/>
  <c r="M128" i="2" s="1"/>
  <c r="M130" i="2" s="1"/>
  <c r="AE127" i="2"/>
  <c r="AE128" i="2" s="1"/>
  <c r="AE130" i="2" s="1"/>
  <c r="X127" i="2"/>
  <c r="X128" i="2" s="1"/>
  <c r="X130" i="2" s="1"/>
  <c r="V127" i="2"/>
  <c r="V128" i="2" s="1"/>
  <c r="V130" i="2" s="1"/>
  <c r="U127" i="2"/>
  <c r="U128" i="2" s="1"/>
  <c r="U130" i="2" s="1"/>
  <c r="N127" i="2"/>
  <c r="N128" i="2" s="1"/>
  <c r="N130" i="2" s="1"/>
  <c r="L127" i="2"/>
  <c r="L128" i="2" s="1"/>
  <c r="L130" i="2" s="1"/>
  <c r="AF127" i="2"/>
  <c r="AF128" i="2" s="1"/>
  <c r="AF130" i="2" s="1"/>
  <c r="K127" i="2"/>
  <c r="K128" i="2" s="1"/>
  <c r="K130" i="2" s="1"/>
  <c r="E150" i="2"/>
  <c r="B7" i="2" s="1"/>
  <c r="F150" i="2"/>
  <c r="H11" i="3"/>
  <c r="Z9" i="2"/>
  <c r="B34" i="10" s="1"/>
  <c r="C34" i="10" s="1"/>
  <c r="D34" i="10" s="1"/>
  <c r="W7" i="2"/>
  <c r="B22" i="10" s="1"/>
  <c r="C22" i="10" s="1"/>
  <c r="AB4" i="3"/>
  <c r="H6" i="3"/>
  <c r="F30" i="1" s="1"/>
  <c r="E30" i="1" s="1"/>
  <c r="R9" i="3"/>
  <c r="D10" i="2"/>
  <c r="E132" i="2" s="1"/>
  <c r="W6" i="2"/>
  <c r="B13" i="10" s="1"/>
  <c r="C13" i="10" s="1"/>
  <c r="W4" i="2"/>
  <c r="B11" i="10" s="1"/>
  <c r="C11" i="10" s="1"/>
  <c r="W5" i="2"/>
  <c r="B12" i="10" s="1"/>
  <c r="C12" i="10" s="1"/>
  <c r="W3" i="2"/>
  <c r="B10" i="10" s="1"/>
  <c r="C10" i="10" s="1"/>
  <c r="W9" i="2"/>
  <c r="B18" i="10" s="1"/>
  <c r="C18" i="10" s="1"/>
  <c r="F90" i="2"/>
  <c r="N90" i="2"/>
  <c r="V90" i="2"/>
  <c r="AD90" i="2"/>
  <c r="E115" i="2"/>
  <c r="M115" i="2"/>
  <c r="U115" i="2"/>
  <c r="AC115" i="2"/>
  <c r="T104" i="2"/>
  <c r="G115" i="2"/>
  <c r="O115" i="2"/>
  <c r="W115" i="2"/>
  <c r="AE115" i="2"/>
  <c r="I104" i="2"/>
  <c r="AG104" i="2"/>
  <c r="N104" i="2"/>
  <c r="I115" i="2"/>
  <c r="AD18" i="6"/>
  <c r="AS26" i="6"/>
  <c r="AS34" i="6"/>
  <c r="AE35" i="6"/>
  <c r="AN35" i="6"/>
  <c r="AS35" i="6" s="1"/>
  <c r="AD35" i="6"/>
  <c r="H57" i="6"/>
  <c r="AN28" i="6"/>
  <c r="AS28" i="6" s="1"/>
  <c r="AE28" i="6"/>
  <c r="AD28" i="6"/>
  <c r="AO29" i="6"/>
  <c r="AE29" i="6"/>
  <c r="AD29" i="6"/>
  <c r="AS19" i="6"/>
  <c r="AE21" i="6"/>
  <c r="AN43" i="6"/>
  <c r="AS43" i="6" s="1"/>
  <c r="AE43" i="6"/>
  <c r="AD43" i="6"/>
  <c r="AS18" i="6"/>
  <c r="AS30" i="6"/>
  <c r="AS31" i="6"/>
  <c r="AO33" i="6"/>
  <c r="AS33" i="6" s="1"/>
  <c r="AE33" i="6"/>
  <c r="AD33" i="6"/>
  <c r="AE37" i="6"/>
  <c r="AD37" i="6"/>
  <c r="AN37" i="6"/>
  <c r="AS37" i="6" s="1"/>
  <c r="AN7" i="6"/>
  <c r="AS7" i="6" s="1"/>
  <c r="AE7" i="6"/>
  <c r="AS12" i="6"/>
  <c r="AS17" i="6"/>
  <c r="AE19" i="6"/>
  <c r="AD21" i="6"/>
  <c r="AN32" i="6"/>
  <c r="AS32" i="6" s="1"/>
  <c r="AE32" i="6"/>
  <c r="AD32" i="6"/>
  <c r="AN42" i="6"/>
  <c r="AS42" i="6" s="1"/>
  <c r="AD42" i="6"/>
  <c r="AE42" i="6"/>
  <c r="AN8" i="6"/>
  <c r="AS8" i="6" s="1"/>
  <c r="AE8" i="6"/>
  <c r="AN9" i="6"/>
  <c r="AS9" i="6" s="1"/>
  <c r="AE9" i="6"/>
  <c r="AN10" i="6"/>
  <c r="AS10" i="6" s="1"/>
  <c r="AE10" i="6"/>
  <c r="AN11" i="6"/>
  <c r="AS11" i="6" s="1"/>
  <c r="AE11" i="6"/>
  <c r="AN12" i="6"/>
  <c r="AE12" i="6"/>
  <c r="AN13" i="6"/>
  <c r="AS13" i="6" s="1"/>
  <c r="AE13" i="6"/>
  <c r="AN14" i="6"/>
  <c r="AS14" i="6" s="1"/>
  <c r="AE14" i="6"/>
  <c r="AS15" i="6"/>
  <c r="AS16" i="6"/>
  <c r="AE18" i="6"/>
  <c r="AS22" i="6"/>
  <c r="AS23" i="6"/>
  <c r="AO25" i="6"/>
  <c r="AS25" i="6" s="1"/>
  <c r="AE25" i="6"/>
  <c r="AD25" i="6"/>
  <c r="M23" i="7"/>
  <c r="M20" i="7"/>
  <c r="M21" i="7" s="1"/>
  <c r="M39" i="7"/>
  <c r="M40" i="7" s="1"/>
  <c r="AN24" i="6"/>
  <c r="AS24" i="6" s="1"/>
  <c r="AE24" i="6"/>
  <c r="AD24" i="6"/>
  <c r="AS29" i="6"/>
  <c r="AN41" i="6"/>
  <c r="AS41" i="6" s="1"/>
  <c r="AE41" i="6"/>
  <c r="AD41" i="6"/>
  <c r="AE39" i="6"/>
  <c r="AD40" i="6"/>
  <c r="AS47" i="6"/>
  <c r="AP49" i="6"/>
  <c r="AS49" i="6" s="1"/>
  <c r="AE49" i="6"/>
  <c r="AN52" i="6"/>
  <c r="AS52" i="6" s="1"/>
  <c r="AE52" i="6"/>
  <c r="AD52" i="6"/>
  <c r="AN45" i="6"/>
  <c r="AS45" i="6" s="1"/>
  <c r="AE45" i="6"/>
  <c r="AD45" i="6"/>
  <c r="AS53" i="6"/>
  <c r="AN38" i="6"/>
  <c r="AS38" i="6" s="1"/>
  <c r="AD38" i="6"/>
  <c r="AS40" i="6"/>
  <c r="AN44" i="6"/>
  <c r="AS44" i="6" s="1"/>
  <c r="AE44" i="6"/>
  <c r="AD44" i="6"/>
  <c r="P58" i="6"/>
  <c r="Q58" i="6" s="1"/>
  <c r="Q57" i="6"/>
  <c r="AP50" i="6"/>
  <c r="AS50" i="6" s="1"/>
  <c r="AP51" i="6"/>
  <c r="AS51" i="6" s="1"/>
  <c r="Z57" i="6"/>
  <c r="V11" i="7"/>
  <c r="AD53" i="6"/>
  <c r="F185" i="11"/>
  <c r="J185" i="11" s="1"/>
  <c r="J184" i="11"/>
  <c r="Y58" i="6"/>
  <c r="Z58" i="6" s="1"/>
  <c r="D25" i="10"/>
  <c r="X7" i="3" s="1"/>
  <c r="J118" i="11"/>
  <c r="F119" i="11"/>
  <c r="M3" i="4"/>
  <c r="M7" i="4" s="1"/>
  <c r="H7" i="4"/>
  <c r="AD50" i="6"/>
  <c r="AD51" i="6"/>
  <c r="J117" i="11"/>
  <c r="I7" i="4"/>
  <c r="N3" i="4"/>
  <c r="N7" i="4" s="1"/>
  <c r="N57" i="6"/>
  <c r="Q20" i="7"/>
  <c r="Q21" i="7" s="1"/>
  <c r="F98" i="11"/>
  <c r="J97" i="11"/>
  <c r="F165" i="11"/>
  <c r="F148" i="11"/>
  <c r="J7" i="4"/>
  <c r="D21" i="10"/>
  <c r="X6" i="3" s="1"/>
  <c r="D29" i="10"/>
  <c r="X10" i="3" s="1"/>
  <c r="E49" i="5"/>
  <c r="E52" i="5" s="1"/>
  <c r="O3" i="4"/>
  <c r="O7" i="4" s="1"/>
  <c r="I22" i="15" l="1"/>
  <c r="P5" i="9"/>
  <c r="P7" i="9" s="1"/>
  <c r="P8" i="9" s="1"/>
  <c r="B17" i="9"/>
  <c r="D30" i="13"/>
  <c r="D34" i="13" s="1"/>
  <c r="K5" i="15"/>
  <c r="K6" i="15" s="1"/>
  <c r="F22" i="15"/>
  <c r="B22" i="15"/>
  <c r="AF116" i="2"/>
  <c r="AF117" i="2" s="1"/>
  <c r="S10" i="3"/>
  <c r="E113" i="9"/>
  <c r="N4" i="9"/>
  <c r="H113" i="15"/>
  <c r="C113" i="15"/>
  <c r="E22" i="15"/>
  <c r="C14" i="9"/>
  <c r="F133" i="11"/>
  <c r="J132" i="11"/>
  <c r="Z10" i="3"/>
  <c r="AA10" i="3" s="1"/>
  <c r="I13" i="15"/>
  <c r="H26" i="15"/>
  <c r="H90" i="15" s="1"/>
  <c r="H115" i="2"/>
  <c r="H116" i="2" s="1"/>
  <c r="H117" i="2" s="1"/>
  <c r="R115" i="2"/>
  <c r="I26" i="7"/>
  <c r="I45" i="7"/>
  <c r="J115" i="2"/>
  <c r="K104" i="2"/>
  <c r="K105" i="2" s="1"/>
  <c r="K106" i="2" s="1"/>
  <c r="I53" i="7"/>
  <c r="S104" i="2"/>
  <c r="R104" i="2"/>
  <c r="S163" i="2" s="1"/>
  <c r="H104" i="2"/>
  <c r="U104" i="2"/>
  <c r="Z104" i="2"/>
  <c r="AE104" i="2"/>
  <c r="AF163" i="2" s="1"/>
  <c r="M104" i="2"/>
  <c r="N163" i="2" s="1"/>
  <c r="L104" i="2"/>
  <c r="E104" i="2"/>
  <c r="E105" i="2" s="1"/>
  <c r="V104" i="2"/>
  <c r="V105" i="2" s="1"/>
  <c r="V106" i="2" s="1"/>
  <c r="AF104" i="2"/>
  <c r="AF105" i="2" s="1"/>
  <c r="I36" i="7"/>
  <c r="X115" i="2"/>
  <c r="AH115" i="2"/>
  <c r="D16" i="15"/>
  <c r="J16" i="15"/>
  <c r="J104" i="2"/>
  <c r="J105" i="2" s="1"/>
  <c r="J106" i="2" s="1"/>
  <c r="AB104" i="2"/>
  <c r="AB105" i="2" s="1"/>
  <c r="AB106" i="2" s="1"/>
  <c r="X104" i="2"/>
  <c r="G104" i="2"/>
  <c r="K18" i="15"/>
  <c r="K20" i="15" s="1"/>
  <c r="K21" i="15" s="1"/>
  <c r="K23" i="15" s="1"/>
  <c r="K18" i="9"/>
  <c r="K20" i="9" s="1"/>
  <c r="D14" i="15"/>
  <c r="H16" i="15"/>
  <c r="J27" i="15"/>
  <c r="J91" i="15" s="1"/>
  <c r="J27" i="9"/>
  <c r="J91" i="9" s="1"/>
  <c r="F104" i="2"/>
  <c r="F27" i="15"/>
  <c r="F91" i="15" s="1"/>
  <c r="F27" i="9"/>
  <c r="F91" i="9" s="1"/>
  <c r="G27" i="9"/>
  <c r="G91" i="9" s="1"/>
  <c r="G27" i="15"/>
  <c r="G91" i="15" s="1"/>
  <c r="AH104" i="2"/>
  <c r="AI163" i="2" s="1"/>
  <c r="Y104" i="2"/>
  <c r="Y163" i="2" s="1"/>
  <c r="AC104" i="2"/>
  <c r="X9" i="3"/>
  <c r="X8" i="3"/>
  <c r="P104" i="2"/>
  <c r="Q163" i="2" s="1"/>
  <c r="Q104" i="2"/>
  <c r="W104" i="2"/>
  <c r="B28" i="15"/>
  <c r="B92" i="15" s="1"/>
  <c r="B28" i="9"/>
  <c r="B92" i="9" s="1"/>
  <c r="F41" i="11"/>
  <c r="J40" i="11"/>
  <c r="V5" i="3"/>
  <c r="V4" i="3"/>
  <c r="V2" i="3"/>
  <c r="V3" i="3"/>
  <c r="E28" i="15"/>
  <c r="E92" i="15" s="1"/>
  <c r="E28" i="9"/>
  <c r="E92" i="9" s="1"/>
  <c r="AI104" i="2"/>
  <c r="AD104" i="2"/>
  <c r="AE163" i="2" s="1"/>
  <c r="AA104" i="2"/>
  <c r="AA105" i="2" s="1"/>
  <c r="AA106" i="2" s="1"/>
  <c r="C28" i="15"/>
  <c r="C92" i="15" s="1"/>
  <c r="C28" i="9"/>
  <c r="C92" i="9" s="1"/>
  <c r="V9" i="3"/>
  <c r="V8" i="3"/>
  <c r="E107" i="2"/>
  <c r="F107" i="2" s="1"/>
  <c r="G107" i="2" s="1"/>
  <c r="H107" i="2" s="1"/>
  <c r="I107" i="2" s="1"/>
  <c r="J107" i="2" s="1"/>
  <c r="K107" i="2" s="1"/>
  <c r="L107" i="2" s="1"/>
  <c r="M107" i="2" s="1"/>
  <c r="N107" i="2" s="1"/>
  <c r="O107" i="2" s="1"/>
  <c r="P107" i="2" s="1"/>
  <c r="Q107" i="2" s="1"/>
  <c r="R107" i="2" s="1"/>
  <c r="S107" i="2" s="1"/>
  <c r="T107" i="2" s="1"/>
  <c r="U107" i="2" s="1"/>
  <c r="V107" i="2" s="1"/>
  <c r="W107" i="2" s="1"/>
  <c r="X107" i="2" s="1"/>
  <c r="Y107" i="2" s="1"/>
  <c r="Z107" i="2" s="1"/>
  <c r="AA107" i="2" s="1"/>
  <c r="AB107" i="2" s="1"/>
  <c r="AC107" i="2" s="1"/>
  <c r="AD107" i="2" s="1"/>
  <c r="AE107" i="2" s="1"/>
  <c r="AF107" i="2" s="1"/>
  <c r="AG107" i="2" s="1"/>
  <c r="AH107" i="2" s="1"/>
  <c r="AI107" i="2" s="1"/>
  <c r="E95" i="2"/>
  <c r="F95" i="2" s="1"/>
  <c r="G95" i="2" s="1"/>
  <c r="H95" i="2" s="1"/>
  <c r="I95" i="2" s="1"/>
  <c r="J95" i="2" s="1"/>
  <c r="K95" i="2" s="1"/>
  <c r="L95" i="2" s="1"/>
  <c r="M95" i="2" s="1"/>
  <c r="N95" i="2" s="1"/>
  <c r="O95" i="2" s="1"/>
  <c r="P95" i="2" s="1"/>
  <c r="Q95" i="2" s="1"/>
  <c r="R95" i="2" s="1"/>
  <c r="S95" i="2" s="1"/>
  <c r="T95" i="2" s="1"/>
  <c r="U95" i="2" s="1"/>
  <c r="V95" i="2" s="1"/>
  <c r="W95" i="2" s="1"/>
  <c r="X95" i="2" s="1"/>
  <c r="Y95" i="2" s="1"/>
  <c r="Z95" i="2" s="1"/>
  <c r="AA95" i="2" s="1"/>
  <c r="AB95" i="2" s="1"/>
  <c r="AC95" i="2" s="1"/>
  <c r="AD95" i="2" s="1"/>
  <c r="AE95" i="2" s="1"/>
  <c r="AF95" i="2" s="1"/>
  <c r="AG95" i="2" s="1"/>
  <c r="AH95" i="2" s="1"/>
  <c r="AI95" i="2" s="1"/>
  <c r="J26" i="15"/>
  <c r="J90" i="15" s="1"/>
  <c r="J26" i="9"/>
  <c r="J90" i="9" s="1"/>
  <c r="B40" i="2"/>
  <c r="E39" i="2" s="1"/>
  <c r="E40" i="2" s="1"/>
  <c r="E41" i="2" s="1"/>
  <c r="B16" i="2"/>
  <c r="F16" i="2" s="1"/>
  <c r="B53" i="2"/>
  <c r="I52" i="2" s="1"/>
  <c r="I53" i="2" s="1"/>
  <c r="I54" i="2" s="1"/>
  <c r="B27" i="2"/>
  <c r="F26" i="2" s="1"/>
  <c r="G3" i="3" s="1"/>
  <c r="S8" i="3"/>
  <c r="E71" i="2"/>
  <c r="F71" i="2" s="1"/>
  <c r="G71" i="2" s="1"/>
  <c r="H71" i="2" s="1"/>
  <c r="I71" i="2" s="1"/>
  <c r="J71" i="2" s="1"/>
  <c r="K71" i="2" s="1"/>
  <c r="L71" i="2" s="1"/>
  <c r="M71" i="2" s="1"/>
  <c r="N71" i="2" s="1"/>
  <c r="O71" i="2" s="1"/>
  <c r="P71" i="2" s="1"/>
  <c r="Q71" i="2" s="1"/>
  <c r="R71" i="2" s="1"/>
  <c r="S71" i="2" s="1"/>
  <c r="T71" i="2" s="1"/>
  <c r="U71" i="2" s="1"/>
  <c r="V71" i="2" s="1"/>
  <c r="W71" i="2" s="1"/>
  <c r="X71" i="2" s="1"/>
  <c r="Y71" i="2" s="1"/>
  <c r="Z71" i="2" s="1"/>
  <c r="AA71" i="2" s="1"/>
  <c r="AB71" i="2" s="1"/>
  <c r="AC71" i="2" s="1"/>
  <c r="AD71" i="2" s="1"/>
  <c r="AE71" i="2" s="1"/>
  <c r="AF71" i="2" s="1"/>
  <c r="AG71" i="2" s="1"/>
  <c r="AH71" i="2" s="1"/>
  <c r="AI71" i="2" s="1"/>
  <c r="F165" i="2"/>
  <c r="N5" i="15"/>
  <c r="N7" i="15" s="1"/>
  <c r="D48" i="13" s="1"/>
  <c r="D49" i="13" s="1"/>
  <c r="D51" i="13" s="1"/>
  <c r="D52" i="13" s="1"/>
  <c r="H90" i="9"/>
  <c r="G23" i="9"/>
  <c r="G16" i="9" s="1"/>
  <c r="G7" i="15"/>
  <c r="E59" i="2"/>
  <c r="F59" i="2" s="1"/>
  <c r="G59" i="2" s="1"/>
  <c r="H59" i="2" s="1"/>
  <c r="I59" i="2" s="1"/>
  <c r="J59" i="2" s="1"/>
  <c r="K59" i="2" s="1"/>
  <c r="L59" i="2" s="1"/>
  <c r="M59" i="2" s="1"/>
  <c r="N59" i="2" s="1"/>
  <c r="O59" i="2" s="1"/>
  <c r="P59" i="2" s="1"/>
  <c r="Q59" i="2" s="1"/>
  <c r="R59" i="2" s="1"/>
  <c r="S59" i="2" s="1"/>
  <c r="T59" i="2" s="1"/>
  <c r="U59" i="2" s="1"/>
  <c r="V59" i="2" s="1"/>
  <c r="W59" i="2" s="1"/>
  <c r="X59" i="2" s="1"/>
  <c r="Y59" i="2" s="1"/>
  <c r="Z59" i="2" s="1"/>
  <c r="AA59" i="2" s="1"/>
  <c r="AB59" i="2" s="1"/>
  <c r="AC59" i="2" s="1"/>
  <c r="AD59" i="2" s="1"/>
  <c r="AE59" i="2" s="1"/>
  <c r="AF59" i="2" s="1"/>
  <c r="AG59" i="2" s="1"/>
  <c r="AH59" i="2" s="1"/>
  <c r="AI59" i="2" s="1"/>
  <c r="T116" i="2"/>
  <c r="T117" i="2" s="1"/>
  <c r="AI116" i="2"/>
  <c r="AI117" i="2" s="1"/>
  <c r="B43" i="13"/>
  <c r="K116" i="2"/>
  <c r="K117" i="2" s="1"/>
  <c r="AE116" i="2"/>
  <c r="AE117" i="2" s="1"/>
  <c r="E116" i="2"/>
  <c r="E117" i="2" s="1"/>
  <c r="AA116" i="2"/>
  <c r="AA117" i="2" s="1"/>
  <c r="F130" i="2"/>
  <c r="J115" i="9" s="1"/>
  <c r="R116" i="2"/>
  <c r="R117" i="2" s="1"/>
  <c r="K5" i="9"/>
  <c r="K6" i="9" s="1"/>
  <c r="I116" i="2"/>
  <c r="I117" i="2" s="1"/>
  <c r="J113" i="15"/>
  <c r="J113" i="9"/>
  <c r="B113" i="15"/>
  <c r="B113" i="9"/>
  <c r="Q116" i="2"/>
  <c r="Q117" i="2" s="1"/>
  <c r="L116" i="2"/>
  <c r="L117" i="2" s="1"/>
  <c r="F116" i="2"/>
  <c r="F117" i="2" s="1"/>
  <c r="P116" i="2"/>
  <c r="P117" i="2" s="1"/>
  <c r="AG116" i="2"/>
  <c r="AG117" i="2" s="1"/>
  <c r="O116" i="2"/>
  <c r="O117" i="2" s="1"/>
  <c r="U116" i="2"/>
  <c r="U117" i="2" s="1"/>
  <c r="Y116" i="2"/>
  <c r="Y117" i="2" s="1"/>
  <c r="D116" i="2"/>
  <c r="D117" i="2" s="1"/>
  <c r="N116" i="2"/>
  <c r="N117" i="2" s="1"/>
  <c r="G116" i="2"/>
  <c r="G117" i="2" s="1"/>
  <c r="M116" i="2"/>
  <c r="M117" i="2" s="1"/>
  <c r="V116" i="2"/>
  <c r="V117" i="2" s="1"/>
  <c r="I25" i="13"/>
  <c r="AD116" i="2"/>
  <c r="AD117" i="2" s="1"/>
  <c r="AH116" i="2"/>
  <c r="AH117" i="2" s="1"/>
  <c r="D113" i="15"/>
  <c r="D113" i="9"/>
  <c r="AB116" i="2"/>
  <c r="AB117" i="2" s="1"/>
  <c r="S116" i="2"/>
  <c r="S117" i="2" s="1"/>
  <c r="I63" i="15" s="1"/>
  <c r="X116" i="2"/>
  <c r="X117" i="2" s="1"/>
  <c r="W116" i="2"/>
  <c r="W117" i="2" s="1"/>
  <c r="AC116" i="2"/>
  <c r="AC117" i="2" s="1"/>
  <c r="AE129" i="2"/>
  <c r="K129" i="2"/>
  <c r="J55" i="15"/>
  <c r="J74" i="15" s="1"/>
  <c r="J55" i="9"/>
  <c r="R129" i="2"/>
  <c r="J62" i="15"/>
  <c r="J81" i="15" s="1"/>
  <c r="J62" i="9"/>
  <c r="I129" i="2"/>
  <c r="J53" i="15"/>
  <c r="J72" i="15" s="1"/>
  <c r="J53" i="9"/>
  <c r="M129" i="2"/>
  <c r="J57" i="15"/>
  <c r="J76" i="15" s="1"/>
  <c r="J57" i="9"/>
  <c r="AB129" i="2"/>
  <c r="Q129" i="2"/>
  <c r="J61" i="15"/>
  <c r="J80" i="15" s="1"/>
  <c r="J61" i="9"/>
  <c r="F28" i="15"/>
  <c r="F92" i="15" s="1"/>
  <c r="F28" i="9"/>
  <c r="F92" i="9" s="1"/>
  <c r="T10" i="2"/>
  <c r="AH105" i="2"/>
  <c r="AH106" i="2" s="1"/>
  <c r="W105" i="2"/>
  <c r="W106" i="2" s="1"/>
  <c r="AF106" i="2"/>
  <c r="W129" i="2"/>
  <c r="T129" i="2"/>
  <c r="J64" i="15"/>
  <c r="J83" i="15" s="1"/>
  <c r="J64" i="9"/>
  <c r="AA129" i="2"/>
  <c r="P129" i="2"/>
  <c r="J60" i="15"/>
  <c r="J79" i="15" s="1"/>
  <c r="J60" i="9"/>
  <c r="L160" i="2"/>
  <c r="L67" i="2"/>
  <c r="L68" i="2" s="1"/>
  <c r="F161" i="2"/>
  <c r="F68" i="2"/>
  <c r="G6" i="3"/>
  <c r="I160" i="2"/>
  <c r="I67" i="2"/>
  <c r="I68" i="2" s="1"/>
  <c r="F7" i="15"/>
  <c r="F32" i="15" s="1"/>
  <c r="L129" i="2"/>
  <c r="J56" i="15"/>
  <c r="J75" i="15" s="1"/>
  <c r="J56" i="9"/>
  <c r="F149" i="11"/>
  <c r="J148" i="11"/>
  <c r="F120" i="11"/>
  <c r="J119" i="11"/>
  <c r="AS54" i="6"/>
  <c r="AG163" i="2"/>
  <c r="AG105" i="2"/>
  <c r="AG106" i="2" s="1"/>
  <c r="O163" i="2"/>
  <c r="O105" i="2"/>
  <c r="O106" i="2" s="1"/>
  <c r="AD129" i="2"/>
  <c r="V129" i="2"/>
  <c r="AF129" i="2"/>
  <c r="D10" i="10"/>
  <c r="T2" i="3" s="1"/>
  <c r="S2" i="3"/>
  <c r="G78" i="7"/>
  <c r="G80" i="7" s="1"/>
  <c r="M160" i="2"/>
  <c r="M67" i="2"/>
  <c r="M68" i="2" s="1"/>
  <c r="V160" i="2"/>
  <c r="V67" i="2"/>
  <c r="V68" i="2" s="1"/>
  <c r="Y160" i="2"/>
  <c r="Y67" i="2"/>
  <c r="Y68" i="2" s="1"/>
  <c r="AH131" i="2"/>
  <c r="AH135" i="2" s="1"/>
  <c r="Z131" i="2"/>
  <c r="Z135" i="2" s="1"/>
  <c r="R131" i="2"/>
  <c r="R135" i="2" s="1"/>
  <c r="J131" i="2"/>
  <c r="J135" i="2" s="1"/>
  <c r="AG131" i="2"/>
  <c r="AG135" i="2" s="1"/>
  <c r="Y131" i="2"/>
  <c r="Y135" i="2" s="1"/>
  <c r="Q131" i="2"/>
  <c r="Q135" i="2" s="1"/>
  <c r="I131" i="2"/>
  <c r="I135" i="2" s="1"/>
  <c r="AE122" i="2"/>
  <c r="AE123" i="2" s="1"/>
  <c r="W122" i="2"/>
  <c r="W123" i="2" s="1"/>
  <c r="O122" i="2"/>
  <c r="O123" i="2" s="1"/>
  <c r="G122" i="2"/>
  <c r="G123" i="2" s="1"/>
  <c r="AF131" i="2"/>
  <c r="AF135" i="2" s="1"/>
  <c r="X131" i="2"/>
  <c r="X135" i="2" s="1"/>
  <c r="P131" i="2"/>
  <c r="P135" i="2" s="1"/>
  <c r="H131" i="2"/>
  <c r="H135" i="2" s="1"/>
  <c r="AI131" i="2"/>
  <c r="AI135" i="2" s="1"/>
  <c r="U131" i="2"/>
  <c r="U135" i="2" s="1"/>
  <c r="G131" i="2"/>
  <c r="G135" i="2" s="1"/>
  <c r="AA122" i="2"/>
  <c r="AA123" i="2" s="1"/>
  <c r="R122" i="2"/>
  <c r="R123" i="2" s="1"/>
  <c r="I122" i="2"/>
  <c r="I123" i="2" s="1"/>
  <c r="AE131" i="2"/>
  <c r="AE135" i="2" s="1"/>
  <c r="T131" i="2"/>
  <c r="T135" i="2" s="1"/>
  <c r="F131" i="2"/>
  <c r="AD131" i="2"/>
  <c r="AD135" i="2" s="1"/>
  <c r="S131" i="2"/>
  <c r="S135" i="2" s="1"/>
  <c r="E131" i="2"/>
  <c r="AH122" i="2"/>
  <c r="AH123" i="2" s="1"/>
  <c r="Y122" i="2"/>
  <c r="Y123" i="2" s="1"/>
  <c r="P122" i="2"/>
  <c r="P123" i="2" s="1"/>
  <c r="F122" i="2"/>
  <c r="AC131" i="2"/>
  <c r="AC135" i="2" s="1"/>
  <c r="O131" i="2"/>
  <c r="O135" i="2" s="1"/>
  <c r="AG122" i="2"/>
  <c r="AG123" i="2" s="1"/>
  <c r="X122" i="2"/>
  <c r="X123" i="2" s="1"/>
  <c r="N122" i="2"/>
  <c r="N123" i="2" s="1"/>
  <c r="E122" i="2"/>
  <c r="AA131" i="2"/>
  <c r="AA135" i="2" s="1"/>
  <c r="M131" i="2"/>
  <c r="M135" i="2" s="1"/>
  <c r="AD122" i="2"/>
  <c r="AD123" i="2" s="1"/>
  <c r="U122" i="2"/>
  <c r="U123" i="2" s="1"/>
  <c r="L122" i="2"/>
  <c r="L123" i="2" s="1"/>
  <c r="N131" i="2"/>
  <c r="N135" i="2" s="1"/>
  <c r="L131" i="2"/>
  <c r="L135" i="2" s="1"/>
  <c r="AC122" i="2"/>
  <c r="AC123" i="2" s="1"/>
  <c r="K122" i="2"/>
  <c r="K123" i="2" s="1"/>
  <c r="AC111" i="2"/>
  <c r="AC112" i="2" s="1"/>
  <c r="U111" i="2"/>
  <c r="U112" i="2" s="1"/>
  <c r="M111" i="2"/>
  <c r="M112" i="2" s="1"/>
  <c r="E111" i="2"/>
  <c r="E108" i="2" s="1"/>
  <c r="K131" i="2"/>
  <c r="K135" i="2" s="1"/>
  <c r="AB122" i="2"/>
  <c r="AB123" i="2" s="1"/>
  <c r="J122" i="2"/>
  <c r="J123" i="2" s="1"/>
  <c r="Z122" i="2"/>
  <c r="Z123" i="2" s="1"/>
  <c r="H122" i="2"/>
  <c r="H123" i="2" s="1"/>
  <c r="AI111" i="2"/>
  <c r="AI112" i="2" s="1"/>
  <c r="AA111" i="2"/>
  <c r="AA112" i="2" s="1"/>
  <c r="S111" i="2"/>
  <c r="S112" i="2" s="1"/>
  <c r="K111" i="2"/>
  <c r="K112" i="2" s="1"/>
  <c r="E133" i="2"/>
  <c r="V122" i="2"/>
  <c r="V123" i="2" s="1"/>
  <c r="D122" i="2"/>
  <c r="D118" i="2"/>
  <c r="E118" i="2" s="1"/>
  <c r="F118" i="2" s="1"/>
  <c r="G118" i="2" s="1"/>
  <c r="H118" i="2" s="1"/>
  <c r="I118" i="2" s="1"/>
  <c r="J118" i="2" s="1"/>
  <c r="K118" i="2" s="1"/>
  <c r="L118" i="2" s="1"/>
  <c r="M118" i="2" s="1"/>
  <c r="N118" i="2" s="1"/>
  <c r="O118" i="2" s="1"/>
  <c r="P118" i="2" s="1"/>
  <c r="Q118" i="2" s="1"/>
  <c r="R118" i="2" s="1"/>
  <c r="S118" i="2" s="1"/>
  <c r="T118" i="2" s="1"/>
  <c r="U118" i="2" s="1"/>
  <c r="V118" i="2" s="1"/>
  <c r="W118" i="2" s="1"/>
  <c r="X118" i="2" s="1"/>
  <c r="Y118" i="2" s="1"/>
  <c r="Z118" i="2" s="1"/>
  <c r="AA118" i="2" s="1"/>
  <c r="AB118" i="2" s="1"/>
  <c r="AC118" i="2" s="1"/>
  <c r="AD118" i="2" s="1"/>
  <c r="AE118" i="2" s="1"/>
  <c r="AF118" i="2" s="1"/>
  <c r="AG118" i="2" s="1"/>
  <c r="AH118" i="2" s="1"/>
  <c r="AI118" i="2" s="1"/>
  <c r="AH111" i="2"/>
  <c r="AH112" i="2" s="1"/>
  <c r="Z111" i="2"/>
  <c r="Z112" i="2" s="1"/>
  <c r="R111" i="2"/>
  <c r="R112" i="2" s="1"/>
  <c r="J111" i="2"/>
  <c r="J112" i="2" s="1"/>
  <c r="AB131" i="2"/>
  <c r="AB135" i="2" s="1"/>
  <c r="T122" i="2"/>
  <c r="T123" i="2" s="1"/>
  <c r="AG111" i="2"/>
  <c r="AG112" i="2" s="1"/>
  <c r="Y111" i="2"/>
  <c r="Y112" i="2" s="1"/>
  <c r="Q111" i="2"/>
  <c r="Q112" i="2" s="1"/>
  <c r="I111" i="2"/>
  <c r="I112" i="2" s="1"/>
  <c r="V131" i="2"/>
  <c r="V135" i="2" s="1"/>
  <c r="AI122" i="2"/>
  <c r="AI123" i="2" s="1"/>
  <c r="Q122" i="2"/>
  <c r="Q123" i="2" s="1"/>
  <c r="AE111" i="2"/>
  <c r="AE112" i="2" s="1"/>
  <c r="W111" i="2"/>
  <c r="W112" i="2" s="1"/>
  <c r="O111" i="2"/>
  <c r="O112" i="2" s="1"/>
  <c r="G111" i="2"/>
  <c r="G112" i="2" s="1"/>
  <c r="N111" i="2"/>
  <c r="N112" i="2" s="1"/>
  <c r="AB82" i="2"/>
  <c r="T82" i="2"/>
  <c r="L82" i="2"/>
  <c r="D82" i="2"/>
  <c r="AB81" i="2"/>
  <c r="AB85" i="2" s="1"/>
  <c r="T81" i="2"/>
  <c r="T85" i="2" s="1"/>
  <c r="L81" i="2"/>
  <c r="L85" i="2" s="1"/>
  <c r="D81" i="2"/>
  <c r="D85" i="2" s="1"/>
  <c r="AF111" i="2"/>
  <c r="AF112" i="2" s="1"/>
  <c r="L111" i="2"/>
  <c r="L112" i="2" s="1"/>
  <c r="AI82" i="2"/>
  <c r="AA82" i="2"/>
  <c r="S82" i="2"/>
  <c r="K82" i="2"/>
  <c r="AI81" i="2"/>
  <c r="AI85" i="2" s="1"/>
  <c r="AA81" i="2"/>
  <c r="AA85" i="2" s="1"/>
  <c r="S81" i="2"/>
  <c r="S85" i="2" s="1"/>
  <c r="K81" i="2"/>
  <c r="K85" i="2" s="1"/>
  <c r="W131" i="2"/>
  <c r="W135" i="2" s="1"/>
  <c r="AD111" i="2"/>
  <c r="AD112" i="2" s="1"/>
  <c r="H111" i="2"/>
  <c r="H112" i="2" s="1"/>
  <c r="AH82" i="2"/>
  <c r="Z82" i="2"/>
  <c r="R82" i="2"/>
  <c r="J82" i="2"/>
  <c r="AH81" i="2"/>
  <c r="AH85" i="2" s="1"/>
  <c r="Z81" i="2"/>
  <c r="Z85" i="2" s="1"/>
  <c r="R81" i="2"/>
  <c r="R85" i="2" s="1"/>
  <c r="J81" i="2"/>
  <c r="J85" i="2" s="1"/>
  <c r="AI70" i="2"/>
  <c r="AI74" i="2" s="1"/>
  <c r="AA70" i="2"/>
  <c r="AA74" i="2" s="1"/>
  <c r="S70" i="2"/>
  <c r="S74" i="2" s="1"/>
  <c r="K70" i="2"/>
  <c r="K74" i="2" s="1"/>
  <c r="AI55" i="2"/>
  <c r="AA55" i="2"/>
  <c r="S55" i="2"/>
  <c r="K55" i="2"/>
  <c r="AF122" i="2"/>
  <c r="AF123" i="2" s="1"/>
  <c r="AB111" i="2"/>
  <c r="AB112" i="2" s="1"/>
  <c r="F111" i="2"/>
  <c r="AG82" i="2"/>
  <c r="Y82" i="2"/>
  <c r="Q82" i="2"/>
  <c r="I82" i="2"/>
  <c r="AG81" i="2"/>
  <c r="AG85" i="2" s="1"/>
  <c r="Y81" i="2"/>
  <c r="Y85" i="2" s="1"/>
  <c r="Q81" i="2"/>
  <c r="Q85" i="2" s="1"/>
  <c r="I81" i="2"/>
  <c r="I85" i="2" s="1"/>
  <c r="AH70" i="2"/>
  <c r="AH74" i="2" s="1"/>
  <c r="Z70" i="2"/>
  <c r="Z74" i="2" s="1"/>
  <c r="R70" i="2"/>
  <c r="R74" i="2" s="1"/>
  <c r="J70" i="2"/>
  <c r="J74" i="2" s="1"/>
  <c r="S122" i="2"/>
  <c r="S123" i="2" s="1"/>
  <c r="X111" i="2"/>
  <c r="X112" i="2" s="1"/>
  <c r="AF82" i="2"/>
  <c r="X82" i="2"/>
  <c r="P82" i="2"/>
  <c r="H82" i="2"/>
  <c r="AF81" i="2"/>
  <c r="AF85" i="2" s="1"/>
  <c r="X81" i="2"/>
  <c r="X85" i="2" s="1"/>
  <c r="P81" i="2"/>
  <c r="P85" i="2" s="1"/>
  <c r="H81" i="2"/>
  <c r="H85" i="2" s="1"/>
  <c r="AG70" i="2"/>
  <c r="AG74" i="2" s="1"/>
  <c r="Y70" i="2"/>
  <c r="Y74" i="2" s="1"/>
  <c r="Q70" i="2"/>
  <c r="Q74" i="2" s="1"/>
  <c r="I70" i="2"/>
  <c r="I74" i="2" s="1"/>
  <c r="M122" i="2"/>
  <c r="M123" i="2" s="1"/>
  <c r="V111" i="2"/>
  <c r="V112" i="2" s="1"/>
  <c r="AE82" i="2"/>
  <c r="W82" i="2"/>
  <c r="O82" i="2"/>
  <c r="G82" i="2"/>
  <c r="AE81" i="2"/>
  <c r="AE85" i="2" s="1"/>
  <c r="W81" i="2"/>
  <c r="W85" i="2" s="1"/>
  <c r="O81" i="2"/>
  <c r="O85" i="2" s="1"/>
  <c r="G81" i="2"/>
  <c r="G85" i="2" s="1"/>
  <c r="AF70" i="2"/>
  <c r="AF74" i="2" s="1"/>
  <c r="X70" i="2"/>
  <c r="X74" i="2" s="1"/>
  <c r="P70" i="2"/>
  <c r="P74" i="2" s="1"/>
  <c r="H70" i="2"/>
  <c r="H74" i="2" s="1"/>
  <c r="AF55" i="2"/>
  <c r="X55" i="2"/>
  <c r="P55" i="2"/>
  <c r="H55" i="2"/>
  <c r="P111" i="2"/>
  <c r="P112" i="2" s="1"/>
  <c r="AC82" i="2"/>
  <c r="U82" i="2"/>
  <c r="M82" i="2"/>
  <c r="E82" i="2"/>
  <c r="AC81" i="2"/>
  <c r="AC85" i="2" s="1"/>
  <c r="U81" i="2"/>
  <c r="U85" i="2" s="1"/>
  <c r="M81" i="2"/>
  <c r="M85" i="2" s="1"/>
  <c r="E81" i="2"/>
  <c r="E85" i="2" s="1"/>
  <c r="AD70" i="2"/>
  <c r="AD74" i="2" s="1"/>
  <c r="V70" i="2"/>
  <c r="V74" i="2" s="1"/>
  <c r="N70" i="2"/>
  <c r="N74" i="2" s="1"/>
  <c r="F70" i="2"/>
  <c r="F69" i="2"/>
  <c r="F81" i="2"/>
  <c r="T70" i="2"/>
  <c r="T74" i="2" s="1"/>
  <c r="AH55" i="2"/>
  <c r="W55" i="2"/>
  <c r="M55" i="2"/>
  <c r="AD82" i="2"/>
  <c r="O70" i="2"/>
  <c r="O74" i="2" s="1"/>
  <c r="E69" i="2"/>
  <c r="AG55" i="2"/>
  <c r="V55" i="2"/>
  <c r="L55" i="2"/>
  <c r="AI42" i="2"/>
  <c r="AA42" i="2"/>
  <c r="S42" i="2"/>
  <c r="K42" i="2"/>
  <c r="AB29" i="2"/>
  <c r="T29" i="2"/>
  <c r="L29" i="2"/>
  <c r="V82" i="2"/>
  <c r="M70" i="2"/>
  <c r="M74" i="2" s="1"/>
  <c r="AE55" i="2"/>
  <c r="U55" i="2"/>
  <c r="J55" i="2"/>
  <c r="T111" i="2"/>
  <c r="T112" i="2" s="1"/>
  <c r="N82" i="2"/>
  <c r="AE70" i="2"/>
  <c r="AE74" i="2" s="1"/>
  <c r="L70" i="2"/>
  <c r="L74" i="2" s="1"/>
  <c r="F82" i="2"/>
  <c r="AC70" i="2"/>
  <c r="AC74" i="2" s="1"/>
  <c r="G70" i="2"/>
  <c r="G74" i="2" s="1"/>
  <c r="AC55" i="2"/>
  <c r="R55" i="2"/>
  <c r="G55" i="2"/>
  <c r="AF42" i="2"/>
  <c r="X42" i="2"/>
  <c r="P42" i="2"/>
  <c r="H42" i="2"/>
  <c r="AG29" i="2"/>
  <c r="Y29" i="2"/>
  <c r="Q29" i="2"/>
  <c r="I29" i="2"/>
  <c r="AD81" i="2"/>
  <c r="AD85" i="2" s="1"/>
  <c r="AB70" i="2"/>
  <c r="AB74" i="2" s="1"/>
  <c r="E70" i="2"/>
  <c r="AB55" i="2"/>
  <c r="Q55" i="2"/>
  <c r="F55" i="2"/>
  <c r="N81" i="2"/>
  <c r="N85" i="2" s="1"/>
  <c r="U70" i="2"/>
  <c r="U74" i="2" s="1"/>
  <c r="Y55" i="2"/>
  <c r="N55" i="2"/>
  <c r="E46" i="2"/>
  <c r="F46" i="2" s="1"/>
  <c r="G46" i="2" s="1"/>
  <c r="H46" i="2" s="1"/>
  <c r="I46" i="2" s="1"/>
  <c r="J46" i="2" s="1"/>
  <c r="K46" i="2" s="1"/>
  <c r="L46" i="2" s="1"/>
  <c r="M46" i="2" s="1"/>
  <c r="N46" i="2" s="1"/>
  <c r="O46" i="2" s="1"/>
  <c r="P46" i="2" s="1"/>
  <c r="Q46" i="2" s="1"/>
  <c r="R46" i="2" s="1"/>
  <c r="S46" i="2" s="1"/>
  <c r="T46" i="2" s="1"/>
  <c r="U46" i="2" s="1"/>
  <c r="V46" i="2" s="1"/>
  <c r="W46" i="2" s="1"/>
  <c r="X46" i="2" s="1"/>
  <c r="Y46" i="2" s="1"/>
  <c r="Z46" i="2" s="1"/>
  <c r="AA46" i="2" s="1"/>
  <c r="AB46" i="2" s="1"/>
  <c r="AC46" i="2" s="1"/>
  <c r="AD46" i="2" s="1"/>
  <c r="AE46" i="2" s="1"/>
  <c r="AF46" i="2" s="1"/>
  <c r="AG46" i="2" s="1"/>
  <c r="AH46" i="2" s="1"/>
  <c r="AI46" i="2" s="1"/>
  <c r="AC42" i="2"/>
  <c r="U42" i="2"/>
  <c r="M42" i="2"/>
  <c r="E42" i="2"/>
  <c r="AD29" i="2"/>
  <c r="V29" i="2"/>
  <c r="N29" i="2"/>
  <c r="F29" i="2"/>
  <c r="C10" i="9" s="1"/>
  <c r="I55" i="2"/>
  <c r="AH42" i="2"/>
  <c r="V42" i="2"/>
  <c r="I42" i="2"/>
  <c r="AF29" i="2"/>
  <c r="S29" i="2"/>
  <c r="G29" i="2"/>
  <c r="AE19" i="2"/>
  <c r="W19" i="2"/>
  <c r="O19" i="2"/>
  <c r="G19" i="2"/>
  <c r="E55" i="2"/>
  <c r="AG42" i="2"/>
  <c r="T42" i="2"/>
  <c r="G42" i="2"/>
  <c r="E33" i="2"/>
  <c r="F33" i="2" s="1"/>
  <c r="G33" i="2" s="1"/>
  <c r="H33" i="2" s="1"/>
  <c r="I33" i="2" s="1"/>
  <c r="J33" i="2" s="1"/>
  <c r="K33" i="2" s="1"/>
  <c r="L33" i="2" s="1"/>
  <c r="M33" i="2" s="1"/>
  <c r="N33" i="2" s="1"/>
  <c r="O33" i="2" s="1"/>
  <c r="P33" i="2" s="1"/>
  <c r="Q33" i="2" s="1"/>
  <c r="R33" i="2" s="1"/>
  <c r="S33" i="2" s="1"/>
  <c r="T33" i="2" s="1"/>
  <c r="U33" i="2" s="1"/>
  <c r="V33" i="2" s="1"/>
  <c r="W33" i="2" s="1"/>
  <c r="X33" i="2" s="1"/>
  <c r="Y33" i="2" s="1"/>
  <c r="Z33" i="2" s="1"/>
  <c r="AA33" i="2" s="1"/>
  <c r="AB33" i="2" s="1"/>
  <c r="AC33" i="2" s="1"/>
  <c r="AD33" i="2" s="1"/>
  <c r="AE33" i="2" s="1"/>
  <c r="AF33" i="2" s="1"/>
  <c r="AG33" i="2" s="1"/>
  <c r="AH33" i="2" s="1"/>
  <c r="AI33" i="2" s="1"/>
  <c r="AE29" i="2"/>
  <c r="R29" i="2"/>
  <c r="E29" i="2"/>
  <c r="F23" i="2"/>
  <c r="G23" i="2" s="1"/>
  <c r="H23" i="2" s="1"/>
  <c r="I23" i="2" s="1"/>
  <c r="J23" i="2" s="1"/>
  <c r="K23" i="2" s="1"/>
  <c r="L23" i="2" s="1"/>
  <c r="M23" i="2" s="1"/>
  <c r="N23" i="2" s="1"/>
  <c r="O23" i="2" s="1"/>
  <c r="P23" i="2" s="1"/>
  <c r="Q23" i="2" s="1"/>
  <c r="R23" i="2" s="1"/>
  <c r="S23" i="2" s="1"/>
  <c r="T23" i="2" s="1"/>
  <c r="U23" i="2" s="1"/>
  <c r="V23" i="2" s="1"/>
  <c r="W23" i="2" s="1"/>
  <c r="X23" i="2" s="1"/>
  <c r="Y23" i="2" s="1"/>
  <c r="Z23" i="2" s="1"/>
  <c r="AA23" i="2" s="1"/>
  <c r="AB23" i="2" s="1"/>
  <c r="AC23" i="2" s="1"/>
  <c r="AD23" i="2" s="1"/>
  <c r="AE23" i="2" s="1"/>
  <c r="AF23" i="2" s="1"/>
  <c r="AG23" i="2" s="1"/>
  <c r="AH23" i="2" s="1"/>
  <c r="AI23" i="2" s="1"/>
  <c r="AE42" i="2"/>
  <c r="R42" i="2"/>
  <c r="F42" i="2"/>
  <c r="AC29" i="2"/>
  <c r="P29" i="2"/>
  <c r="E23" i="2"/>
  <c r="AC19" i="2"/>
  <c r="U19" i="2"/>
  <c r="M19" i="2"/>
  <c r="E19" i="2"/>
  <c r="AD42" i="2"/>
  <c r="Q42" i="2"/>
  <c r="AA29" i="2"/>
  <c r="O29" i="2"/>
  <c r="AB19" i="2"/>
  <c r="T19" i="2"/>
  <c r="L19" i="2"/>
  <c r="V81" i="2"/>
  <c r="V85" i="2" s="1"/>
  <c r="AD55" i="2"/>
  <c r="AB42" i="2"/>
  <c r="O42" i="2"/>
  <c r="Z29" i="2"/>
  <c r="M29" i="2"/>
  <c r="AI19" i="2"/>
  <c r="AA19" i="2"/>
  <c r="S19" i="2"/>
  <c r="K19" i="2"/>
  <c r="O55" i="2"/>
  <c r="W42" i="2"/>
  <c r="J42" i="2"/>
  <c r="AH29" i="2"/>
  <c r="U29" i="2"/>
  <c r="H29" i="2"/>
  <c r="AF19" i="2"/>
  <c r="X19" i="2"/>
  <c r="P19" i="2"/>
  <c r="H19" i="2"/>
  <c r="W29" i="2"/>
  <c r="R19" i="2"/>
  <c r="D11" i="2"/>
  <c r="W70" i="2"/>
  <c r="W74" i="2" s="1"/>
  <c r="K29" i="2"/>
  <c r="Q19" i="2"/>
  <c r="Z42" i="2"/>
  <c r="J29" i="2"/>
  <c r="AH19" i="2"/>
  <c r="N19" i="2"/>
  <c r="Z55" i="2"/>
  <c r="Y42" i="2"/>
  <c r="AG19" i="2"/>
  <c r="J19" i="2"/>
  <c r="T55" i="2"/>
  <c r="N42" i="2"/>
  <c r="AD19" i="2"/>
  <c r="I19" i="2"/>
  <c r="X29" i="2"/>
  <c r="V19" i="2"/>
  <c r="L42" i="2"/>
  <c r="Z19" i="2"/>
  <c r="Y19" i="2"/>
  <c r="D7" i="15"/>
  <c r="F19" i="2"/>
  <c r="K7" i="15"/>
  <c r="K32" i="15" s="1"/>
  <c r="C7" i="15"/>
  <c r="C17" i="15" s="1"/>
  <c r="C18" i="15" s="1"/>
  <c r="C20" i="15" s="1"/>
  <c r="C21" i="15" s="1"/>
  <c r="J7" i="15"/>
  <c r="B7" i="15"/>
  <c r="AI29" i="2"/>
  <c r="I7" i="15"/>
  <c r="H7" i="15"/>
  <c r="E7" i="15"/>
  <c r="D7" i="9"/>
  <c r="K7" i="9"/>
  <c r="K32" i="9" s="1"/>
  <c r="J7" i="9"/>
  <c r="B7" i="9"/>
  <c r="I7" i="9"/>
  <c r="H7" i="9"/>
  <c r="G7" i="9"/>
  <c r="E7" i="9"/>
  <c r="F7" i="9"/>
  <c r="F32" i="9" s="1"/>
  <c r="AB160" i="2"/>
  <c r="AB67" i="2"/>
  <c r="AB68" i="2" s="1"/>
  <c r="D44" i="13"/>
  <c r="D38" i="13"/>
  <c r="D45" i="13" s="1"/>
  <c r="F166" i="11"/>
  <c r="J165" i="11"/>
  <c r="Q31" i="7"/>
  <c r="Q30" i="7"/>
  <c r="Q32" i="7" s="1"/>
  <c r="AI105" i="2"/>
  <c r="AI106" i="2" s="1"/>
  <c r="AH129" i="2"/>
  <c r="D12" i="10"/>
  <c r="T4" i="3" s="1"/>
  <c r="S4" i="3"/>
  <c r="F113" i="15"/>
  <c r="F113" i="9"/>
  <c r="T160" i="2"/>
  <c r="T67" i="2"/>
  <c r="T68" i="2" s="1"/>
  <c r="AC160" i="2"/>
  <c r="AC67" i="2"/>
  <c r="AC68" i="2" s="1"/>
  <c r="AD160" i="2"/>
  <c r="AD67" i="2"/>
  <c r="AD68" i="2" s="1"/>
  <c r="AG160" i="2"/>
  <c r="AG67" i="2"/>
  <c r="AG68" i="2" s="1"/>
  <c r="C7" i="9"/>
  <c r="U129" i="2"/>
  <c r="N160" i="2"/>
  <c r="N67" i="2"/>
  <c r="N68" i="2" s="1"/>
  <c r="AE57" i="6"/>
  <c r="S105" i="2"/>
  <c r="S106" i="2" s="1"/>
  <c r="Q105" i="2"/>
  <c r="Q106" i="2" s="1"/>
  <c r="X105" i="2"/>
  <c r="X106" i="2" s="1"/>
  <c r="G163" i="2"/>
  <c r="G105" i="2"/>
  <c r="G106" i="2" s="1"/>
  <c r="M163" i="2"/>
  <c r="J129" i="2"/>
  <c r="J54" i="15"/>
  <c r="J73" i="15" s="1"/>
  <c r="J54" i="9"/>
  <c r="N129" i="2"/>
  <c r="J58" i="15"/>
  <c r="J77" i="15" s="1"/>
  <c r="J58" i="9"/>
  <c r="G129" i="2"/>
  <c r="J51" i="15"/>
  <c r="J70" i="15" s="1"/>
  <c r="J51" i="9"/>
  <c r="D11" i="10"/>
  <c r="T3" i="3" s="1"/>
  <c r="S3" i="3"/>
  <c r="I113" i="15"/>
  <c r="I113" i="9"/>
  <c r="G160" i="2"/>
  <c r="F78" i="2"/>
  <c r="G67" i="2"/>
  <c r="G68" i="2" s="1"/>
  <c r="O160" i="2"/>
  <c r="O67" i="2"/>
  <c r="O68" i="2" s="1"/>
  <c r="H160" i="2"/>
  <c r="H67" i="2"/>
  <c r="H68" i="2" s="1"/>
  <c r="K160" i="2"/>
  <c r="K67" i="2"/>
  <c r="K68" i="2" s="1"/>
  <c r="D22" i="10"/>
  <c r="T6" i="3" s="1"/>
  <c r="S6" i="3"/>
  <c r="U160" i="2"/>
  <c r="U67" i="2"/>
  <c r="U68" i="2" s="1"/>
  <c r="J163" i="2"/>
  <c r="N105" i="2"/>
  <c r="N106" i="2" s="1"/>
  <c r="I163" i="2"/>
  <c r="I105" i="2"/>
  <c r="I106" i="2" s="1"/>
  <c r="H163" i="2"/>
  <c r="H105" i="2"/>
  <c r="H106" i="2" s="1"/>
  <c r="AI129" i="2"/>
  <c r="Z129" i="2"/>
  <c r="S129" i="2"/>
  <c r="J63" i="15"/>
  <c r="J82" i="15" s="1"/>
  <c r="J63" i="9"/>
  <c r="Y129" i="2"/>
  <c r="D13" i="10"/>
  <c r="T5" i="3" s="1"/>
  <c r="S5" i="3"/>
  <c r="J116" i="2"/>
  <c r="J117" i="2" s="1"/>
  <c r="Z116" i="2"/>
  <c r="Z117" i="2" s="1"/>
  <c r="K2" i="2"/>
  <c r="B30" i="13"/>
  <c r="B34" i="13" s="1"/>
  <c r="W160" i="2"/>
  <c r="W67" i="2"/>
  <c r="W68" i="2" s="1"/>
  <c r="AE160" i="2"/>
  <c r="AE67" i="2"/>
  <c r="AE68" i="2" s="1"/>
  <c r="P160" i="2"/>
  <c r="P67" i="2"/>
  <c r="P68" i="2" s="1"/>
  <c r="S160" i="2"/>
  <c r="S67" i="2"/>
  <c r="S68" i="2" s="1"/>
  <c r="I39" i="2"/>
  <c r="I40" i="2" s="1"/>
  <c r="I41" i="2" s="1"/>
  <c r="I16" i="2"/>
  <c r="I17" i="2" s="1"/>
  <c r="I18" i="2" s="1"/>
  <c r="B38" i="13"/>
  <c r="L163" i="2"/>
  <c r="L105" i="2"/>
  <c r="L106" i="2" s="1"/>
  <c r="X129" i="2"/>
  <c r="R11" i="3"/>
  <c r="K17" i="15"/>
  <c r="K17" i="9"/>
  <c r="K21" i="9" s="1"/>
  <c r="K23" i="9" s="1"/>
  <c r="K16" i="9" s="1"/>
  <c r="Q160" i="2"/>
  <c r="Q67" i="2"/>
  <c r="Q68" i="2" s="1"/>
  <c r="F99" i="11"/>
  <c r="J98" i="11"/>
  <c r="G28" i="15"/>
  <c r="G92" i="15" s="1"/>
  <c r="G28" i="9"/>
  <c r="G92" i="9" s="1"/>
  <c r="E59" i="13"/>
  <c r="D59" i="13" s="1"/>
  <c r="F49" i="5"/>
  <c r="F52" i="5" s="1"/>
  <c r="T31" i="7"/>
  <c r="T30" i="7"/>
  <c r="R163" i="2"/>
  <c r="P105" i="2"/>
  <c r="P106" i="2" s="1"/>
  <c r="AE105" i="2"/>
  <c r="AE106" i="2" s="1"/>
  <c r="T163" i="2"/>
  <c r="T105" i="2"/>
  <c r="T106" i="2" s="1"/>
  <c r="E106" i="2"/>
  <c r="D18" i="10"/>
  <c r="T9" i="3" s="1"/>
  <c r="S9" i="3"/>
  <c r="E129" i="2"/>
  <c r="AC129" i="2"/>
  <c r="AG129" i="2"/>
  <c r="G113" i="15"/>
  <c r="G113" i="9"/>
  <c r="J160" i="2"/>
  <c r="J67" i="2"/>
  <c r="J68" i="2" s="1"/>
  <c r="R160" i="2"/>
  <c r="R67" i="2"/>
  <c r="R68" i="2" s="1"/>
  <c r="X160" i="2"/>
  <c r="X67" i="2"/>
  <c r="X68" i="2" s="1"/>
  <c r="AA160" i="2"/>
  <c r="AA67" i="2"/>
  <c r="AA68" i="2" s="1"/>
  <c r="B73" i="13"/>
  <c r="B90" i="13"/>
  <c r="Y10" i="3"/>
  <c r="J28" i="15"/>
  <c r="J28" i="9"/>
  <c r="AE58" i="6"/>
  <c r="AM4" i="6"/>
  <c r="AF44" i="6" s="1"/>
  <c r="AG44" i="6" s="1"/>
  <c r="AG39" i="6"/>
  <c r="AF39" i="6"/>
  <c r="K163" i="2"/>
  <c r="O129" i="2"/>
  <c r="J59" i="15"/>
  <c r="J78" i="15" s="1"/>
  <c r="J59" i="9"/>
  <c r="H129" i="2"/>
  <c r="J52" i="15"/>
  <c r="J71" i="15" s="1"/>
  <c r="J52" i="9"/>
  <c r="Z160" i="2"/>
  <c r="Z67" i="2"/>
  <c r="Z68" i="2" s="1"/>
  <c r="AH160" i="2"/>
  <c r="AH67" i="2"/>
  <c r="AH68" i="2" s="1"/>
  <c r="AF160" i="2"/>
  <c r="AF67" i="2"/>
  <c r="AF68" i="2" s="1"/>
  <c r="AI160" i="2"/>
  <c r="AI67" i="2"/>
  <c r="AI68" i="2" s="1"/>
  <c r="C16" i="15" l="1"/>
  <c r="D53" i="13"/>
  <c r="I48" i="13" s="1"/>
  <c r="C75" i="13" s="1"/>
  <c r="C22" i="15"/>
  <c r="C23" i="15" s="1"/>
  <c r="G22" i="15"/>
  <c r="N5" i="9"/>
  <c r="N7" i="9" s="1"/>
  <c r="N8" i="9" s="1"/>
  <c r="B17" i="15"/>
  <c r="I17" i="15"/>
  <c r="AH163" i="2"/>
  <c r="R105" i="2"/>
  <c r="R106" i="2" s="1"/>
  <c r="M69" i="2"/>
  <c r="M72" i="2" s="1"/>
  <c r="W163" i="2"/>
  <c r="X163" i="2"/>
  <c r="V163" i="2"/>
  <c r="F17" i="15"/>
  <c r="E17" i="15"/>
  <c r="E17" i="9"/>
  <c r="E21" i="9" s="1"/>
  <c r="E23" i="9" s="1"/>
  <c r="E16" i="9" s="1"/>
  <c r="J17" i="9"/>
  <c r="AD105" i="2"/>
  <c r="AD106" i="2" s="1"/>
  <c r="AD163" i="2"/>
  <c r="Z163" i="2"/>
  <c r="M105" i="2"/>
  <c r="M106" i="2" s="1"/>
  <c r="AF43" i="6"/>
  <c r="AG43" i="6" s="1"/>
  <c r="AJ43" i="6" s="1"/>
  <c r="AK43" i="6" s="1"/>
  <c r="AT43" i="6" s="1"/>
  <c r="F134" i="11"/>
  <c r="J133" i="11"/>
  <c r="I40" i="13"/>
  <c r="B75" i="13"/>
  <c r="Z105" i="2"/>
  <c r="Z106" i="2" s="1"/>
  <c r="AC105" i="2"/>
  <c r="AC106" i="2" s="1"/>
  <c r="U105" i="2"/>
  <c r="U106" i="2" s="1"/>
  <c r="AC163" i="2"/>
  <c r="U163" i="2"/>
  <c r="Y105" i="2"/>
  <c r="Y106" i="2" s="1"/>
  <c r="I26" i="2"/>
  <c r="I27" i="2" s="1"/>
  <c r="I28" i="2" s="1"/>
  <c r="C53" i="9" s="1"/>
  <c r="J115" i="15"/>
  <c r="J50" i="9"/>
  <c r="J65" i="9" s="1"/>
  <c r="K16" i="15"/>
  <c r="AA163" i="2"/>
  <c r="AF12" i="6"/>
  <c r="AG12" i="6" s="1"/>
  <c r="AJ12" i="6" s="1"/>
  <c r="AK12" i="6" s="1"/>
  <c r="AT12" i="6" s="1"/>
  <c r="D27" i="15"/>
  <c r="D91" i="15" s="1"/>
  <c r="D27" i="9"/>
  <c r="D91" i="9" s="1"/>
  <c r="AF29" i="6"/>
  <c r="AG29" i="6" s="1"/>
  <c r="H28" i="9"/>
  <c r="H92" i="9" s="1"/>
  <c r="H28" i="15"/>
  <c r="H92" i="15" s="1"/>
  <c r="AB163" i="2"/>
  <c r="Z8" i="3"/>
  <c r="AA8" i="3" s="1"/>
  <c r="F42" i="11"/>
  <c r="J42" i="11" s="1"/>
  <c r="J41" i="11"/>
  <c r="I28" i="15"/>
  <c r="I92" i="15" s="1"/>
  <c r="I28" i="9"/>
  <c r="I92" i="9" s="1"/>
  <c r="F105" i="2"/>
  <c r="F164" i="2"/>
  <c r="G164" i="2" s="1"/>
  <c r="H164" i="2" s="1"/>
  <c r="I164" i="2" s="1"/>
  <c r="J164" i="2" s="1"/>
  <c r="K164" i="2" s="1"/>
  <c r="L164" i="2" s="1"/>
  <c r="M164" i="2" s="1"/>
  <c r="N164" i="2" s="1"/>
  <c r="O164" i="2" s="1"/>
  <c r="P164" i="2" s="1"/>
  <c r="Q164" i="2" s="1"/>
  <c r="R164" i="2" s="1"/>
  <c r="S164" i="2" s="1"/>
  <c r="T164" i="2" s="1"/>
  <c r="G8" i="3"/>
  <c r="P163" i="2"/>
  <c r="AF35" i="6"/>
  <c r="AG35" i="6" s="1"/>
  <c r="AJ35" i="6" s="1"/>
  <c r="AK35" i="6" s="1"/>
  <c r="AT35" i="6" s="1"/>
  <c r="AF49" i="6"/>
  <c r="AG49" i="6" s="1"/>
  <c r="AJ49" i="6" s="1"/>
  <c r="AK49" i="6" s="1"/>
  <c r="AT49" i="6" s="1"/>
  <c r="I27" i="15"/>
  <c r="I91" i="15" s="1"/>
  <c r="H27" i="15"/>
  <c r="I27" i="9"/>
  <c r="I91" i="9" s="1"/>
  <c r="H27" i="9"/>
  <c r="AF19" i="6"/>
  <c r="AG19" i="6" s="1"/>
  <c r="C27" i="15"/>
  <c r="C91" i="15" s="1"/>
  <c r="C27" i="9"/>
  <c r="C91" i="9" s="1"/>
  <c r="E27" i="9"/>
  <c r="E91" i="9" s="1"/>
  <c r="E27" i="15"/>
  <c r="E91" i="15" s="1"/>
  <c r="Y8" i="3"/>
  <c r="B27" i="15"/>
  <c r="B91" i="15" s="1"/>
  <c r="B27" i="9"/>
  <c r="B91" i="9" s="1"/>
  <c r="C58" i="13"/>
  <c r="B58" i="13" s="1"/>
  <c r="G2" i="3"/>
  <c r="C32" i="1" s="1"/>
  <c r="B32" i="1" s="1"/>
  <c r="B31" i="13" s="1"/>
  <c r="B32" i="13" s="1"/>
  <c r="F17" i="2"/>
  <c r="K2" i="3" s="1"/>
  <c r="F27" i="2"/>
  <c r="C5" i="9" s="1"/>
  <c r="C6" i="9" s="1"/>
  <c r="E26" i="2"/>
  <c r="E27" i="2" s="1"/>
  <c r="E28" i="2" s="1"/>
  <c r="E34" i="2" s="1"/>
  <c r="G26" i="2"/>
  <c r="G27" i="2" s="1"/>
  <c r="G28" i="2" s="1"/>
  <c r="G34" i="2" s="1"/>
  <c r="H26" i="2"/>
  <c r="H27" i="2" s="1"/>
  <c r="H28" i="2" s="1"/>
  <c r="C52" i="9" s="1"/>
  <c r="E52" i="2"/>
  <c r="E53" i="2" s="1"/>
  <c r="E54" i="2" s="1"/>
  <c r="H52" i="2"/>
  <c r="H53" i="2" s="1"/>
  <c r="H54" i="2" s="1"/>
  <c r="E52" i="9" s="1"/>
  <c r="G52" i="2"/>
  <c r="G53" i="2" s="1"/>
  <c r="G54" i="2" s="1"/>
  <c r="E51" i="15" s="1"/>
  <c r="F52" i="2"/>
  <c r="G16" i="2"/>
  <c r="G17" i="2" s="1"/>
  <c r="G18" i="2" s="1"/>
  <c r="E16" i="2"/>
  <c r="E18" i="2" s="1"/>
  <c r="H16" i="2"/>
  <c r="H17" i="2" s="1"/>
  <c r="H18" i="2" s="1"/>
  <c r="F39" i="2"/>
  <c r="G39" i="2"/>
  <c r="G40" i="2" s="1"/>
  <c r="G41" i="2" s="1"/>
  <c r="D51" i="15" s="1"/>
  <c r="H39" i="2"/>
  <c r="H40" i="2" s="1"/>
  <c r="H41" i="2" s="1"/>
  <c r="I158" i="2" s="1"/>
  <c r="J50" i="15"/>
  <c r="J65" i="15" s="1"/>
  <c r="F129" i="2"/>
  <c r="J5" i="9" s="1"/>
  <c r="J6" i="9" s="1"/>
  <c r="I69" i="2"/>
  <c r="I72" i="2" s="1"/>
  <c r="B48" i="13"/>
  <c r="B49" i="13" s="1"/>
  <c r="N8" i="15"/>
  <c r="I18" i="15" s="1"/>
  <c r="I20" i="15" s="1"/>
  <c r="L69" i="2"/>
  <c r="F56" i="9" s="1"/>
  <c r="P69" i="2"/>
  <c r="P72" i="2" s="1"/>
  <c r="AH69" i="2"/>
  <c r="AH72" i="2" s="1"/>
  <c r="V69" i="2"/>
  <c r="V72" i="2" s="1"/>
  <c r="I5" i="9"/>
  <c r="I6" i="9" s="1"/>
  <c r="I5" i="15"/>
  <c r="I6" i="15" s="1"/>
  <c r="K9" i="3"/>
  <c r="H48" i="13"/>
  <c r="C74" i="13" s="1"/>
  <c r="E13" i="1"/>
  <c r="I63" i="9"/>
  <c r="G165" i="2"/>
  <c r="H165" i="2" s="1"/>
  <c r="I165" i="2" s="1"/>
  <c r="J165" i="2" s="1"/>
  <c r="K165" i="2" s="1"/>
  <c r="L165" i="2" s="1"/>
  <c r="M165" i="2" s="1"/>
  <c r="N165" i="2" s="1"/>
  <c r="O165" i="2" s="1"/>
  <c r="AJ44" i="6"/>
  <c r="AK44" i="6" s="1"/>
  <c r="AT44" i="6" s="1"/>
  <c r="AH44" i="6"/>
  <c r="AH29" i="6"/>
  <c r="AJ29" i="6"/>
  <c r="AK29" i="6" s="1"/>
  <c r="AT29" i="6" s="1"/>
  <c r="H55" i="9"/>
  <c r="H74" i="9" s="1"/>
  <c r="AJ39" i="6"/>
  <c r="AK39" i="6" s="1"/>
  <c r="AT39" i="6" s="1"/>
  <c r="AH39" i="6"/>
  <c r="B53" i="15"/>
  <c r="B53" i="9"/>
  <c r="H52" i="9"/>
  <c r="H71" i="9" s="1"/>
  <c r="I56" i="15"/>
  <c r="I56" i="9"/>
  <c r="N49" i="2"/>
  <c r="N86" i="2" s="1"/>
  <c r="N43" i="2"/>
  <c r="J36" i="2"/>
  <c r="J30" i="2"/>
  <c r="W36" i="2"/>
  <c r="W30" i="2"/>
  <c r="J49" i="2"/>
  <c r="J86" i="2" s="1"/>
  <c r="J43" i="2"/>
  <c r="M36" i="2"/>
  <c r="M30" i="2"/>
  <c r="T20" i="2"/>
  <c r="T25" i="2"/>
  <c r="P4" i="3"/>
  <c r="D8" i="9" s="1"/>
  <c r="F43" i="2"/>
  <c r="F49" i="2"/>
  <c r="D10" i="15"/>
  <c r="D10" i="9"/>
  <c r="G43" i="2"/>
  <c r="G49" i="2"/>
  <c r="G86" i="2" s="1"/>
  <c r="G36" i="2"/>
  <c r="G30" i="2"/>
  <c r="N36" i="2"/>
  <c r="N30" i="2"/>
  <c r="F62" i="2"/>
  <c r="F56" i="2"/>
  <c r="P5" i="3"/>
  <c r="E8" i="9" s="1"/>
  <c r="E10" i="15"/>
  <c r="E10" i="9"/>
  <c r="Q36" i="2"/>
  <c r="Q30" i="2"/>
  <c r="R62" i="2"/>
  <c r="R56" i="2"/>
  <c r="K49" i="2"/>
  <c r="K86" i="2" s="1"/>
  <c r="K43" i="2"/>
  <c r="AB69" i="2"/>
  <c r="AB72" i="2" s="1"/>
  <c r="H69" i="2"/>
  <c r="Z69" i="2"/>
  <c r="Z72" i="2" s="1"/>
  <c r="AI69" i="2"/>
  <c r="AI72" i="2" s="1"/>
  <c r="I61" i="15"/>
  <c r="I61" i="9"/>
  <c r="E135" i="2"/>
  <c r="I10" i="3"/>
  <c r="J10" i="3" s="1"/>
  <c r="H59" i="9"/>
  <c r="H78" i="9" s="1"/>
  <c r="AO4" i="6"/>
  <c r="AF50" i="6"/>
  <c r="AG50" i="6" s="1"/>
  <c r="AF51" i="6"/>
  <c r="AG51" i="6" s="1"/>
  <c r="AF31" i="6"/>
  <c r="AG31" i="6" s="1"/>
  <c r="AF38" i="6"/>
  <c r="AG38" i="6" s="1"/>
  <c r="AF47" i="6"/>
  <c r="AG47" i="6" s="1"/>
  <c r="AF36" i="6"/>
  <c r="AG36" i="6" s="1"/>
  <c r="AF16" i="6"/>
  <c r="AG16" i="6" s="1"/>
  <c r="AF48" i="6"/>
  <c r="AG48" i="6" s="1"/>
  <c r="AF26" i="6"/>
  <c r="AG26" i="6" s="1"/>
  <c r="AF17" i="6"/>
  <c r="AG17" i="6" s="1"/>
  <c r="AF53" i="6"/>
  <c r="AG53" i="6" s="1"/>
  <c r="AF30" i="6"/>
  <c r="AG30" i="6" s="1"/>
  <c r="AF20" i="6"/>
  <c r="AG20" i="6" s="1"/>
  <c r="AF23" i="6"/>
  <c r="AG23" i="6" s="1"/>
  <c r="AF34" i="6"/>
  <c r="AG34" i="6" s="1"/>
  <c r="AF46" i="6"/>
  <c r="AG46" i="6" s="1"/>
  <c r="AF22" i="6"/>
  <c r="AG22" i="6" s="1"/>
  <c r="AF40" i="6"/>
  <c r="AG40" i="6" s="1"/>
  <c r="AF27" i="6"/>
  <c r="AG27" i="6" s="1"/>
  <c r="AF15" i="6"/>
  <c r="AG15" i="6" s="1"/>
  <c r="E53" i="15"/>
  <c r="E53" i="9"/>
  <c r="H53" i="9"/>
  <c r="H72" i="9" s="1"/>
  <c r="AF13" i="6"/>
  <c r="AG13" i="6" s="1"/>
  <c r="H61" i="9"/>
  <c r="H80" i="9" s="1"/>
  <c r="AF33" i="6"/>
  <c r="AG33" i="6" s="1"/>
  <c r="AI36" i="2"/>
  <c r="AI30" i="2"/>
  <c r="Z25" i="2"/>
  <c r="Z20" i="2"/>
  <c r="J25" i="2"/>
  <c r="J20" i="2"/>
  <c r="P25" i="2"/>
  <c r="P20" i="2"/>
  <c r="O62" i="2"/>
  <c r="O56" i="2"/>
  <c r="O49" i="2"/>
  <c r="O86" i="2" s="1"/>
  <c r="O43" i="2"/>
  <c r="M25" i="2"/>
  <c r="M20" i="2"/>
  <c r="AE49" i="2"/>
  <c r="AE86" i="2" s="1"/>
  <c r="AE43" i="2"/>
  <c r="AG43" i="2"/>
  <c r="AG49" i="2"/>
  <c r="AG86" i="2" s="1"/>
  <c r="AF36" i="2"/>
  <c r="AF30" i="2"/>
  <c r="AD36" i="2"/>
  <c r="AD30" i="2"/>
  <c r="Y62" i="2"/>
  <c r="Y56" i="2"/>
  <c r="AB62" i="2"/>
  <c r="AB56" i="2"/>
  <c r="AG36" i="2"/>
  <c r="AG30" i="2"/>
  <c r="T69" i="2"/>
  <c r="AA49" i="2"/>
  <c r="AA86" i="2" s="1"/>
  <c r="AA43" i="2"/>
  <c r="F72" i="2"/>
  <c r="F50" i="9"/>
  <c r="X69" i="2"/>
  <c r="X72" i="2" s="1"/>
  <c r="S62" i="2"/>
  <c r="S56" i="2"/>
  <c r="F33" i="15"/>
  <c r="Z5" i="3"/>
  <c r="AA5" i="3" s="1"/>
  <c r="Y5" i="3"/>
  <c r="E26" i="15"/>
  <c r="E26" i="9"/>
  <c r="J166" i="11"/>
  <c r="F167" i="11"/>
  <c r="T62" i="2"/>
  <c r="T56" i="2"/>
  <c r="AB20" i="2"/>
  <c r="AB25" i="2"/>
  <c r="S36" i="2"/>
  <c r="S30" i="2"/>
  <c r="Y36" i="2"/>
  <c r="Y30" i="2"/>
  <c r="S49" i="2"/>
  <c r="S86" i="2" s="1"/>
  <c r="S43" i="2"/>
  <c r="K62" i="2"/>
  <c r="K56" i="2"/>
  <c r="E112" i="2"/>
  <c r="I8" i="3"/>
  <c r="J8" i="3" s="1"/>
  <c r="AF10" i="6"/>
  <c r="AG10" i="6" s="1"/>
  <c r="AF32" i="6"/>
  <c r="AG32" i="6" s="1"/>
  <c r="AF28" i="6"/>
  <c r="AG28" i="6" s="1"/>
  <c r="I59" i="15"/>
  <c r="I59" i="9"/>
  <c r="AF21" i="6"/>
  <c r="AG21" i="6" s="1"/>
  <c r="L49" i="2"/>
  <c r="L86" i="2" s="1"/>
  <c r="L43" i="2"/>
  <c r="AG25" i="2"/>
  <c r="AG20" i="2"/>
  <c r="Q25" i="2"/>
  <c r="Q20" i="2"/>
  <c r="X25" i="2"/>
  <c r="X20" i="2"/>
  <c r="AB49" i="2"/>
  <c r="AB86" i="2" s="1"/>
  <c r="AB43" i="2"/>
  <c r="O36" i="2"/>
  <c r="O30" i="2"/>
  <c r="U20" i="2"/>
  <c r="U25" i="2"/>
  <c r="E62" i="2"/>
  <c r="E56" i="2"/>
  <c r="E57" i="2" s="1"/>
  <c r="F57" i="2" s="1"/>
  <c r="I5" i="3"/>
  <c r="J5" i="3" s="1"/>
  <c r="I49" i="2"/>
  <c r="I86" i="2" s="1"/>
  <c r="I43" i="2"/>
  <c r="E49" i="2"/>
  <c r="E43" i="2"/>
  <c r="E44" i="2" s="1"/>
  <c r="I4" i="3"/>
  <c r="J4" i="3" s="1"/>
  <c r="O69" i="2"/>
  <c r="H49" i="2"/>
  <c r="H86" i="2" s="1"/>
  <c r="H43" i="2"/>
  <c r="J62" i="2"/>
  <c r="J56" i="2"/>
  <c r="AI49" i="2"/>
  <c r="AI86" i="2" s="1"/>
  <c r="AI43" i="2"/>
  <c r="M62" i="2"/>
  <c r="M56" i="2"/>
  <c r="N69" i="2"/>
  <c r="AF69" i="2"/>
  <c r="AF72" i="2" s="1"/>
  <c r="Q69" i="2"/>
  <c r="F108" i="2"/>
  <c r="AA62" i="2"/>
  <c r="AA56" i="2"/>
  <c r="I60" i="15"/>
  <c r="I60" i="9"/>
  <c r="AF25" i="6"/>
  <c r="AG25" i="6" s="1"/>
  <c r="AJ19" i="6"/>
  <c r="AK19" i="6" s="1"/>
  <c r="AT19" i="6" s="1"/>
  <c r="AH19" i="6"/>
  <c r="Y25" i="2"/>
  <c r="Y20" i="2"/>
  <c r="Z36" i="2"/>
  <c r="Z30" i="2"/>
  <c r="T49" i="2"/>
  <c r="T86" i="2" s="1"/>
  <c r="T43" i="2"/>
  <c r="N62" i="2"/>
  <c r="N56" i="2"/>
  <c r="AC62" i="2"/>
  <c r="AC56" i="2"/>
  <c r="F85" i="2"/>
  <c r="I11" i="3"/>
  <c r="J11" i="3" s="1"/>
  <c r="K10" i="15"/>
  <c r="AF42" i="6"/>
  <c r="AG42" i="6" s="1"/>
  <c r="D53" i="15"/>
  <c r="D53" i="9"/>
  <c r="H58" i="9"/>
  <c r="H77" i="9" s="1"/>
  <c r="AF45" i="6"/>
  <c r="AG45" i="6" s="1"/>
  <c r="H57" i="9"/>
  <c r="H76" i="9" s="1"/>
  <c r="AF18" i="6"/>
  <c r="AG18" i="6" s="1"/>
  <c r="C17" i="9"/>
  <c r="C21" i="9" s="1"/>
  <c r="C23" i="9" s="1"/>
  <c r="C16" i="9" s="1"/>
  <c r="I52" i="15"/>
  <c r="I52" i="9"/>
  <c r="N36" i="7"/>
  <c r="N37" i="7"/>
  <c r="N33" i="7"/>
  <c r="V25" i="2"/>
  <c r="V20" i="2"/>
  <c r="Y49" i="2"/>
  <c r="Y86" i="2" s="1"/>
  <c r="Y43" i="2"/>
  <c r="K36" i="2"/>
  <c r="K30" i="2"/>
  <c r="AF25" i="2"/>
  <c r="AF20" i="2"/>
  <c r="K25" i="2"/>
  <c r="K20" i="2"/>
  <c r="AD62" i="2"/>
  <c r="AD56" i="2"/>
  <c r="AA36" i="2"/>
  <c r="AA30" i="2"/>
  <c r="AC20" i="2"/>
  <c r="AC25" i="2"/>
  <c r="I3" i="3"/>
  <c r="J3" i="3" s="1"/>
  <c r="E36" i="2"/>
  <c r="E30" i="2"/>
  <c r="E31" i="2" s="1"/>
  <c r="F31" i="2" s="1"/>
  <c r="G25" i="2"/>
  <c r="G20" i="2"/>
  <c r="V49" i="2"/>
  <c r="V86" i="2" s="1"/>
  <c r="V43" i="2"/>
  <c r="M49" i="2"/>
  <c r="M86" i="2" s="1"/>
  <c r="M43" i="2"/>
  <c r="E74" i="2"/>
  <c r="I6" i="3"/>
  <c r="J6" i="3" s="1"/>
  <c r="P49" i="2"/>
  <c r="P86" i="2" s="1"/>
  <c r="P43" i="2"/>
  <c r="U56" i="2"/>
  <c r="U62" i="2"/>
  <c r="L36" i="2"/>
  <c r="L30" i="2"/>
  <c r="L62" i="2"/>
  <c r="L56" i="2"/>
  <c r="W62" i="2"/>
  <c r="W56" i="2"/>
  <c r="H62" i="2"/>
  <c r="H56" i="2"/>
  <c r="Y69" i="2"/>
  <c r="Y72" i="2" s="1"/>
  <c r="AI62" i="2"/>
  <c r="AI56" i="2"/>
  <c r="F135" i="2"/>
  <c r="P10" i="3"/>
  <c r="J10" i="15"/>
  <c r="J10" i="9"/>
  <c r="J120" i="11"/>
  <c r="F121" i="11"/>
  <c r="AF9" i="6"/>
  <c r="AG9" i="6" s="1"/>
  <c r="Z49" i="2"/>
  <c r="Z86" i="2" s="1"/>
  <c r="Z43" i="2"/>
  <c r="E33" i="11"/>
  <c r="E25" i="11"/>
  <c r="E22" i="11"/>
  <c r="J22" i="11" s="1"/>
  <c r="E30" i="11"/>
  <c r="E19" i="11"/>
  <c r="J19" i="11" s="1"/>
  <c r="E31" i="11"/>
  <c r="E23" i="11"/>
  <c r="E20" i="11"/>
  <c r="J20" i="11" s="1"/>
  <c r="E36" i="11"/>
  <c r="E28" i="11"/>
  <c r="E26" i="11"/>
  <c r="E35" i="11"/>
  <c r="E24" i="11"/>
  <c r="E29" i="11"/>
  <c r="E18" i="11"/>
  <c r="J18" i="11" s="1"/>
  <c r="E34" i="11"/>
  <c r="E27" i="11"/>
  <c r="E21" i="11"/>
  <c r="J21" i="11" s="1"/>
  <c r="E37" i="11"/>
  <c r="E32" i="11"/>
  <c r="T11" i="2"/>
  <c r="W10" i="2" s="1"/>
  <c r="B26" i="10" s="1"/>
  <c r="C26" i="10" s="1"/>
  <c r="AF14" i="6"/>
  <c r="AG14" i="6" s="1"/>
  <c r="AF11" i="6"/>
  <c r="AG11" i="6" s="1"/>
  <c r="H64" i="9"/>
  <c r="H83" i="9" s="1"/>
  <c r="H56" i="9"/>
  <c r="H75" i="9" s="1"/>
  <c r="Z4" i="3"/>
  <c r="AA4" i="3" s="1"/>
  <c r="Y4" i="3"/>
  <c r="D26" i="15"/>
  <c r="D26" i="9"/>
  <c r="K33" i="9"/>
  <c r="K34" i="9" s="1"/>
  <c r="K35" i="9" s="1"/>
  <c r="K36" i="9" s="1"/>
  <c r="K37" i="9" s="1"/>
  <c r="K38" i="9" s="1"/>
  <c r="K39" i="9" s="1"/>
  <c r="K40" i="9" s="1"/>
  <c r="K41" i="9" s="1"/>
  <c r="K42" i="9" s="1"/>
  <c r="K43" i="9" s="1"/>
  <c r="K44" i="9" s="1"/>
  <c r="K45" i="9" s="1"/>
  <c r="K46" i="9" s="1"/>
  <c r="G17" i="15"/>
  <c r="X36" i="2"/>
  <c r="X30" i="2"/>
  <c r="Z62" i="2"/>
  <c r="Z56" i="2"/>
  <c r="H36" i="2"/>
  <c r="H30" i="2"/>
  <c r="S20" i="2"/>
  <c r="S25" i="2"/>
  <c r="D86" i="2"/>
  <c r="R30" i="2"/>
  <c r="R36" i="2"/>
  <c r="O25" i="2"/>
  <c r="O20" i="2"/>
  <c r="AH49" i="2"/>
  <c r="AH86" i="2" s="1"/>
  <c r="AH43" i="2"/>
  <c r="U49" i="2"/>
  <c r="U86" i="2" s="1"/>
  <c r="U43" i="2"/>
  <c r="AE69" i="2"/>
  <c r="AE72" i="2" s="1"/>
  <c r="X49" i="2"/>
  <c r="X86" i="2" s="1"/>
  <c r="X43" i="2"/>
  <c r="AE62" i="2"/>
  <c r="AE56" i="2"/>
  <c r="T36" i="2"/>
  <c r="T30" i="2"/>
  <c r="V62" i="2"/>
  <c r="V56" i="2"/>
  <c r="AH62" i="2"/>
  <c r="AH56" i="2"/>
  <c r="AD69" i="2"/>
  <c r="AD72" i="2" s="1"/>
  <c r="P62" i="2"/>
  <c r="P56" i="2"/>
  <c r="AG69" i="2"/>
  <c r="AG72" i="2" s="1"/>
  <c r="K69" i="2"/>
  <c r="D123" i="2"/>
  <c r="D119" i="2"/>
  <c r="E119" i="2" s="1"/>
  <c r="F119" i="2" s="1"/>
  <c r="F120" i="2" s="1"/>
  <c r="F207" i="11"/>
  <c r="F123" i="2"/>
  <c r="P9" i="3"/>
  <c r="G49" i="5"/>
  <c r="G52" i="5" s="1"/>
  <c r="W49" i="2"/>
  <c r="W86" i="2" s="1"/>
  <c r="W43" i="2"/>
  <c r="R49" i="2"/>
  <c r="R86" i="2" s="1"/>
  <c r="R43" i="2"/>
  <c r="Q62" i="2"/>
  <c r="Q56" i="2"/>
  <c r="I62" i="15"/>
  <c r="I62" i="9"/>
  <c r="Z9" i="3"/>
  <c r="AA9" i="3" s="1"/>
  <c r="Y9" i="3"/>
  <c r="I26" i="15"/>
  <c r="I26" i="9"/>
  <c r="I54" i="15"/>
  <c r="I54" i="9"/>
  <c r="J92" i="9"/>
  <c r="J94" i="9" s="1"/>
  <c r="J29" i="9"/>
  <c r="H60" i="9"/>
  <c r="H79" i="9" s="1"/>
  <c r="F100" i="11"/>
  <c r="J99" i="11"/>
  <c r="I115" i="15"/>
  <c r="I115" i="9"/>
  <c r="J92" i="15"/>
  <c r="J94" i="15" s="1"/>
  <c r="J29" i="15"/>
  <c r="H62" i="9"/>
  <c r="H81" i="9" s="1"/>
  <c r="T32" i="7"/>
  <c r="AF41" i="6"/>
  <c r="AG41" i="6" s="1"/>
  <c r="I57" i="15"/>
  <c r="I57" i="9"/>
  <c r="I58" i="15"/>
  <c r="I58" i="9"/>
  <c r="Y6" i="3"/>
  <c r="Z6" i="3"/>
  <c r="AA6" i="3" s="1"/>
  <c r="F26" i="9"/>
  <c r="F26" i="15"/>
  <c r="Y3" i="3"/>
  <c r="Z3" i="3"/>
  <c r="AA3" i="3" s="1"/>
  <c r="C26" i="15"/>
  <c r="C26" i="9"/>
  <c r="C57" i="13"/>
  <c r="B57" i="13" s="1"/>
  <c r="H51" i="9"/>
  <c r="H70" i="9" s="1"/>
  <c r="AF7" i="6"/>
  <c r="AG7" i="6" s="1"/>
  <c r="F33" i="9"/>
  <c r="K33" i="15"/>
  <c r="K34" i="15" s="1"/>
  <c r="K35" i="15" s="1"/>
  <c r="K36" i="15" s="1"/>
  <c r="K37" i="15" s="1"/>
  <c r="K38" i="15" s="1"/>
  <c r="K39" i="15" s="1"/>
  <c r="K40" i="15" s="1"/>
  <c r="K41" i="15" s="1"/>
  <c r="K42" i="15" s="1"/>
  <c r="K43" i="15" s="1"/>
  <c r="K44" i="15" s="1"/>
  <c r="K45" i="15" s="1"/>
  <c r="K46" i="15" s="1"/>
  <c r="I20" i="2"/>
  <c r="I25" i="2"/>
  <c r="N25" i="2"/>
  <c r="N20" i="2"/>
  <c r="B11" i="2"/>
  <c r="C91" i="2"/>
  <c r="E91" i="2" s="1"/>
  <c r="U36" i="2"/>
  <c r="U30" i="2"/>
  <c r="AA20" i="2"/>
  <c r="AA25" i="2"/>
  <c r="Q49" i="2"/>
  <c r="Q86" i="2" s="1"/>
  <c r="Q43" i="2"/>
  <c r="P30" i="2"/>
  <c r="P36" i="2"/>
  <c r="AE30" i="2"/>
  <c r="AE36" i="2"/>
  <c r="W25" i="2"/>
  <c r="W20" i="2"/>
  <c r="I62" i="2"/>
  <c r="I56" i="2"/>
  <c r="AC49" i="2"/>
  <c r="AC86" i="2" s="1"/>
  <c r="AC43" i="2"/>
  <c r="AF49" i="2"/>
  <c r="AF86" i="2" s="1"/>
  <c r="AF43" i="2"/>
  <c r="U69" i="2"/>
  <c r="U72" i="2" s="1"/>
  <c r="AB36" i="2"/>
  <c r="AB30" i="2"/>
  <c r="AG62" i="2"/>
  <c r="AG56" i="2"/>
  <c r="G69" i="2"/>
  <c r="F65" i="11"/>
  <c r="F74" i="2"/>
  <c r="F10" i="15"/>
  <c r="F10" i="9"/>
  <c r="K10" i="9"/>
  <c r="X62" i="2"/>
  <c r="X56" i="2"/>
  <c r="J69" i="2"/>
  <c r="F187" i="11"/>
  <c r="F112" i="2"/>
  <c r="I10" i="15"/>
  <c r="H10" i="15"/>
  <c r="H10" i="9"/>
  <c r="I10" i="9"/>
  <c r="P8" i="3"/>
  <c r="S69" i="2"/>
  <c r="E123" i="2"/>
  <c r="I9" i="3"/>
  <c r="J9" i="3" s="1"/>
  <c r="Z2" i="3"/>
  <c r="AA2" i="3" s="1"/>
  <c r="B26" i="15"/>
  <c r="Y2" i="3"/>
  <c r="B26" i="9"/>
  <c r="I55" i="15"/>
  <c r="I55" i="9"/>
  <c r="J149" i="11"/>
  <c r="F150" i="11"/>
  <c r="K6" i="3"/>
  <c r="N6" i="3" s="1"/>
  <c r="F5" i="15"/>
  <c r="F6" i="15" s="1"/>
  <c r="F5" i="9"/>
  <c r="F6" i="9" s="1"/>
  <c r="AF52" i="6"/>
  <c r="AG52" i="6" s="1"/>
  <c r="H25" i="2"/>
  <c r="H20" i="2"/>
  <c r="I2" i="3"/>
  <c r="J2" i="3" s="1"/>
  <c r="E25" i="2"/>
  <c r="E20" i="2"/>
  <c r="E21" i="2" s="1"/>
  <c r="F21" i="2" s="1"/>
  <c r="V36" i="2"/>
  <c r="V30" i="2"/>
  <c r="J52" i="2"/>
  <c r="J53" i="2" s="1"/>
  <c r="J54" i="2" s="1"/>
  <c r="J26" i="2"/>
  <c r="J27" i="2" s="1"/>
  <c r="J28" i="2" s="1"/>
  <c r="J16" i="2"/>
  <c r="J17" i="2" s="1"/>
  <c r="J18" i="2" s="1"/>
  <c r="J39" i="2"/>
  <c r="J40" i="2" s="1"/>
  <c r="J41" i="2" s="1"/>
  <c r="I51" i="15"/>
  <c r="I51" i="9"/>
  <c r="H54" i="9"/>
  <c r="H73" i="9" s="1"/>
  <c r="H63" i="9"/>
  <c r="H82" i="9" s="1"/>
  <c r="I53" i="15"/>
  <c r="I53" i="9"/>
  <c r="AF8" i="6"/>
  <c r="AG8" i="6" s="1"/>
  <c r="F25" i="2"/>
  <c r="F20" i="2"/>
  <c r="B10" i="15"/>
  <c r="B10" i="9"/>
  <c r="P2" i="3"/>
  <c r="B8" i="15" s="1"/>
  <c r="AD25" i="2"/>
  <c r="AD20" i="2"/>
  <c r="AH25" i="2"/>
  <c r="AH20" i="2"/>
  <c r="R25" i="2"/>
  <c r="R20" i="2"/>
  <c r="AH36" i="2"/>
  <c r="AH30" i="2"/>
  <c r="AI25" i="2"/>
  <c r="AI20" i="2"/>
  <c r="L25" i="2"/>
  <c r="L20" i="2"/>
  <c r="AD49" i="2"/>
  <c r="AD86" i="2" s="1"/>
  <c r="AD43" i="2"/>
  <c r="AC30" i="2"/>
  <c r="AC36" i="2"/>
  <c r="AE25" i="2"/>
  <c r="AE20" i="2"/>
  <c r="F36" i="2"/>
  <c r="F30" i="2"/>
  <c r="C10" i="15"/>
  <c r="P3" i="3"/>
  <c r="C8" i="9" s="1"/>
  <c r="I36" i="2"/>
  <c r="I30" i="2"/>
  <c r="G62" i="2"/>
  <c r="G56" i="2"/>
  <c r="W69" i="2"/>
  <c r="W72" i="2" s="1"/>
  <c r="E72" i="2"/>
  <c r="AC69" i="2"/>
  <c r="AC72" i="2" s="1"/>
  <c r="AF62" i="2"/>
  <c r="AF56" i="2"/>
  <c r="R69" i="2"/>
  <c r="AA69" i="2"/>
  <c r="AA72" i="2" s="1"/>
  <c r="F132" i="2"/>
  <c r="I64" i="15"/>
  <c r="I64" i="9"/>
  <c r="AF24" i="6"/>
  <c r="AG24" i="6" s="1"/>
  <c r="G161" i="2"/>
  <c r="H161" i="2" s="1"/>
  <c r="I161" i="2" s="1"/>
  <c r="J161" i="2" s="1"/>
  <c r="K161" i="2" s="1"/>
  <c r="L161" i="2" s="1"/>
  <c r="M161" i="2" s="1"/>
  <c r="N161" i="2" s="1"/>
  <c r="O161" i="2" s="1"/>
  <c r="P161" i="2" s="1"/>
  <c r="Q161" i="2" s="1"/>
  <c r="R161" i="2" s="1"/>
  <c r="S161" i="2" s="1"/>
  <c r="T161" i="2" s="1"/>
  <c r="U161" i="2" s="1"/>
  <c r="V161" i="2" s="1"/>
  <c r="W161" i="2" s="1"/>
  <c r="X161" i="2" s="1"/>
  <c r="Y161" i="2" s="1"/>
  <c r="Z161" i="2" s="1"/>
  <c r="AA161" i="2" s="1"/>
  <c r="AB161" i="2" s="1"/>
  <c r="AC161" i="2" s="1"/>
  <c r="AD161" i="2" s="1"/>
  <c r="AE161" i="2" s="1"/>
  <c r="AF161" i="2" s="1"/>
  <c r="AG161" i="2" s="1"/>
  <c r="AH161" i="2" s="1"/>
  <c r="AI161" i="2" s="1"/>
  <c r="AF37" i="6"/>
  <c r="AG37" i="6" s="1"/>
  <c r="I50" i="15"/>
  <c r="I50" i="9"/>
  <c r="I63" i="13" l="1"/>
  <c r="C69" i="13" s="1"/>
  <c r="B51" i="13"/>
  <c r="B13" i="1" s="1"/>
  <c r="B15" i="1" s="1"/>
  <c r="F57" i="9"/>
  <c r="E18" i="9"/>
  <c r="E20" i="9" s="1"/>
  <c r="I21" i="15"/>
  <c r="I23" i="15" s="1"/>
  <c r="I16" i="15"/>
  <c r="E18" i="15"/>
  <c r="E20" i="15" s="1"/>
  <c r="E21" i="15" s="1"/>
  <c r="E23" i="15" s="1"/>
  <c r="B18" i="15"/>
  <c r="B20" i="15" s="1"/>
  <c r="C53" i="15"/>
  <c r="I34" i="2"/>
  <c r="C84" i="13"/>
  <c r="E51" i="9"/>
  <c r="K10" i="3"/>
  <c r="N10" i="3" s="1"/>
  <c r="J21" i="9"/>
  <c r="J23" i="9" s="1"/>
  <c r="J16" i="9" s="1"/>
  <c r="J18" i="9"/>
  <c r="J20" i="9" s="1"/>
  <c r="AH49" i="6"/>
  <c r="F53" i="9"/>
  <c r="K3" i="3"/>
  <c r="U164" i="2"/>
  <c r="V164" i="2" s="1"/>
  <c r="W164" i="2" s="1"/>
  <c r="X164" i="2" s="1"/>
  <c r="Y164" i="2" s="1"/>
  <c r="Z164" i="2" s="1"/>
  <c r="AA164" i="2" s="1"/>
  <c r="AB164" i="2" s="1"/>
  <c r="AC164" i="2" s="1"/>
  <c r="AD164" i="2" s="1"/>
  <c r="AE164" i="2" s="1"/>
  <c r="AF164" i="2" s="1"/>
  <c r="AG164" i="2" s="1"/>
  <c r="AH164" i="2" s="1"/>
  <c r="AI164" i="2" s="1"/>
  <c r="F18" i="2"/>
  <c r="B50" i="15" s="1"/>
  <c r="J5" i="15"/>
  <c r="J6" i="15" s="1"/>
  <c r="AH43" i="6"/>
  <c r="AH35" i="6"/>
  <c r="F135" i="11"/>
  <c r="J134" i="11"/>
  <c r="B69" i="13"/>
  <c r="B84" i="13"/>
  <c r="B92" i="13"/>
  <c r="B5" i="15"/>
  <c r="B6" i="15" s="1"/>
  <c r="J69" i="9"/>
  <c r="J70" i="9" s="1"/>
  <c r="J71" i="9" s="1"/>
  <c r="J72" i="9" s="1"/>
  <c r="J73" i="9" s="1"/>
  <c r="J74" i="9" s="1"/>
  <c r="J75" i="9" s="1"/>
  <c r="J76" i="9" s="1"/>
  <c r="J77" i="9" s="1"/>
  <c r="J78" i="9" s="1"/>
  <c r="J79" i="9" s="1"/>
  <c r="J80" i="9" s="1"/>
  <c r="J81" i="9" s="1"/>
  <c r="J82" i="9" s="1"/>
  <c r="J83" i="9" s="1"/>
  <c r="B5" i="9"/>
  <c r="B6" i="9" s="1"/>
  <c r="B60" i="13"/>
  <c r="B61" i="13" s="1"/>
  <c r="L72" i="2"/>
  <c r="J69" i="15"/>
  <c r="J84" i="15" s="1"/>
  <c r="H158" i="2"/>
  <c r="D51" i="9"/>
  <c r="I157" i="2"/>
  <c r="H91" i="9"/>
  <c r="H94" i="9" s="1"/>
  <c r="H95" i="9" s="1"/>
  <c r="H96" i="9" s="1"/>
  <c r="H97" i="9" s="1"/>
  <c r="H98" i="9" s="1"/>
  <c r="H99" i="9" s="1"/>
  <c r="H100" i="9" s="1"/>
  <c r="H101" i="9" s="1"/>
  <c r="H102" i="9" s="1"/>
  <c r="H103" i="9" s="1"/>
  <c r="H104" i="9" s="1"/>
  <c r="H105" i="9" s="1"/>
  <c r="H106" i="9" s="1"/>
  <c r="H107" i="9" s="1"/>
  <c r="H108" i="9" s="1"/>
  <c r="H29" i="9"/>
  <c r="H5" i="15"/>
  <c r="H6" i="15" s="1"/>
  <c r="K8" i="3"/>
  <c r="H5" i="9"/>
  <c r="H6" i="9" s="1"/>
  <c r="F106" i="2"/>
  <c r="F109" i="2" s="1"/>
  <c r="E120" i="2"/>
  <c r="H157" i="2"/>
  <c r="H91" i="15"/>
  <c r="H94" i="15" s="1"/>
  <c r="H29" i="15"/>
  <c r="C52" i="15"/>
  <c r="AH12" i="6"/>
  <c r="P165" i="2"/>
  <c r="Q165" i="2" s="1"/>
  <c r="R165" i="2" s="1"/>
  <c r="S165" i="2" s="1"/>
  <c r="T165" i="2" s="1"/>
  <c r="U165" i="2" s="1"/>
  <c r="V165" i="2" s="1"/>
  <c r="W165" i="2" s="1"/>
  <c r="X165" i="2" s="1"/>
  <c r="Y165" i="2" s="1"/>
  <c r="Z165" i="2" s="1"/>
  <c r="AA165" i="2" s="1"/>
  <c r="AB165" i="2" s="1"/>
  <c r="AC165" i="2" s="1"/>
  <c r="AD165" i="2" s="1"/>
  <c r="AE165" i="2" s="1"/>
  <c r="AF165" i="2" s="1"/>
  <c r="AG165" i="2" s="1"/>
  <c r="AH165" i="2" s="1"/>
  <c r="AI165" i="2" s="1"/>
  <c r="B18" i="9"/>
  <c r="B20" i="9" s="1"/>
  <c r="B21" i="9" s="1"/>
  <c r="B23" i="9" s="1"/>
  <c r="B16" i="9" s="1"/>
  <c r="H34" i="2"/>
  <c r="H159" i="2"/>
  <c r="I159" i="2"/>
  <c r="C51" i="15"/>
  <c r="G4" i="3"/>
  <c r="F40" i="2"/>
  <c r="B52" i="15"/>
  <c r="B52" i="9"/>
  <c r="J27" i="13" s="1"/>
  <c r="E17" i="2"/>
  <c r="F154" i="2"/>
  <c r="C51" i="9"/>
  <c r="E52" i="15"/>
  <c r="D52" i="9"/>
  <c r="B51" i="9"/>
  <c r="B51" i="15"/>
  <c r="F28" i="2"/>
  <c r="G157" i="2" s="1"/>
  <c r="C5" i="15"/>
  <c r="C6" i="15" s="1"/>
  <c r="F60" i="9"/>
  <c r="D52" i="15"/>
  <c r="G5" i="3"/>
  <c r="F53" i="2"/>
  <c r="G18" i="15"/>
  <c r="G20" i="15" s="1"/>
  <c r="G21" i="15" s="1"/>
  <c r="G23" i="15" s="1"/>
  <c r="F18" i="15"/>
  <c r="F20" i="15" s="1"/>
  <c r="D120" i="2"/>
  <c r="D54" i="13"/>
  <c r="B8" i="9"/>
  <c r="J28" i="13"/>
  <c r="F115" i="15"/>
  <c r="E58" i="2"/>
  <c r="E60" i="2" s="1"/>
  <c r="F115" i="9"/>
  <c r="K47" i="9"/>
  <c r="K47" i="15"/>
  <c r="H109" i="9"/>
  <c r="H117" i="9" s="1"/>
  <c r="E22" i="2"/>
  <c r="E24" i="2" s="1"/>
  <c r="E134" i="2" s="1"/>
  <c r="E109" i="2"/>
  <c r="T72" i="2"/>
  <c r="F64" i="9"/>
  <c r="AH33" i="6"/>
  <c r="AJ33" i="6"/>
  <c r="AK33" i="6" s="1"/>
  <c r="AT33" i="6" s="1"/>
  <c r="AJ37" i="6"/>
  <c r="AK37" i="6" s="1"/>
  <c r="AT37" i="6" s="1"/>
  <c r="AH37" i="6"/>
  <c r="AJ8" i="6"/>
  <c r="AK8" i="6" s="1"/>
  <c r="AT8" i="6" s="1"/>
  <c r="AH8" i="6"/>
  <c r="H136" i="2"/>
  <c r="H124" i="2"/>
  <c r="H113" i="2"/>
  <c r="H75" i="2"/>
  <c r="H63" i="2"/>
  <c r="H50" i="2"/>
  <c r="H37" i="2"/>
  <c r="V136" i="2"/>
  <c r="V113" i="2"/>
  <c r="V124" i="2"/>
  <c r="V75" i="2"/>
  <c r="V63" i="2"/>
  <c r="V37" i="2"/>
  <c r="V50" i="2"/>
  <c r="J158" i="2"/>
  <c r="D54" i="15"/>
  <c r="D54" i="9"/>
  <c r="F91" i="2"/>
  <c r="F101" i="11"/>
  <c r="J100" i="11"/>
  <c r="K72" i="2"/>
  <c r="F55" i="9"/>
  <c r="D90" i="15"/>
  <c r="D94" i="15" s="1"/>
  <c r="D29" i="15"/>
  <c r="J8" i="15"/>
  <c r="J32" i="15" s="1"/>
  <c r="J8" i="9"/>
  <c r="J32" i="9" s="1"/>
  <c r="AC136" i="2"/>
  <c r="AC124" i="2"/>
  <c r="AC113" i="2"/>
  <c r="AC75" i="2"/>
  <c r="AC63" i="2"/>
  <c r="AC50" i="2"/>
  <c r="AC37" i="2"/>
  <c r="Y136" i="2"/>
  <c r="Y124" i="2"/>
  <c r="Y113" i="2"/>
  <c r="Y75" i="2"/>
  <c r="Y63" i="2"/>
  <c r="Y37" i="2"/>
  <c r="Y50" i="2"/>
  <c r="AB136" i="2"/>
  <c r="AB113" i="2"/>
  <c r="AB75" i="2"/>
  <c r="AB124" i="2"/>
  <c r="AB37" i="2"/>
  <c r="AB63" i="2"/>
  <c r="AB50" i="2"/>
  <c r="AJ22" i="6"/>
  <c r="AK22" i="6" s="1"/>
  <c r="AT22" i="6" s="1"/>
  <c r="AH22" i="6"/>
  <c r="AJ26" i="6"/>
  <c r="AK26" i="6" s="1"/>
  <c r="AT26" i="6" s="1"/>
  <c r="AH26" i="6"/>
  <c r="AJ50" i="6"/>
  <c r="AK50" i="6" s="1"/>
  <c r="AT50" i="6" s="1"/>
  <c r="AH50" i="6"/>
  <c r="E8" i="15"/>
  <c r="T113" i="2"/>
  <c r="T136" i="2"/>
  <c r="T124" i="2"/>
  <c r="T75" i="2"/>
  <c r="T37" i="2"/>
  <c r="T63" i="2"/>
  <c r="T50" i="2"/>
  <c r="AJ46" i="6"/>
  <c r="AK46" i="6" s="1"/>
  <c r="AT46" i="6" s="1"/>
  <c r="AH46" i="6"/>
  <c r="R136" i="2"/>
  <c r="R124" i="2"/>
  <c r="R113" i="2"/>
  <c r="R75" i="2"/>
  <c r="R63" i="2"/>
  <c r="R50" i="2"/>
  <c r="R37" i="2"/>
  <c r="B54" i="15"/>
  <c r="B54" i="9"/>
  <c r="AH52" i="6"/>
  <c r="AJ52" i="6"/>
  <c r="AK52" i="6" s="1"/>
  <c r="AT52" i="6" s="1"/>
  <c r="H12" i="15"/>
  <c r="H12" i="9"/>
  <c r="W124" i="2"/>
  <c r="W113" i="2"/>
  <c r="W136" i="2"/>
  <c r="W75" i="2"/>
  <c r="W63" i="2"/>
  <c r="W50" i="2"/>
  <c r="W37" i="2"/>
  <c r="F34" i="9"/>
  <c r="F90" i="15"/>
  <c r="F94" i="15" s="1"/>
  <c r="F29" i="15"/>
  <c r="J95" i="15"/>
  <c r="J96" i="15" s="1"/>
  <c r="J97" i="15" s="1"/>
  <c r="J98" i="15" s="1"/>
  <c r="J99" i="15" s="1"/>
  <c r="J100" i="15" s="1"/>
  <c r="J101" i="15" s="1"/>
  <c r="J102" i="15" s="1"/>
  <c r="J103" i="15" s="1"/>
  <c r="J104" i="15" s="1"/>
  <c r="J105" i="15" s="1"/>
  <c r="J106" i="15" s="1"/>
  <c r="J107" i="15" s="1"/>
  <c r="J108" i="15" s="1"/>
  <c r="S113" i="2"/>
  <c r="S136" i="2"/>
  <c r="S124" i="2"/>
  <c r="S75" i="2"/>
  <c r="S63" i="2"/>
  <c r="S50" i="2"/>
  <c r="S37" i="2"/>
  <c r="AJ42" i="6"/>
  <c r="AK42" i="6" s="1"/>
  <c r="AT42" i="6" s="1"/>
  <c r="AH42" i="6"/>
  <c r="O72" i="2"/>
  <c r="F59" i="9"/>
  <c r="C22" i="12"/>
  <c r="C8" i="12"/>
  <c r="E90" i="9"/>
  <c r="E94" i="9" s="1"/>
  <c r="E29" i="9"/>
  <c r="F34" i="15"/>
  <c r="AJ34" i="6"/>
  <c r="AK34" i="6" s="1"/>
  <c r="AT34" i="6" s="1"/>
  <c r="AH34" i="6"/>
  <c r="AJ16" i="6"/>
  <c r="AK16" i="6" s="1"/>
  <c r="AT16" i="6" s="1"/>
  <c r="AH16" i="6"/>
  <c r="E12" i="15"/>
  <c r="E12" i="9"/>
  <c r="AJ45" i="6"/>
  <c r="AK45" i="6" s="1"/>
  <c r="AT45" i="6" s="1"/>
  <c r="AH45" i="6"/>
  <c r="J136" i="2"/>
  <c r="J113" i="2"/>
  <c r="J75" i="2"/>
  <c r="J63" i="2"/>
  <c r="J50" i="2"/>
  <c r="J37" i="2"/>
  <c r="J124" i="2"/>
  <c r="F12" i="15"/>
  <c r="F12" i="9"/>
  <c r="F122" i="11"/>
  <c r="J121" i="11"/>
  <c r="I65" i="9"/>
  <c r="I69" i="9"/>
  <c r="G132" i="2"/>
  <c r="F133" i="2"/>
  <c r="F124" i="2"/>
  <c r="F136" i="2"/>
  <c r="F113" i="2"/>
  <c r="F75" i="2"/>
  <c r="F63" i="2"/>
  <c r="F37" i="2"/>
  <c r="F50" i="2"/>
  <c r="B12" i="15"/>
  <c r="B12" i="9"/>
  <c r="J157" i="2"/>
  <c r="J34" i="2"/>
  <c r="C54" i="15"/>
  <c r="C54" i="9"/>
  <c r="G21" i="2"/>
  <c r="L2" i="3"/>
  <c r="N2" i="3" s="1"/>
  <c r="B9" i="15"/>
  <c r="B32" i="15" s="1"/>
  <c r="C26" i="12"/>
  <c r="C12" i="12"/>
  <c r="J187" i="11"/>
  <c r="F188" i="11"/>
  <c r="F66" i="11"/>
  <c r="J65" i="11"/>
  <c r="D124" i="2"/>
  <c r="N136" i="2"/>
  <c r="N124" i="2"/>
  <c r="N113" i="2"/>
  <c r="N75" i="2"/>
  <c r="N63" i="2"/>
  <c r="N37" i="2"/>
  <c r="N50" i="2"/>
  <c r="C90" i="9"/>
  <c r="C94" i="9" s="1"/>
  <c r="C29" i="9"/>
  <c r="F90" i="9"/>
  <c r="F94" i="9" s="1"/>
  <c r="F29" i="9"/>
  <c r="I8" i="15"/>
  <c r="I8" i="9"/>
  <c r="C23" i="12"/>
  <c r="C9" i="12"/>
  <c r="G108" i="2"/>
  <c r="L8" i="3"/>
  <c r="N8" i="3" s="1"/>
  <c r="H9" i="15"/>
  <c r="H9" i="9"/>
  <c r="I9" i="15"/>
  <c r="U124" i="2"/>
  <c r="U136" i="2"/>
  <c r="U113" i="2"/>
  <c r="U75" i="2"/>
  <c r="U50" i="2"/>
  <c r="U63" i="2"/>
  <c r="U37" i="2"/>
  <c r="E90" i="15"/>
  <c r="E94" i="15" s="1"/>
  <c r="E29" i="15"/>
  <c r="Z136" i="2"/>
  <c r="Z113" i="2"/>
  <c r="Z124" i="2"/>
  <c r="Z75" i="2"/>
  <c r="Z50" i="2"/>
  <c r="Z63" i="2"/>
  <c r="Z37" i="2"/>
  <c r="AJ23" i="6"/>
  <c r="AK23" i="6" s="1"/>
  <c r="AT23" i="6" s="1"/>
  <c r="AH23" i="6"/>
  <c r="AJ36" i="6"/>
  <c r="AK36" i="6" s="1"/>
  <c r="AT36" i="6" s="1"/>
  <c r="AH36" i="6"/>
  <c r="G57" i="2"/>
  <c r="E9" i="15"/>
  <c r="L5" i="3"/>
  <c r="F30" i="11"/>
  <c r="J30" i="11" s="1"/>
  <c r="F35" i="11"/>
  <c r="J35" i="11" s="1"/>
  <c r="F27" i="11"/>
  <c r="J27" i="11" s="1"/>
  <c r="F36" i="11"/>
  <c r="J36" i="11" s="1"/>
  <c r="F28" i="11"/>
  <c r="J28" i="11" s="1"/>
  <c r="F44" i="11"/>
  <c r="F33" i="11"/>
  <c r="J33" i="11" s="1"/>
  <c r="F25" i="11"/>
  <c r="J25" i="11" s="1"/>
  <c r="F26" i="11"/>
  <c r="J26" i="11" s="1"/>
  <c r="F31" i="11"/>
  <c r="J31" i="11" s="1"/>
  <c r="F24" i="11"/>
  <c r="J24" i="11" s="1"/>
  <c r="F29" i="11"/>
  <c r="J29" i="11" s="1"/>
  <c r="F34" i="11"/>
  <c r="J34" i="11" s="1"/>
  <c r="F23" i="11"/>
  <c r="J23" i="11" s="1"/>
  <c r="F37" i="11"/>
  <c r="J37" i="11" s="1"/>
  <c r="F32" i="11"/>
  <c r="J32" i="11" s="1"/>
  <c r="AD99" i="2"/>
  <c r="AD100" i="2" s="1"/>
  <c r="V99" i="2"/>
  <c r="V100" i="2" s="1"/>
  <c r="N99" i="2"/>
  <c r="N100" i="2" s="1"/>
  <c r="F99" i="2"/>
  <c r="AI99" i="2"/>
  <c r="AI100" i="2" s="1"/>
  <c r="AA99" i="2"/>
  <c r="AA100" i="2" s="1"/>
  <c r="S99" i="2"/>
  <c r="S100" i="2" s="1"/>
  <c r="AH99" i="2"/>
  <c r="AH100" i="2" s="1"/>
  <c r="Z99" i="2"/>
  <c r="Z100" i="2" s="1"/>
  <c r="R99" i="2"/>
  <c r="R100" i="2" s="1"/>
  <c r="J99" i="2"/>
  <c r="J100" i="2" s="1"/>
  <c r="AF99" i="2"/>
  <c r="AF100" i="2" s="1"/>
  <c r="X99" i="2"/>
  <c r="X100" i="2" s="1"/>
  <c r="T99" i="2"/>
  <c r="T100" i="2" s="1"/>
  <c r="H99" i="2"/>
  <c r="H100" i="2" s="1"/>
  <c r="C92" i="2"/>
  <c r="E92" i="2" s="1"/>
  <c r="AG99" i="2"/>
  <c r="AG100" i="2" s="1"/>
  <c r="Q99" i="2"/>
  <c r="Q100" i="2" s="1"/>
  <c r="G99" i="2"/>
  <c r="G100" i="2" s="1"/>
  <c r="AE99" i="2"/>
  <c r="AE100" i="2" s="1"/>
  <c r="P99" i="2"/>
  <c r="P100" i="2" s="1"/>
  <c r="E99" i="2"/>
  <c r="E100" i="2" s="1"/>
  <c r="AC99" i="2"/>
  <c r="AC100" i="2" s="1"/>
  <c r="O99" i="2"/>
  <c r="O100" i="2" s="1"/>
  <c r="AB99" i="2"/>
  <c r="AB100" i="2" s="1"/>
  <c r="M99" i="2"/>
  <c r="M100" i="2" s="1"/>
  <c r="Y99" i="2"/>
  <c r="Y100" i="2" s="1"/>
  <c r="L99" i="2"/>
  <c r="L100" i="2" s="1"/>
  <c r="U99" i="2"/>
  <c r="U100" i="2" s="1"/>
  <c r="I99" i="2"/>
  <c r="I100" i="2" s="1"/>
  <c r="E96" i="2"/>
  <c r="F96" i="2" s="1"/>
  <c r="G96" i="2" s="1"/>
  <c r="H96" i="2" s="1"/>
  <c r="I96" i="2" s="1"/>
  <c r="J96" i="2" s="1"/>
  <c r="K96" i="2" s="1"/>
  <c r="L96" i="2" s="1"/>
  <c r="M96" i="2" s="1"/>
  <c r="N96" i="2" s="1"/>
  <c r="O96" i="2" s="1"/>
  <c r="P96" i="2" s="1"/>
  <c r="Q96" i="2" s="1"/>
  <c r="R96" i="2" s="1"/>
  <c r="S96" i="2" s="1"/>
  <c r="T96" i="2" s="1"/>
  <c r="U96" i="2" s="1"/>
  <c r="V96" i="2" s="1"/>
  <c r="W96" i="2" s="1"/>
  <c r="X96" i="2" s="1"/>
  <c r="Y96" i="2" s="1"/>
  <c r="Z96" i="2" s="1"/>
  <c r="AA96" i="2" s="1"/>
  <c r="AB96" i="2" s="1"/>
  <c r="AC96" i="2" s="1"/>
  <c r="AD96" i="2" s="1"/>
  <c r="AE96" i="2" s="1"/>
  <c r="AF96" i="2" s="1"/>
  <c r="AG96" i="2" s="1"/>
  <c r="AH96" i="2" s="1"/>
  <c r="AI96" i="2" s="1"/>
  <c r="W99" i="2"/>
  <c r="W100" i="2" s="1"/>
  <c r="P7" i="3"/>
  <c r="I7" i="3"/>
  <c r="J7" i="3" s="1"/>
  <c r="K99" i="2"/>
  <c r="K100" i="2" s="1"/>
  <c r="G10" i="9"/>
  <c r="G10" i="15"/>
  <c r="I65" i="15"/>
  <c r="AJ24" i="6"/>
  <c r="AK24" i="6" s="1"/>
  <c r="AT24" i="6" s="1"/>
  <c r="AH24" i="6"/>
  <c r="C12" i="9"/>
  <c r="C12" i="15"/>
  <c r="L136" i="2"/>
  <c r="L113" i="2"/>
  <c r="L124" i="2"/>
  <c r="L37" i="2"/>
  <c r="L63" i="2"/>
  <c r="L75" i="2"/>
  <c r="L50" i="2"/>
  <c r="AH136" i="2"/>
  <c r="AH124" i="2"/>
  <c r="AH75" i="2"/>
  <c r="AH113" i="2"/>
  <c r="AH63" i="2"/>
  <c r="AH50" i="2"/>
  <c r="AH37" i="2"/>
  <c r="J159" i="2"/>
  <c r="E54" i="15"/>
  <c r="E54" i="9"/>
  <c r="E124" i="2"/>
  <c r="E113" i="2"/>
  <c r="E136" i="2"/>
  <c r="E75" i="2"/>
  <c r="E50" i="2"/>
  <c r="E63" i="2"/>
  <c r="E37" i="2"/>
  <c r="C19" i="12"/>
  <c r="C5" i="12"/>
  <c r="S72" i="2"/>
  <c r="F63" i="9"/>
  <c r="J72" i="2"/>
  <c r="F54" i="9"/>
  <c r="G72" i="2"/>
  <c r="F51" i="9"/>
  <c r="AA124" i="2"/>
  <c r="AA136" i="2"/>
  <c r="AA113" i="2"/>
  <c r="AA75" i="2"/>
  <c r="AA63" i="2"/>
  <c r="AA50" i="2"/>
  <c r="AA37" i="2"/>
  <c r="I136" i="2"/>
  <c r="I124" i="2"/>
  <c r="I113" i="2"/>
  <c r="I75" i="2"/>
  <c r="I63" i="2"/>
  <c r="I37" i="2"/>
  <c r="I50" i="2"/>
  <c r="AJ7" i="6"/>
  <c r="AH7" i="6"/>
  <c r="C90" i="15"/>
  <c r="C94" i="15" s="1"/>
  <c r="C29" i="15"/>
  <c r="I90" i="9"/>
  <c r="I94" i="9" s="1"/>
  <c r="I29" i="9"/>
  <c r="H49" i="5"/>
  <c r="H52" i="5" s="1"/>
  <c r="I12" i="15"/>
  <c r="I12" i="9"/>
  <c r="G124" i="2"/>
  <c r="G113" i="2"/>
  <c r="G136" i="2"/>
  <c r="G75" i="2"/>
  <c r="G63" i="2"/>
  <c r="G37" i="2"/>
  <c r="G50" i="2"/>
  <c r="AJ18" i="6"/>
  <c r="AK18" i="6" s="1"/>
  <c r="AT18" i="6" s="1"/>
  <c r="AH18" i="6"/>
  <c r="AJ32" i="6"/>
  <c r="AK32" i="6" s="1"/>
  <c r="AT32" i="6" s="1"/>
  <c r="AH32" i="6"/>
  <c r="F168" i="11"/>
  <c r="J167" i="11"/>
  <c r="AJ20" i="6"/>
  <c r="AK20" i="6" s="1"/>
  <c r="AT20" i="6" s="1"/>
  <c r="AH20" i="6"/>
  <c r="AJ47" i="6"/>
  <c r="AK47" i="6" s="1"/>
  <c r="AT47" i="6" s="1"/>
  <c r="AH47" i="6"/>
  <c r="AF136" i="2"/>
  <c r="AF124" i="2"/>
  <c r="AF113" i="2"/>
  <c r="AF75" i="2"/>
  <c r="AF63" i="2"/>
  <c r="AF50" i="2"/>
  <c r="AF37" i="2"/>
  <c r="M136" i="2"/>
  <c r="M124" i="2"/>
  <c r="M113" i="2"/>
  <c r="M63" i="2"/>
  <c r="M50" i="2"/>
  <c r="M37" i="2"/>
  <c r="M75" i="2"/>
  <c r="R72" i="2"/>
  <c r="F62" i="9"/>
  <c r="B90" i="9"/>
  <c r="B94" i="9" s="1"/>
  <c r="B29" i="9"/>
  <c r="H8" i="15"/>
  <c r="H8" i="9"/>
  <c r="J95" i="9"/>
  <c r="J96" i="9" s="1"/>
  <c r="J97" i="9" s="1"/>
  <c r="J98" i="9" s="1"/>
  <c r="J99" i="9" s="1"/>
  <c r="J100" i="9" s="1"/>
  <c r="J101" i="9" s="1"/>
  <c r="J102" i="9" s="1"/>
  <c r="J103" i="9" s="1"/>
  <c r="J104" i="9" s="1"/>
  <c r="J105" i="9" s="1"/>
  <c r="J106" i="9" s="1"/>
  <c r="J107" i="9" s="1"/>
  <c r="J108" i="9" s="1"/>
  <c r="I29" i="15"/>
  <c r="I90" i="15"/>
  <c r="I94" i="15" s="1"/>
  <c r="F208" i="11"/>
  <c r="J207" i="11"/>
  <c r="O124" i="2"/>
  <c r="O113" i="2"/>
  <c r="O136" i="2"/>
  <c r="O63" i="2"/>
  <c r="O75" i="2"/>
  <c r="O37" i="2"/>
  <c r="O50" i="2"/>
  <c r="D26" i="10"/>
  <c r="T7" i="3" s="1"/>
  <c r="S7" i="3"/>
  <c r="G31" i="2"/>
  <c r="L3" i="3"/>
  <c r="C9" i="15"/>
  <c r="E32" i="2"/>
  <c r="AH25" i="6"/>
  <c r="AJ25" i="6"/>
  <c r="AK25" i="6" s="1"/>
  <c r="AT25" i="6" s="1"/>
  <c r="Q72" i="2"/>
  <c r="F61" i="9"/>
  <c r="E86" i="2"/>
  <c r="C7" i="12"/>
  <c r="C21" i="12"/>
  <c r="X136" i="2"/>
  <c r="X124" i="2"/>
  <c r="X75" i="2"/>
  <c r="X63" i="2"/>
  <c r="X113" i="2"/>
  <c r="X50" i="2"/>
  <c r="X37" i="2"/>
  <c r="AJ10" i="6"/>
  <c r="AK10" i="6" s="1"/>
  <c r="AT10" i="6" s="1"/>
  <c r="AH10" i="6"/>
  <c r="AJ15" i="6"/>
  <c r="AK15" i="6" s="1"/>
  <c r="AT15" i="6" s="1"/>
  <c r="AH15" i="6"/>
  <c r="AJ30" i="6"/>
  <c r="AK30" i="6" s="1"/>
  <c r="AT30" i="6" s="1"/>
  <c r="AH30" i="6"/>
  <c r="AJ38" i="6"/>
  <c r="AK38" i="6" s="1"/>
  <c r="AT38" i="6" s="1"/>
  <c r="AH38" i="6"/>
  <c r="F86" i="2"/>
  <c r="D12" i="9"/>
  <c r="D12" i="15"/>
  <c r="C8" i="15"/>
  <c r="K52" i="2"/>
  <c r="K53" i="2" s="1"/>
  <c r="K54" i="2" s="1"/>
  <c r="K26" i="2"/>
  <c r="K27" i="2" s="1"/>
  <c r="K28" i="2" s="1"/>
  <c r="K39" i="2"/>
  <c r="K40" i="2" s="1"/>
  <c r="K41" i="2" s="1"/>
  <c r="K16" i="2"/>
  <c r="K17" i="2" s="1"/>
  <c r="K18" i="2" s="1"/>
  <c r="AJ9" i="6"/>
  <c r="AK9" i="6" s="1"/>
  <c r="AT9" i="6" s="1"/>
  <c r="AH9" i="6"/>
  <c r="AJ41" i="6"/>
  <c r="AK41" i="6" s="1"/>
  <c r="AT41" i="6" s="1"/>
  <c r="AH41" i="6"/>
  <c r="G119" i="2"/>
  <c r="L9" i="3"/>
  <c r="N9" i="3" s="1"/>
  <c r="I9" i="9"/>
  <c r="C20" i="12"/>
  <c r="C6" i="12"/>
  <c r="K12" i="15"/>
  <c r="K12" i="9"/>
  <c r="AJ21" i="6"/>
  <c r="AK21" i="6" s="1"/>
  <c r="AT21" i="6" s="1"/>
  <c r="AH21" i="6"/>
  <c r="AJ28" i="6"/>
  <c r="AK28" i="6" s="1"/>
  <c r="AT28" i="6" s="1"/>
  <c r="AH28" i="6"/>
  <c r="AJ13" i="6"/>
  <c r="AK13" i="6" s="1"/>
  <c r="AT13" i="6" s="1"/>
  <c r="AH13" i="6"/>
  <c r="AJ27" i="6"/>
  <c r="AK27" i="6" s="1"/>
  <c r="AT27" i="6" s="1"/>
  <c r="AH27" i="6"/>
  <c r="AJ53" i="6"/>
  <c r="AK53" i="6" s="1"/>
  <c r="AT53" i="6" s="1"/>
  <c r="AH53" i="6"/>
  <c r="AJ31" i="6"/>
  <c r="AK31" i="6" s="1"/>
  <c r="AT31" i="6" s="1"/>
  <c r="AH31" i="6"/>
  <c r="C27" i="12"/>
  <c r="C13" i="12"/>
  <c r="H72" i="2"/>
  <c r="F52" i="9"/>
  <c r="AJ14" i="6"/>
  <c r="AK14" i="6" s="1"/>
  <c r="AT14" i="6" s="1"/>
  <c r="AH14" i="6"/>
  <c r="J12" i="15"/>
  <c r="J12" i="9"/>
  <c r="AG136" i="2"/>
  <c r="AG124" i="2"/>
  <c r="AG113" i="2"/>
  <c r="AG75" i="2"/>
  <c r="AG63" i="2"/>
  <c r="AG37" i="2"/>
  <c r="AG50" i="2"/>
  <c r="AJ48" i="6"/>
  <c r="AK48" i="6" s="1"/>
  <c r="AT48" i="6" s="1"/>
  <c r="AH48" i="6"/>
  <c r="AE124" i="2"/>
  <c r="AE113" i="2"/>
  <c r="AE136" i="2"/>
  <c r="AE75" i="2"/>
  <c r="AE63" i="2"/>
  <c r="AE37" i="2"/>
  <c r="AE50" i="2"/>
  <c r="AI124" i="2"/>
  <c r="AI136" i="2"/>
  <c r="AI113" i="2"/>
  <c r="AI75" i="2"/>
  <c r="AI63" i="2"/>
  <c r="AI50" i="2"/>
  <c r="AI37" i="2"/>
  <c r="AD124" i="2"/>
  <c r="AD136" i="2"/>
  <c r="AD113" i="2"/>
  <c r="AD75" i="2"/>
  <c r="AD63" i="2"/>
  <c r="AD37" i="2"/>
  <c r="AD50" i="2"/>
  <c r="F151" i="11"/>
  <c r="J150" i="11"/>
  <c r="B90" i="15"/>
  <c r="B94" i="15" s="1"/>
  <c r="B29" i="15"/>
  <c r="H63" i="13"/>
  <c r="S36" i="7"/>
  <c r="Q38" i="7" s="1"/>
  <c r="Q41" i="7" s="1"/>
  <c r="Q42" i="7" s="1"/>
  <c r="S37" i="7"/>
  <c r="S33" i="7"/>
  <c r="D90" i="9"/>
  <c r="D94" i="9" s="1"/>
  <c r="D29" i="9"/>
  <c r="AJ11" i="6"/>
  <c r="AK11" i="6" s="1"/>
  <c r="AT11" i="6" s="1"/>
  <c r="AH11" i="6"/>
  <c r="K136" i="2"/>
  <c r="K124" i="2"/>
  <c r="K113" i="2"/>
  <c r="K75" i="2"/>
  <c r="K63" i="2"/>
  <c r="K50" i="2"/>
  <c r="K37" i="2"/>
  <c r="N72" i="2"/>
  <c r="F58" i="9"/>
  <c r="Q136" i="2"/>
  <c r="Q124" i="2"/>
  <c r="Q113" i="2"/>
  <c r="Q75" i="2"/>
  <c r="Q63" i="2"/>
  <c r="Q37" i="2"/>
  <c r="Q50" i="2"/>
  <c r="C11" i="12"/>
  <c r="C25" i="12"/>
  <c r="P136" i="2"/>
  <c r="P124" i="2"/>
  <c r="P113" i="2"/>
  <c r="P75" i="2"/>
  <c r="P63" i="2"/>
  <c r="P50" i="2"/>
  <c r="P37" i="2"/>
  <c r="AJ40" i="6"/>
  <c r="AK40" i="6" s="1"/>
  <c r="AT40" i="6" s="1"/>
  <c r="AH40" i="6"/>
  <c r="AJ17" i="6"/>
  <c r="AK17" i="6" s="1"/>
  <c r="AT17" i="6" s="1"/>
  <c r="AH17" i="6"/>
  <c r="AJ51" i="6"/>
  <c r="AK51" i="6" s="1"/>
  <c r="AT51" i="6" s="1"/>
  <c r="AH51" i="6"/>
  <c r="D8" i="15"/>
  <c r="C92" i="13" l="1"/>
  <c r="B52" i="13"/>
  <c r="E16" i="15"/>
  <c r="B21" i="15"/>
  <c r="B23" i="15" s="1"/>
  <c r="B16" i="15"/>
  <c r="B139" i="15" s="1"/>
  <c r="B157" i="15" s="1"/>
  <c r="F22" i="2"/>
  <c r="F24" i="2" s="1"/>
  <c r="F134" i="2" s="1"/>
  <c r="B50" i="9"/>
  <c r="B69" i="9" s="1"/>
  <c r="M48" i="13"/>
  <c r="O48" i="13" s="1"/>
  <c r="C68" i="13"/>
  <c r="C91" i="13"/>
  <c r="C83" i="13"/>
  <c r="F136" i="11"/>
  <c r="J135" i="11"/>
  <c r="R25" i="13"/>
  <c r="H115" i="15"/>
  <c r="H115" i="9"/>
  <c r="H50" i="9"/>
  <c r="J26" i="13"/>
  <c r="H95" i="15"/>
  <c r="H96" i="15" s="1"/>
  <c r="H97" i="15" s="1"/>
  <c r="H98" i="15" s="1"/>
  <c r="H99" i="15" s="1"/>
  <c r="H100" i="15" s="1"/>
  <c r="H101" i="15" s="1"/>
  <c r="H102" i="15" s="1"/>
  <c r="H103" i="15" s="1"/>
  <c r="H104" i="15" s="1"/>
  <c r="H105" i="15" s="1"/>
  <c r="H106" i="15" s="1"/>
  <c r="H107" i="15" s="1"/>
  <c r="H108" i="15" s="1"/>
  <c r="C50" i="9"/>
  <c r="C69" i="9" s="1"/>
  <c r="C70" i="9" s="1"/>
  <c r="C71" i="9" s="1"/>
  <c r="C72" i="9" s="1"/>
  <c r="C73" i="9" s="1"/>
  <c r="C50" i="15"/>
  <c r="F34" i="2"/>
  <c r="K5" i="3"/>
  <c r="E5" i="15"/>
  <c r="E6" i="15" s="1"/>
  <c r="E5" i="9"/>
  <c r="E6" i="9" s="1"/>
  <c r="F54" i="2"/>
  <c r="K4" i="3"/>
  <c r="D5" i="15"/>
  <c r="D6" i="15" s="1"/>
  <c r="D5" i="9"/>
  <c r="D6" i="9" s="1"/>
  <c r="F41" i="2"/>
  <c r="N5" i="3"/>
  <c r="F32" i="2"/>
  <c r="G16" i="15"/>
  <c r="F21" i="15"/>
  <c r="F23" i="15" s="1"/>
  <c r="F16" i="15"/>
  <c r="J29" i="13"/>
  <c r="H32" i="9"/>
  <c r="H33" i="9" s="1"/>
  <c r="E35" i="2"/>
  <c r="E38" i="2" s="1"/>
  <c r="D121" i="2"/>
  <c r="D125" i="2" s="1"/>
  <c r="E73" i="2"/>
  <c r="E76" i="2" s="1"/>
  <c r="E61" i="2"/>
  <c r="E64" i="2" s="1"/>
  <c r="E121" i="2"/>
  <c r="E125" i="2" s="1"/>
  <c r="E110" i="2"/>
  <c r="E114" i="2" s="1"/>
  <c r="C32" i="15"/>
  <c r="C33" i="15" s="1"/>
  <c r="J84" i="9"/>
  <c r="I32" i="15"/>
  <c r="I139" i="15" s="1"/>
  <c r="I157" i="15" s="1"/>
  <c r="J109" i="9"/>
  <c r="J117" i="9" s="1"/>
  <c r="G124" i="15"/>
  <c r="G124" i="9"/>
  <c r="B33" i="15"/>
  <c r="G132" i="15"/>
  <c r="G132" i="9"/>
  <c r="G131" i="15"/>
  <c r="G131" i="9"/>
  <c r="G123" i="15"/>
  <c r="G123" i="9"/>
  <c r="G128" i="15"/>
  <c r="G128" i="9"/>
  <c r="G135" i="15"/>
  <c r="G135" i="9"/>
  <c r="G129" i="15"/>
  <c r="G129" i="9"/>
  <c r="C31" i="1"/>
  <c r="B31" i="1" s="1"/>
  <c r="N3" i="3"/>
  <c r="D95" i="9"/>
  <c r="D96" i="9" s="1"/>
  <c r="D97" i="9" s="1"/>
  <c r="D98" i="9" s="1"/>
  <c r="D99" i="9" s="1"/>
  <c r="D100" i="9" s="1"/>
  <c r="D101" i="9" s="1"/>
  <c r="D102" i="9" s="1"/>
  <c r="D103" i="9" s="1"/>
  <c r="D104" i="9" s="1"/>
  <c r="D105" i="9" s="1"/>
  <c r="D106" i="9" s="1"/>
  <c r="D107" i="9" s="1"/>
  <c r="D108" i="9" s="1"/>
  <c r="AH55" i="6"/>
  <c r="AH56" i="6" s="1"/>
  <c r="G122" i="15"/>
  <c r="G122" i="9"/>
  <c r="I70" i="9"/>
  <c r="I71" i="9" s="1"/>
  <c r="I72" i="9" s="1"/>
  <c r="I73" i="9" s="1"/>
  <c r="I74" i="9" s="1"/>
  <c r="I75" i="9" s="1"/>
  <c r="I76" i="9" s="1"/>
  <c r="I77" i="9" s="1"/>
  <c r="I78" i="9" s="1"/>
  <c r="I79" i="9" s="1"/>
  <c r="I80" i="9" s="1"/>
  <c r="I81" i="9" s="1"/>
  <c r="I82" i="9" s="1"/>
  <c r="I83" i="9" s="1"/>
  <c r="J109" i="15"/>
  <c r="J117" i="15" s="1"/>
  <c r="C95" i="15"/>
  <c r="C96" i="15" s="1"/>
  <c r="C97" i="15" s="1"/>
  <c r="C98" i="15" s="1"/>
  <c r="C99" i="15" s="1"/>
  <c r="C100" i="15" s="1"/>
  <c r="C101" i="15" s="1"/>
  <c r="C102" i="15" s="1"/>
  <c r="C103" i="15" s="1"/>
  <c r="C104" i="15" s="1"/>
  <c r="C105" i="15" s="1"/>
  <c r="C106" i="15" s="1"/>
  <c r="C107" i="15" s="1"/>
  <c r="C108" i="15" s="1"/>
  <c r="G12" i="15"/>
  <c r="G12" i="9"/>
  <c r="L36" i="11"/>
  <c r="G121" i="15"/>
  <c r="G121" i="9"/>
  <c r="B55" i="15"/>
  <c r="B55" i="9"/>
  <c r="G8" i="15"/>
  <c r="G32" i="15" s="1"/>
  <c r="G8" i="9"/>
  <c r="G32" i="9" s="1"/>
  <c r="H57" i="2"/>
  <c r="G58" i="2"/>
  <c r="G60" i="2" s="1"/>
  <c r="E95" i="15"/>
  <c r="E96" i="15" s="1"/>
  <c r="E97" i="15" s="1"/>
  <c r="E98" i="15" s="1"/>
  <c r="E99" i="15" s="1"/>
  <c r="E100" i="15" s="1"/>
  <c r="E101" i="15" s="1"/>
  <c r="E102" i="15" s="1"/>
  <c r="E103" i="15" s="1"/>
  <c r="E104" i="15" s="1"/>
  <c r="E105" i="15" s="1"/>
  <c r="E106" i="15" s="1"/>
  <c r="E107" i="15" s="1"/>
  <c r="E108" i="15" s="1"/>
  <c r="Z7" i="3"/>
  <c r="AA7" i="3" s="1"/>
  <c r="Y7" i="3"/>
  <c r="G26" i="15"/>
  <c r="G26" i="9"/>
  <c r="E57" i="13"/>
  <c r="D57" i="13" s="1"/>
  <c r="D60" i="13" s="1"/>
  <c r="H108" i="2"/>
  <c r="G109" i="2"/>
  <c r="C95" i="9"/>
  <c r="C96" i="9" s="1"/>
  <c r="C97" i="9" s="1"/>
  <c r="C98" i="9" s="1"/>
  <c r="C99" i="9" s="1"/>
  <c r="C100" i="9" s="1"/>
  <c r="C101" i="9" s="1"/>
  <c r="C102" i="9" s="1"/>
  <c r="C103" i="9" s="1"/>
  <c r="C104" i="9" s="1"/>
  <c r="C105" i="9" s="1"/>
  <c r="C106" i="9" s="1"/>
  <c r="C107" i="9" s="1"/>
  <c r="C108" i="9" s="1"/>
  <c r="F100" i="2"/>
  <c r="G126" i="15"/>
  <c r="G127" i="15"/>
  <c r="G126" i="9"/>
  <c r="G127" i="9"/>
  <c r="L52" i="2"/>
  <c r="L53" i="2" s="1"/>
  <c r="L54" i="2" s="1"/>
  <c r="L39" i="2"/>
  <c r="L40" i="2" s="1"/>
  <c r="L41" i="2" s="1"/>
  <c r="L26" i="2"/>
  <c r="L27" i="2" s="1"/>
  <c r="L28" i="2" s="1"/>
  <c r="L16" i="2"/>
  <c r="L17" i="2" s="1"/>
  <c r="L18" i="2" s="1"/>
  <c r="F209" i="11"/>
  <c r="J208" i="11"/>
  <c r="H32" i="15"/>
  <c r="G125" i="15"/>
  <c r="G125" i="9"/>
  <c r="F65" i="9"/>
  <c r="I49" i="5"/>
  <c r="I52" i="5" s="1"/>
  <c r="AJ54" i="6"/>
  <c r="AK7" i="6"/>
  <c r="I32" i="9"/>
  <c r="F121" i="15"/>
  <c r="F50" i="15" s="1"/>
  <c r="F121" i="9"/>
  <c r="F139" i="9" s="1"/>
  <c r="F157" i="9" s="1"/>
  <c r="H21" i="2"/>
  <c r="G22" i="2"/>
  <c r="G24" i="2" s="1"/>
  <c r="G35" i="2" s="1"/>
  <c r="G38" i="2" s="1"/>
  <c r="J122" i="11"/>
  <c r="F123" i="11"/>
  <c r="F35" i="15"/>
  <c r="F95" i="15"/>
  <c r="F96" i="15" s="1"/>
  <c r="F97" i="15" s="1"/>
  <c r="F98" i="15" s="1"/>
  <c r="F99" i="15" s="1"/>
  <c r="F100" i="15" s="1"/>
  <c r="F101" i="15" s="1"/>
  <c r="F102" i="15" s="1"/>
  <c r="F103" i="15" s="1"/>
  <c r="F104" i="15" s="1"/>
  <c r="F105" i="15" s="1"/>
  <c r="F106" i="15" s="1"/>
  <c r="F107" i="15" s="1"/>
  <c r="F108" i="15" s="1"/>
  <c r="E32" i="15"/>
  <c r="D95" i="15"/>
  <c r="D96" i="15" s="1"/>
  <c r="D97" i="15" s="1"/>
  <c r="D98" i="15" s="1"/>
  <c r="D99" i="15" s="1"/>
  <c r="D100" i="15" s="1"/>
  <c r="D101" i="15" s="1"/>
  <c r="D102" i="15" s="1"/>
  <c r="D103" i="15" s="1"/>
  <c r="D104" i="15" s="1"/>
  <c r="D105" i="15" s="1"/>
  <c r="D106" i="15" s="1"/>
  <c r="D107" i="15" s="1"/>
  <c r="D108" i="15" s="1"/>
  <c r="F102" i="11"/>
  <c r="J101" i="11"/>
  <c r="J66" i="11"/>
  <c r="M49" i="13" s="1"/>
  <c r="O49" i="13" s="1"/>
  <c r="F67" i="11"/>
  <c r="F35" i="9"/>
  <c r="G91" i="2"/>
  <c r="H119" i="2"/>
  <c r="G120" i="2"/>
  <c r="G134" i="15"/>
  <c r="G134" i="9"/>
  <c r="K157" i="2"/>
  <c r="K34" i="2"/>
  <c r="C55" i="15"/>
  <c r="C55" i="9"/>
  <c r="H31" i="2"/>
  <c r="G32" i="2"/>
  <c r="B95" i="9"/>
  <c r="B96" i="9" s="1"/>
  <c r="B97" i="9" s="1"/>
  <c r="B98" i="9" s="1"/>
  <c r="B99" i="9" s="1"/>
  <c r="B100" i="9" s="1"/>
  <c r="B101" i="9" s="1"/>
  <c r="B102" i="9" s="1"/>
  <c r="B103" i="9" s="1"/>
  <c r="B104" i="9" s="1"/>
  <c r="B105" i="9" s="1"/>
  <c r="B106" i="9" s="1"/>
  <c r="B107" i="9" s="1"/>
  <c r="B108" i="9" s="1"/>
  <c r="F169" i="11"/>
  <c r="J168" i="11"/>
  <c r="G130" i="15"/>
  <c r="G130" i="9"/>
  <c r="I95" i="9"/>
  <c r="I96" i="9" s="1"/>
  <c r="I97" i="9" s="1"/>
  <c r="I98" i="9" s="1"/>
  <c r="I99" i="9" s="1"/>
  <c r="I100" i="9" s="1"/>
  <c r="I101" i="9" s="1"/>
  <c r="I102" i="9" s="1"/>
  <c r="I103" i="9" s="1"/>
  <c r="I104" i="9" s="1"/>
  <c r="I105" i="9" s="1"/>
  <c r="I106" i="9" s="1"/>
  <c r="I107" i="9" s="1"/>
  <c r="I108" i="9" s="1"/>
  <c r="E11" i="12"/>
  <c r="E7" i="12"/>
  <c r="E6" i="12"/>
  <c r="E13" i="12"/>
  <c r="E9" i="12"/>
  <c r="E12" i="12"/>
  <c r="E8" i="12"/>
  <c r="F92" i="2"/>
  <c r="G92" i="2" s="1"/>
  <c r="H92" i="2" s="1"/>
  <c r="I92" i="2" s="1"/>
  <c r="J92" i="2" s="1"/>
  <c r="K92" i="2" s="1"/>
  <c r="L92" i="2" s="1"/>
  <c r="M92" i="2" s="1"/>
  <c r="N92" i="2" s="1"/>
  <c r="O92" i="2" s="1"/>
  <c r="P92" i="2" s="1"/>
  <c r="Q92" i="2" s="1"/>
  <c r="R92" i="2" s="1"/>
  <c r="S92" i="2" s="1"/>
  <c r="T92" i="2" s="1"/>
  <c r="U92" i="2" s="1"/>
  <c r="V92" i="2" s="1"/>
  <c r="W92" i="2" s="1"/>
  <c r="X92" i="2" s="1"/>
  <c r="Y92" i="2" s="1"/>
  <c r="Z92" i="2" s="1"/>
  <c r="AA92" i="2" s="1"/>
  <c r="AB92" i="2" s="1"/>
  <c r="AC92" i="2" s="1"/>
  <c r="AD92" i="2" s="1"/>
  <c r="AE92" i="2" s="1"/>
  <c r="AF92" i="2" s="1"/>
  <c r="AG92" i="2" s="1"/>
  <c r="AH92" i="2" s="1"/>
  <c r="AI92" i="2" s="1"/>
  <c r="F189" i="11"/>
  <c r="J188" i="11"/>
  <c r="F44" i="2"/>
  <c r="E45" i="2"/>
  <c r="E47" i="2" s="1"/>
  <c r="E48" i="2" s="1"/>
  <c r="E51" i="2" s="1"/>
  <c r="E93" i="2"/>
  <c r="E94" i="2" s="1"/>
  <c r="K159" i="2"/>
  <c r="E55" i="15"/>
  <c r="E55" i="9"/>
  <c r="E20" i="12"/>
  <c r="E27" i="12"/>
  <c r="E23" i="12"/>
  <c r="E26" i="12"/>
  <c r="E22" i="12"/>
  <c r="E25" i="12"/>
  <c r="E21" i="12"/>
  <c r="H121" i="15"/>
  <c r="H50" i="15" s="1"/>
  <c r="H121" i="9"/>
  <c r="H132" i="2"/>
  <c r="G133" i="2"/>
  <c r="E95" i="9"/>
  <c r="E96" i="9" s="1"/>
  <c r="E97" i="9" s="1"/>
  <c r="E98" i="9" s="1"/>
  <c r="E99" i="9" s="1"/>
  <c r="E100" i="9" s="1"/>
  <c r="E101" i="9" s="1"/>
  <c r="E102" i="9" s="1"/>
  <c r="E103" i="9" s="1"/>
  <c r="E104" i="9" s="1"/>
  <c r="E105" i="9" s="1"/>
  <c r="E106" i="9" s="1"/>
  <c r="E107" i="9" s="1"/>
  <c r="E108" i="9" s="1"/>
  <c r="J33" i="9"/>
  <c r="J139" i="9"/>
  <c r="J157" i="9" s="1"/>
  <c r="J151" i="11"/>
  <c r="F152" i="11"/>
  <c r="K158" i="2"/>
  <c r="D55" i="15"/>
  <c r="D55" i="9"/>
  <c r="I95" i="15"/>
  <c r="I96" i="15" s="1"/>
  <c r="I97" i="15" s="1"/>
  <c r="I98" i="15" s="1"/>
  <c r="I99" i="15" s="1"/>
  <c r="I100" i="15" s="1"/>
  <c r="I101" i="15" s="1"/>
  <c r="I102" i="15" s="1"/>
  <c r="I103" i="15" s="1"/>
  <c r="I104" i="15" s="1"/>
  <c r="I105" i="15" s="1"/>
  <c r="I106" i="15" s="1"/>
  <c r="I107" i="15" s="1"/>
  <c r="I108" i="15" s="1"/>
  <c r="B95" i="15"/>
  <c r="B96" i="15" s="1"/>
  <c r="B97" i="15" s="1"/>
  <c r="B98" i="15" s="1"/>
  <c r="B99" i="15" s="1"/>
  <c r="B100" i="15" s="1"/>
  <c r="B101" i="15" s="1"/>
  <c r="B102" i="15" s="1"/>
  <c r="B103" i="15" s="1"/>
  <c r="B104" i="15" s="1"/>
  <c r="B105" i="15" s="1"/>
  <c r="B106" i="15" s="1"/>
  <c r="B107" i="15" s="1"/>
  <c r="B108" i="15" s="1"/>
  <c r="C24" i="12"/>
  <c r="E24" i="12" s="1"/>
  <c r="C10" i="12"/>
  <c r="E10" i="12" s="1"/>
  <c r="J44" i="11"/>
  <c r="F45" i="11"/>
  <c r="F95" i="9"/>
  <c r="F96" i="9" s="1"/>
  <c r="F97" i="9" s="1"/>
  <c r="F98" i="9" s="1"/>
  <c r="F99" i="9" s="1"/>
  <c r="F100" i="9" s="1"/>
  <c r="F101" i="9" s="1"/>
  <c r="F102" i="9" s="1"/>
  <c r="F103" i="9" s="1"/>
  <c r="F104" i="9" s="1"/>
  <c r="F105" i="9" s="1"/>
  <c r="F106" i="9" s="1"/>
  <c r="F107" i="9" s="1"/>
  <c r="F108" i="9" s="1"/>
  <c r="F109" i="9" s="1"/>
  <c r="F117" i="9" s="1"/>
  <c r="G133" i="15"/>
  <c r="G133" i="9"/>
  <c r="J33" i="15"/>
  <c r="J139" i="15"/>
  <c r="J157" i="15" s="1"/>
  <c r="K48" i="13" l="1"/>
  <c r="C77" i="13" s="1"/>
  <c r="F110" i="2"/>
  <c r="F114" i="2" s="1"/>
  <c r="F121" i="2"/>
  <c r="F125" i="2" s="1"/>
  <c r="F73" i="2"/>
  <c r="F76" i="2" s="1"/>
  <c r="F35" i="2"/>
  <c r="F38" i="2" s="1"/>
  <c r="S25" i="13"/>
  <c r="J136" i="11"/>
  <c r="F137" i="11"/>
  <c r="R26" i="13"/>
  <c r="R27" i="13" s="1"/>
  <c r="R28" i="13" s="1"/>
  <c r="R29" i="13" s="1"/>
  <c r="R30" i="13" s="1"/>
  <c r="R31" i="13" s="1"/>
  <c r="R32" i="13" s="1"/>
  <c r="R33" i="13" s="1"/>
  <c r="R34" i="13" s="1"/>
  <c r="R35" i="13" s="1"/>
  <c r="R36" i="13" s="1"/>
  <c r="R37" i="13" s="1"/>
  <c r="R38" i="13" s="1"/>
  <c r="R39" i="13" s="1"/>
  <c r="R40" i="13" s="1"/>
  <c r="B95" i="13" s="1"/>
  <c r="H109" i="15"/>
  <c r="H117" i="15" s="1"/>
  <c r="H69" i="9"/>
  <c r="H84" i="9" s="1"/>
  <c r="H65" i="9"/>
  <c r="G159" i="2"/>
  <c r="E50" i="9"/>
  <c r="F58" i="2"/>
  <c r="F60" i="2" s="1"/>
  <c r="F61" i="2" s="1"/>
  <c r="F64" i="2" s="1"/>
  <c r="E50" i="15"/>
  <c r="G158" i="2"/>
  <c r="D50" i="15"/>
  <c r="D69" i="15" s="1"/>
  <c r="D50" i="9"/>
  <c r="D69" i="9" s="1"/>
  <c r="D9" i="9"/>
  <c r="D32" i="9" s="1"/>
  <c r="C9" i="9"/>
  <c r="C32" i="9" s="1"/>
  <c r="C139" i="9" s="1"/>
  <c r="C157" i="9" s="1"/>
  <c r="B9" i="9"/>
  <c r="B32" i="9" s="1"/>
  <c r="E9" i="9"/>
  <c r="E32" i="9" s="1"/>
  <c r="E33" i="9" s="1"/>
  <c r="H139" i="9"/>
  <c r="H157" i="9" s="1"/>
  <c r="G73" i="2"/>
  <c r="G76" i="2" s="1"/>
  <c r="C139" i="15"/>
  <c r="C157" i="15" s="1"/>
  <c r="J30" i="13"/>
  <c r="F109" i="15"/>
  <c r="F117" i="15" s="1"/>
  <c r="I33" i="15"/>
  <c r="I140" i="15" s="1"/>
  <c r="I158" i="15" s="1"/>
  <c r="G121" i="2"/>
  <c r="G125" i="2" s="1"/>
  <c r="G110" i="2"/>
  <c r="G114" i="2" s="1"/>
  <c r="I109" i="9"/>
  <c r="I117" i="9" s="1"/>
  <c r="B109" i="9"/>
  <c r="B117" i="9" s="1"/>
  <c r="D109" i="15"/>
  <c r="D117" i="15" s="1"/>
  <c r="E109" i="15"/>
  <c r="E117" i="15" s="1"/>
  <c r="C109" i="15"/>
  <c r="C117" i="15" s="1"/>
  <c r="C74" i="9"/>
  <c r="I84" i="9"/>
  <c r="F93" i="2"/>
  <c r="F94" i="2" s="1"/>
  <c r="H69" i="15"/>
  <c r="J189" i="11"/>
  <c r="F190" i="11"/>
  <c r="E33" i="15"/>
  <c r="I21" i="2"/>
  <c r="H22" i="2"/>
  <c r="H24" i="2" s="1"/>
  <c r="J49" i="5"/>
  <c r="J52" i="5" s="1"/>
  <c r="F210" i="11"/>
  <c r="J209" i="11"/>
  <c r="C109" i="9"/>
  <c r="C117" i="9" s="1"/>
  <c r="I57" i="2"/>
  <c r="H58" i="2"/>
  <c r="H60" i="2" s="1"/>
  <c r="C140" i="15"/>
  <c r="C34" i="15"/>
  <c r="B70" i="9"/>
  <c r="B71" i="9" s="1"/>
  <c r="B72" i="9" s="1"/>
  <c r="B73" i="9" s="1"/>
  <c r="B74" i="9" s="1"/>
  <c r="B75" i="9" s="1"/>
  <c r="B76" i="9" s="1"/>
  <c r="B77" i="9" s="1"/>
  <c r="B78" i="9" s="1"/>
  <c r="B79" i="9" s="1"/>
  <c r="B80" i="9" s="1"/>
  <c r="B81" i="9" s="1"/>
  <c r="B82" i="9" s="1"/>
  <c r="B83" i="9" s="1"/>
  <c r="B109" i="15"/>
  <c r="B117" i="15" s="1"/>
  <c r="E109" i="9"/>
  <c r="E117" i="9" s="1"/>
  <c r="F170" i="11"/>
  <c r="J169" i="11"/>
  <c r="I119" i="2"/>
  <c r="H120" i="2"/>
  <c r="F139" i="15"/>
  <c r="F157" i="15" s="1"/>
  <c r="B56" i="15"/>
  <c r="B56" i="9"/>
  <c r="I108" i="2"/>
  <c r="H109" i="2"/>
  <c r="G33" i="15"/>
  <c r="B140" i="15"/>
  <c r="B158" i="15" s="1"/>
  <c r="B34" i="15"/>
  <c r="E97" i="2"/>
  <c r="E98" i="2" s="1"/>
  <c r="E101" i="2" s="1"/>
  <c r="G93" i="2"/>
  <c r="G94" i="2" s="1"/>
  <c r="H91" i="2"/>
  <c r="L157" i="2"/>
  <c r="L34" i="2"/>
  <c r="C56" i="15"/>
  <c r="C56" i="9"/>
  <c r="D109" i="9"/>
  <c r="D117" i="9" s="1"/>
  <c r="F68" i="11"/>
  <c r="J67" i="11"/>
  <c r="M50" i="13" s="1"/>
  <c r="O50" i="13" s="1"/>
  <c r="F103" i="11"/>
  <c r="J102" i="11"/>
  <c r="F36" i="15"/>
  <c r="L158" i="2"/>
  <c r="D56" i="15"/>
  <c r="D56" i="9"/>
  <c r="R48" i="13"/>
  <c r="D61" i="13"/>
  <c r="M52" i="2"/>
  <c r="M53" i="2" s="1"/>
  <c r="M54" i="2" s="1"/>
  <c r="M26" i="2"/>
  <c r="M27" i="2" s="1"/>
  <c r="M28" i="2" s="1"/>
  <c r="M39" i="2"/>
  <c r="M40" i="2" s="1"/>
  <c r="M41" i="2" s="1"/>
  <c r="M16" i="2"/>
  <c r="M17" i="2" s="1"/>
  <c r="M18" i="2" s="1"/>
  <c r="G33" i="9"/>
  <c r="I109" i="15"/>
  <c r="I117" i="15" s="1"/>
  <c r="G134" i="2"/>
  <c r="G44" i="2"/>
  <c r="L4" i="3"/>
  <c r="N4" i="3" s="1"/>
  <c r="D9" i="15"/>
  <c r="D32" i="15" s="1"/>
  <c r="F45" i="2"/>
  <c r="F47" i="2" s="1"/>
  <c r="F48" i="2" s="1"/>
  <c r="F51" i="2" s="1"/>
  <c r="F122" i="15"/>
  <c r="F51" i="15" s="1"/>
  <c r="F122" i="9"/>
  <c r="F140" i="9" s="1"/>
  <c r="F158" i="9" s="1"/>
  <c r="F124" i="11"/>
  <c r="J123" i="11"/>
  <c r="I33" i="9"/>
  <c r="I139" i="9"/>
  <c r="I157" i="9" s="1"/>
  <c r="L159" i="2"/>
  <c r="E56" i="15"/>
  <c r="E56" i="9"/>
  <c r="G29" i="9"/>
  <c r="G90" i="9"/>
  <c r="G94" i="9" s="1"/>
  <c r="H34" i="9"/>
  <c r="F46" i="11"/>
  <c r="J45" i="11"/>
  <c r="F153" i="11"/>
  <c r="J152" i="11"/>
  <c r="J140" i="9"/>
  <c r="J158" i="9" s="1"/>
  <c r="J34" i="9"/>
  <c r="I132" i="2"/>
  <c r="H133" i="2"/>
  <c r="I31" i="2"/>
  <c r="H32" i="2"/>
  <c r="F36" i="9"/>
  <c r="AK54" i="6"/>
  <c r="AT7" i="6"/>
  <c r="AT54" i="6" s="1"/>
  <c r="H33" i="15"/>
  <c r="H139" i="15"/>
  <c r="H157" i="15" s="1"/>
  <c r="G90" i="15"/>
  <c r="G94" i="15" s="1"/>
  <c r="G29" i="15"/>
  <c r="J140" i="15"/>
  <c r="J158" i="15" s="1"/>
  <c r="J34" i="15"/>
  <c r="H122" i="15"/>
  <c r="H51" i="15" s="1"/>
  <c r="H70" i="15" s="1"/>
  <c r="H122" i="9"/>
  <c r="H140" i="9" s="1"/>
  <c r="G61" i="2"/>
  <c r="G64" i="2" s="1"/>
  <c r="B39" i="13"/>
  <c r="K49" i="13" l="1"/>
  <c r="R49" i="13"/>
  <c r="R50" i="13" s="1"/>
  <c r="E69" i="9"/>
  <c r="E70" i="9" s="1"/>
  <c r="E71" i="9" s="1"/>
  <c r="E72" i="9" s="1"/>
  <c r="E73" i="9" s="1"/>
  <c r="E74" i="9" s="1"/>
  <c r="E75" i="9" s="1"/>
  <c r="J25" i="13"/>
  <c r="J137" i="11"/>
  <c r="F138" i="11"/>
  <c r="S26" i="13"/>
  <c r="S27" i="13" s="1"/>
  <c r="D70" i="9"/>
  <c r="D71" i="9" s="1"/>
  <c r="D72" i="9" s="1"/>
  <c r="D73" i="9" s="1"/>
  <c r="D74" i="9" s="1"/>
  <c r="D75" i="9" s="1"/>
  <c r="E139" i="15"/>
  <c r="E157" i="15" s="1"/>
  <c r="D70" i="15"/>
  <c r="D71" i="15" s="1"/>
  <c r="D72" i="15" s="1"/>
  <c r="D73" i="15" s="1"/>
  <c r="D74" i="15" s="1"/>
  <c r="D75" i="15" s="1"/>
  <c r="K25" i="13"/>
  <c r="C33" i="9"/>
  <c r="C140" i="9" s="1"/>
  <c r="C158" i="9" s="1"/>
  <c r="E139" i="9"/>
  <c r="E157" i="9" s="1"/>
  <c r="J31" i="13"/>
  <c r="H134" i="2"/>
  <c r="H158" i="9"/>
  <c r="I34" i="15"/>
  <c r="I35" i="15" s="1"/>
  <c r="C75" i="9"/>
  <c r="C158" i="15"/>
  <c r="H61" i="2"/>
  <c r="H64" i="2" s="1"/>
  <c r="G5" i="9"/>
  <c r="G6" i="9" s="1"/>
  <c r="G5" i="15"/>
  <c r="G6" i="15" s="1"/>
  <c r="G7" i="3"/>
  <c r="F32" i="1" s="1"/>
  <c r="E32" i="1" s="1"/>
  <c r="C69" i="15" s="1"/>
  <c r="C70" i="15" s="1"/>
  <c r="C71" i="15" s="1"/>
  <c r="C72" i="15" s="1"/>
  <c r="C73" i="15" s="1"/>
  <c r="C74" i="15" s="1"/>
  <c r="C75" i="15" s="1"/>
  <c r="K7" i="3"/>
  <c r="N7" i="3" s="1"/>
  <c r="F37" i="9"/>
  <c r="G95" i="15"/>
  <c r="G96" i="15" s="1"/>
  <c r="G97" i="15" s="1"/>
  <c r="G98" i="15" s="1"/>
  <c r="G99" i="15" s="1"/>
  <c r="G100" i="15" s="1"/>
  <c r="G101" i="15" s="1"/>
  <c r="G102" i="15" s="1"/>
  <c r="G103" i="15" s="1"/>
  <c r="G104" i="15" s="1"/>
  <c r="G105" i="15" s="1"/>
  <c r="G106" i="15" s="1"/>
  <c r="G107" i="15" s="1"/>
  <c r="G108" i="15" s="1"/>
  <c r="J141" i="9"/>
  <c r="J159" i="9" s="1"/>
  <c r="J35" i="9"/>
  <c r="H35" i="9"/>
  <c r="D33" i="9"/>
  <c r="D139" i="9"/>
  <c r="D157" i="9" s="1"/>
  <c r="H35" i="2"/>
  <c r="H38" i="2" s="1"/>
  <c r="H73" i="2"/>
  <c r="H76" i="2" s="1"/>
  <c r="H123" i="15"/>
  <c r="H52" i="15" s="1"/>
  <c r="H71" i="15" s="1"/>
  <c r="H123" i="9"/>
  <c r="H141" i="9" s="1"/>
  <c r="D33" i="15"/>
  <c r="D139" i="15"/>
  <c r="D157" i="15" s="1"/>
  <c r="F97" i="2"/>
  <c r="F98" i="2" s="1"/>
  <c r="F101" i="2" s="1"/>
  <c r="G50" i="15"/>
  <c r="G50" i="9"/>
  <c r="J57" i="2"/>
  <c r="I58" i="2"/>
  <c r="I60" i="2" s="1"/>
  <c r="F104" i="11"/>
  <c r="J103" i="11"/>
  <c r="H93" i="2"/>
  <c r="H94" i="2" s="1"/>
  <c r="I91" i="2"/>
  <c r="E140" i="9"/>
  <c r="E34" i="9"/>
  <c r="F171" i="11"/>
  <c r="J170" i="11"/>
  <c r="J141" i="15"/>
  <c r="J159" i="15" s="1"/>
  <c r="J35" i="15"/>
  <c r="J31" i="2"/>
  <c r="I32" i="2"/>
  <c r="H44" i="2"/>
  <c r="G45" i="2"/>
  <c r="G47" i="2" s="1"/>
  <c r="G48" i="2" s="1"/>
  <c r="G51" i="2" s="1"/>
  <c r="N39" i="2"/>
  <c r="N40" i="2" s="1"/>
  <c r="N41" i="2" s="1"/>
  <c r="N26" i="2"/>
  <c r="N27" i="2" s="1"/>
  <c r="N28" i="2" s="1"/>
  <c r="N52" i="2"/>
  <c r="N53" i="2" s="1"/>
  <c r="N54" i="2" s="1"/>
  <c r="N16" i="2"/>
  <c r="N17" i="2" s="1"/>
  <c r="N18" i="2" s="1"/>
  <c r="F123" i="15"/>
  <c r="F52" i="15" s="1"/>
  <c r="F123" i="9"/>
  <c r="F141" i="9" s="1"/>
  <c r="F159" i="9" s="1"/>
  <c r="G162" i="2"/>
  <c r="G97" i="2"/>
  <c r="G98" i="2" s="1"/>
  <c r="G101" i="2" s="1"/>
  <c r="G51" i="15"/>
  <c r="G51" i="9"/>
  <c r="C141" i="15"/>
  <c r="C35" i="15"/>
  <c r="E140" i="15"/>
  <c r="E34" i="15"/>
  <c r="B33" i="9"/>
  <c r="B139" i="9"/>
  <c r="B157" i="9" s="1"/>
  <c r="F47" i="11"/>
  <c r="J46" i="11"/>
  <c r="J124" i="11"/>
  <c r="F125" i="11"/>
  <c r="B57" i="15"/>
  <c r="B57" i="9"/>
  <c r="J68" i="11"/>
  <c r="M51" i="13" s="1"/>
  <c r="O51" i="13" s="1"/>
  <c r="F69" i="11"/>
  <c r="H110" i="2"/>
  <c r="H114" i="2" s="1"/>
  <c r="H34" i="15"/>
  <c r="H140" i="15"/>
  <c r="H158" i="15" s="1"/>
  <c r="G95" i="9"/>
  <c r="G96" i="9" s="1"/>
  <c r="G97" i="9" s="1"/>
  <c r="G98" i="9" s="1"/>
  <c r="G99" i="9" s="1"/>
  <c r="G100" i="9" s="1"/>
  <c r="G101" i="9" s="1"/>
  <c r="G102" i="9" s="1"/>
  <c r="G103" i="9" s="1"/>
  <c r="G104" i="9" s="1"/>
  <c r="G105" i="9" s="1"/>
  <c r="G106" i="9" s="1"/>
  <c r="G107" i="9" s="1"/>
  <c r="G108" i="9" s="1"/>
  <c r="G34" i="9"/>
  <c r="B141" i="15"/>
  <c r="B159" i="15" s="1"/>
  <c r="B35" i="15"/>
  <c r="M158" i="2"/>
  <c r="D57" i="15"/>
  <c r="D57" i="9"/>
  <c r="J108" i="2"/>
  <c r="I109" i="2"/>
  <c r="F211" i="11"/>
  <c r="J210" i="11"/>
  <c r="I140" i="9"/>
  <c r="I158" i="9" s="1"/>
  <c r="I34" i="9"/>
  <c r="S48" i="13"/>
  <c r="J21" i="2"/>
  <c r="I22" i="2"/>
  <c r="I24" i="2" s="1"/>
  <c r="J153" i="11"/>
  <c r="F154" i="11"/>
  <c r="B40" i="13"/>
  <c r="B44" i="13" s="1"/>
  <c r="B41" i="13"/>
  <c r="B45" i="13" s="1"/>
  <c r="J132" i="2"/>
  <c r="I133" i="2"/>
  <c r="F140" i="15"/>
  <c r="F158" i="15" s="1"/>
  <c r="M157" i="2"/>
  <c r="M34" i="2"/>
  <c r="C57" i="15"/>
  <c r="C57" i="9"/>
  <c r="H121" i="2"/>
  <c r="H125" i="2" s="1"/>
  <c r="B84" i="9"/>
  <c r="M159" i="2"/>
  <c r="E57" i="15"/>
  <c r="E57" i="9"/>
  <c r="F37" i="15"/>
  <c r="G34" i="15"/>
  <c r="K50" i="13" s="1"/>
  <c r="J119" i="2"/>
  <c r="I120" i="2"/>
  <c r="K49" i="5"/>
  <c r="K52" i="5" s="1"/>
  <c r="F191" i="11"/>
  <c r="J190" i="11"/>
  <c r="G140" i="15" l="1"/>
  <c r="I82" i="15"/>
  <c r="I83" i="15"/>
  <c r="I69" i="15"/>
  <c r="I74" i="15"/>
  <c r="I76" i="15"/>
  <c r="I79" i="15"/>
  <c r="I71" i="15"/>
  <c r="I72" i="15"/>
  <c r="I77" i="15"/>
  <c r="I70" i="15"/>
  <c r="I80" i="15"/>
  <c r="I81" i="15"/>
  <c r="I75" i="15"/>
  <c r="I78" i="15"/>
  <c r="I73" i="15"/>
  <c r="E69" i="15"/>
  <c r="E70" i="15" s="1"/>
  <c r="E71" i="15" s="1"/>
  <c r="E72" i="15" s="1"/>
  <c r="E73" i="15" s="1"/>
  <c r="E74" i="15" s="1"/>
  <c r="E75" i="15" s="1"/>
  <c r="E76" i="15" s="1"/>
  <c r="B69" i="15"/>
  <c r="B76" i="13"/>
  <c r="B33" i="13"/>
  <c r="R51" i="13"/>
  <c r="F69" i="15"/>
  <c r="J49" i="13"/>
  <c r="L49" i="13" s="1"/>
  <c r="J48" i="13"/>
  <c r="F139" i="11"/>
  <c r="J138" i="11"/>
  <c r="B77" i="13"/>
  <c r="E158" i="15"/>
  <c r="F70" i="15"/>
  <c r="C76" i="15"/>
  <c r="B100" i="13"/>
  <c r="K26" i="13"/>
  <c r="E158" i="9"/>
  <c r="C34" i="9"/>
  <c r="C141" i="9" s="1"/>
  <c r="C159" i="9" s="1"/>
  <c r="I141" i="15"/>
  <c r="I159" i="15" s="1"/>
  <c r="H159" i="9"/>
  <c r="I121" i="2"/>
  <c r="I125" i="2" s="1"/>
  <c r="C159" i="15"/>
  <c r="D76" i="9"/>
  <c r="D31" i="13"/>
  <c r="D32" i="13" s="1"/>
  <c r="I110" i="2"/>
  <c r="I114" i="2" s="1"/>
  <c r="G109" i="9"/>
  <c r="G117" i="9" s="1"/>
  <c r="D76" i="15"/>
  <c r="F124" i="15"/>
  <c r="F53" i="15" s="1"/>
  <c r="F124" i="9"/>
  <c r="F142" i="9" s="1"/>
  <c r="F160" i="9" s="1"/>
  <c r="F212" i="11"/>
  <c r="J211" i="11"/>
  <c r="E76" i="9"/>
  <c r="E141" i="9"/>
  <c r="E35" i="9"/>
  <c r="O26" i="2"/>
  <c r="O27" i="2" s="1"/>
  <c r="O28" i="2" s="1"/>
  <c r="O52" i="2"/>
  <c r="O53" i="2" s="1"/>
  <c r="O54" i="2" s="1"/>
  <c r="O39" i="2"/>
  <c r="O40" i="2" s="1"/>
  <c r="O41" i="2" s="1"/>
  <c r="O16" i="2"/>
  <c r="O17" i="2" s="1"/>
  <c r="O18" i="2" s="1"/>
  <c r="K31" i="2"/>
  <c r="J32" i="2"/>
  <c r="G69" i="9"/>
  <c r="G139" i="9"/>
  <c r="G157" i="9" s="1"/>
  <c r="H36" i="9"/>
  <c r="S28" i="13"/>
  <c r="F71" i="15"/>
  <c r="F141" i="15"/>
  <c r="F159" i="15" s="1"/>
  <c r="K119" i="2"/>
  <c r="J120" i="2"/>
  <c r="F38" i="15"/>
  <c r="K21" i="2"/>
  <c r="J22" i="2"/>
  <c r="J24" i="2" s="1"/>
  <c r="G35" i="9"/>
  <c r="C76" i="9"/>
  <c r="S49" i="13"/>
  <c r="G140" i="9"/>
  <c r="B140" i="9"/>
  <c r="B158" i="9" s="1"/>
  <c r="B34" i="9"/>
  <c r="E141" i="15"/>
  <c r="E35" i="15"/>
  <c r="B58" i="15"/>
  <c r="B58" i="9"/>
  <c r="J142" i="15"/>
  <c r="J160" i="15" s="1"/>
  <c r="J36" i="15"/>
  <c r="I93" i="2"/>
  <c r="I94" i="2" s="1"/>
  <c r="J91" i="2"/>
  <c r="G69" i="15"/>
  <c r="G139" i="15"/>
  <c r="G157" i="15" s="1"/>
  <c r="J142" i="9"/>
  <c r="J160" i="9" s="1"/>
  <c r="J36" i="9"/>
  <c r="F126" i="11"/>
  <c r="J125" i="11"/>
  <c r="N159" i="2"/>
  <c r="E58" i="15"/>
  <c r="E58" i="9"/>
  <c r="H162" i="2"/>
  <c r="H97" i="2"/>
  <c r="H98" i="2" s="1"/>
  <c r="H101" i="2" s="1"/>
  <c r="G52" i="15"/>
  <c r="J50" i="13" s="1"/>
  <c r="L50" i="13" s="1"/>
  <c r="G52" i="9"/>
  <c r="H124" i="15"/>
  <c r="H53" i="15" s="1"/>
  <c r="H72" i="15" s="1"/>
  <c r="H124" i="9"/>
  <c r="H142" i="9" s="1"/>
  <c r="G35" i="15"/>
  <c r="K51" i="13" s="1"/>
  <c r="I134" i="2"/>
  <c r="K108" i="2"/>
  <c r="J109" i="2"/>
  <c r="N157" i="2"/>
  <c r="N34" i="2"/>
  <c r="C58" i="15"/>
  <c r="C58" i="9"/>
  <c r="D140" i="9"/>
  <c r="D158" i="9" s="1"/>
  <c r="D34" i="9"/>
  <c r="G109" i="15"/>
  <c r="G117" i="15" s="1"/>
  <c r="K132" i="2"/>
  <c r="J133" i="2"/>
  <c r="I141" i="9"/>
  <c r="I159" i="9" s="1"/>
  <c r="I35" i="9"/>
  <c r="J191" i="11"/>
  <c r="F192" i="11"/>
  <c r="J32" i="13"/>
  <c r="F155" i="11"/>
  <c r="J154" i="11"/>
  <c r="C142" i="15"/>
  <c r="C36" i="15"/>
  <c r="N158" i="2"/>
  <c r="D58" i="15"/>
  <c r="D58" i="9"/>
  <c r="F105" i="11"/>
  <c r="J104" i="11"/>
  <c r="B142" i="15"/>
  <c r="B160" i="15" s="1"/>
  <c r="B36" i="15"/>
  <c r="H35" i="15"/>
  <c r="H141" i="15"/>
  <c r="H159" i="15" s="1"/>
  <c r="F70" i="11"/>
  <c r="J69" i="11"/>
  <c r="M52" i="13" s="1"/>
  <c r="O52" i="13" s="1"/>
  <c r="J47" i="11"/>
  <c r="F48" i="11"/>
  <c r="I61" i="2"/>
  <c r="I64" i="2" s="1"/>
  <c r="D140" i="15"/>
  <c r="D158" i="15" s="1"/>
  <c r="D34" i="15"/>
  <c r="F38" i="9"/>
  <c r="L49" i="5"/>
  <c r="L52" i="5" s="1"/>
  <c r="I44" i="2"/>
  <c r="H45" i="2"/>
  <c r="H47" i="2" s="1"/>
  <c r="H48" i="2" s="1"/>
  <c r="H51" i="2" s="1"/>
  <c r="F172" i="11"/>
  <c r="J171" i="11"/>
  <c r="K57" i="2"/>
  <c r="J58" i="2"/>
  <c r="J60" i="2" s="1"/>
  <c r="I142" i="15"/>
  <c r="I36" i="15"/>
  <c r="I35" i="2"/>
  <c r="I38" i="2" s="1"/>
  <c r="I73" i="2"/>
  <c r="I76" i="2" s="1"/>
  <c r="G158" i="15" l="1"/>
  <c r="I84" i="15"/>
  <c r="B70" i="15"/>
  <c r="B71" i="15" s="1"/>
  <c r="B72" i="15" s="1"/>
  <c r="B73" i="15" s="1"/>
  <c r="B74" i="15" s="1"/>
  <c r="B75" i="15" s="1"/>
  <c r="B76" i="15" s="1"/>
  <c r="B77" i="15" s="1"/>
  <c r="B78" i="15" s="1"/>
  <c r="B79" i="15" s="1"/>
  <c r="B80" i="15" s="1"/>
  <c r="B81" i="15" s="1"/>
  <c r="B82" i="15" s="1"/>
  <c r="B83" i="15" s="1"/>
  <c r="J134" i="2"/>
  <c r="R52" i="13"/>
  <c r="E159" i="15"/>
  <c r="J139" i="11"/>
  <c r="F140" i="11"/>
  <c r="C76" i="13"/>
  <c r="C78" i="13" s="1"/>
  <c r="L48" i="13"/>
  <c r="P48" i="13"/>
  <c r="B101" i="13"/>
  <c r="L26" i="13"/>
  <c r="J33" i="13"/>
  <c r="C77" i="15"/>
  <c r="J61" i="2"/>
  <c r="J64" i="2" s="1"/>
  <c r="E159" i="9"/>
  <c r="K27" i="13"/>
  <c r="I160" i="15"/>
  <c r="C35" i="9"/>
  <c r="C142" i="9" s="1"/>
  <c r="C160" i="9" s="1"/>
  <c r="D77" i="15"/>
  <c r="H160" i="9"/>
  <c r="E77" i="15"/>
  <c r="C160" i="15"/>
  <c r="C101" i="13"/>
  <c r="D33" i="13"/>
  <c r="C100" i="13"/>
  <c r="C70" i="13"/>
  <c r="D77" i="9"/>
  <c r="G158" i="9"/>
  <c r="G141" i="15"/>
  <c r="G70" i="9"/>
  <c r="G71" i="9" s="1"/>
  <c r="B143" i="15"/>
  <c r="B161" i="15" s="1"/>
  <c r="B37" i="15"/>
  <c r="J73" i="2"/>
  <c r="J76" i="2" s="1"/>
  <c r="J35" i="2"/>
  <c r="J38" i="2" s="1"/>
  <c r="F72" i="15"/>
  <c r="F142" i="15"/>
  <c r="F160" i="15" s="1"/>
  <c r="I143" i="15"/>
  <c r="I37" i="15"/>
  <c r="G70" i="15"/>
  <c r="G71" i="15" s="1"/>
  <c r="S50" i="13"/>
  <c r="L21" i="2"/>
  <c r="K22" i="2"/>
  <c r="K24" i="2" s="1"/>
  <c r="S29" i="13"/>
  <c r="L31" i="2"/>
  <c r="K32" i="2"/>
  <c r="H125" i="15"/>
  <c r="H54" i="15" s="1"/>
  <c r="H125" i="9"/>
  <c r="H143" i="9" s="1"/>
  <c r="L108" i="2"/>
  <c r="K109" i="2"/>
  <c r="G36" i="9"/>
  <c r="J44" i="2"/>
  <c r="I45" i="2"/>
  <c r="I47" i="2" s="1"/>
  <c r="I48" i="2" s="1"/>
  <c r="I51" i="2" s="1"/>
  <c r="I142" i="9"/>
  <c r="I160" i="9" s="1"/>
  <c r="I36" i="9"/>
  <c r="D141" i="9"/>
  <c r="D159" i="9" s="1"/>
  <c r="D35" i="9"/>
  <c r="E142" i="9"/>
  <c r="E36" i="9"/>
  <c r="J48" i="11"/>
  <c r="F49" i="11"/>
  <c r="C102" i="13"/>
  <c r="J93" i="2"/>
  <c r="J94" i="2" s="1"/>
  <c r="K91" i="2"/>
  <c r="F39" i="15"/>
  <c r="B59" i="15"/>
  <c r="B59" i="9"/>
  <c r="E77" i="9"/>
  <c r="F106" i="11"/>
  <c r="J105" i="11"/>
  <c r="M49" i="5"/>
  <c r="M52" i="5" s="1"/>
  <c r="J155" i="11"/>
  <c r="F156" i="11"/>
  <c r="J126" i="11"/>
  <c r="F127" i="11"/>
  <c r="I162" i="2"/>
  <c r="I97" i="2"/>
  <c r="I98" i="2" s="1"/>
  <c r="I101" i="2" s="1"/>
  <c r="G53" i="15"/>
  <c r="G53" i="9"/>
  <c r="G142" i="9" s="1"/>
  <c r="H37" i="9"/>
  <c r="P52" i="2"/>
  <c r="P53" i="2" s="1"/>
  <c r="P54" i="2" s="1"/>
  <c r="P16" i="2"/>
  <c r="P17" i="2" s="1"/>
  <c r="P18" i="2" s="1"/>
  <c r="P39" i="2"/>
  <c r="P40" i="2" s="1"/>
  <c r="P41" i="2" s="1"/>
  <c r="P26" i="2"/>
  <c r="P27" i="2" s="1"/>
  <c r="P28" i="2" s="1"/>
  <c r="L57" i="2"/>
  <c r="K58" i="2"/>
  <c r="K60" i="2" s="1"/>
  <c r="F39" i="9"/>
  <c r="F125" i="15"/>
  <c r="F54" i="15" s="1"/>
  <c r="F125" i="9"/>
  <c r="F143" i="9" s="1"/>
  <c r="F161" i="9" s="1"/>
  <c r="C143" i="15"/>
  <c r="C37" i="15"/>
  <c r="L132" i="2"/>
  <c r="K133" i="2"/>
  <c r="J143" i="9"/>
  <c r="J161" i="9" s="1"/>
  <c r="J37" i="9"/>
  <c r="E36" i="15"/>
  <c r="E142" i="15"/>
  <c r="C77" i="9"/>
  <c r="J121" i="2"/>
  <c r="J125" i="2" s="1"/>
  <c r="O158" i="2"/>
  <c r="D59" i="15"/>
  <c r="D59" i="9"/>
  <c r="F213" i="11"/>
  <c r="J212" i="11"/>
  <c r="H142" i="15"/>
  <c r="H160" i="15" s="1"/>
  <c r="H36" i="15"/>
  <c r="L119" i="2"/>
  <c r="K120" i="2"/>
  <c r="J70" i="11"/>
  <c r="M53" i="13" s="1"/>
  <c r="O53" i="13" s="1"/>
  <c r="F71" i="11"/>
  <c r="J143" i="15"/>
  <c r="J161" i="15" s="1"/>
  <c r="J37" i="15"/>
  <c r="O159" i="2"/>
  <c r="E59" i="15"/>
  <c r="E59" i="9"/>
  <c r="F173" i="11"/>
  <c r="J172" i="11"/>
  <c r="D141" i="15"/>
  <c r="D159" i="15" s="1"/>
  <c r="D35" i="15"/>
  <c r="F193" i="11"/>
  <c r="J192" i="11"/>
  <c r="J110" i="2"/>
  <c r="J114" i="2" s="1"/>
  <c r="G36" i="15"/>
  <c r="B141" i="9"/>
  <c r="B159" i="9" s="1"/>
  <c r="B35" i="9"/>
  <c r="G141" i="9"/>
  <c r="O157" i="2"/>
  <c r="O34" i="2"/>
  <c r="C59" i="15"/>
  <c r="C59" i="9"/>
  <c r="G159" i="15" l="1"/>
  <c r="P49" i="13"/>
  <c r="S6" i="13"/>
  <c r="G6" i="13"/>
  <c r="B84" i="15"/>
  <c r="E160" i="15"/>
  <c r="K52" i="13"/>
  <c r="R53" i="13"/>
  <c r="G142" i="15"/>
  <c r="J51" i="13"/>
  <c r="F141" i="11"/>
  <c r="J140" i="11"/>
  <c r="B102" i="13"/>
  <c r="L27" i="13"/>
  <c r="C78" i="15"/>
  <c r="E160" i="9"/>
  <c r="K110" i="2"/>
  <c r="K114" i="2" s="1"/>
  <c r="I161" i="15"/>
  <c r="C36" i="9"/>
  <c r="C37" i="9" s="1"/>
  <c r="C144" i="9" s="1"/>
  <c r="D78" i="15"/>
  <c r="E78" i="15"/>
  <c r="H161" i="9"/>
  <c r="C161" i="15"/>
  <c r="K28" i="13"/>
  <c r="L28" i="13" s="1"/>
  <c r="J34" i="13"/>
  <c r="C78" i="9"/>
  <c r="G159" i="9"/>
  <c r="G160" i="9" s="1"/>
  <c r="B60" i="15"/>
  <c r="B60" i="9"/>
  <c r="I143" i="9"/>
  <c r="I161" i="9" s="1"/>
  <c r="I37" i="9"/>
  <c r="F107" i="11"/>
  <c r="J106" i="11"/>
  <c r="K61" i="2"/>
  <c r="K64" i="2" s="1"/>
  <c r="K93" i="2"/>
  <c r="K94" i="2" s="1"/>
  <c r="L91" i="2"/>
  <c r="H73" i="15"/>
  <c r="F126" i="15"/>
  <c r="F55" i="15" s="1"/>
  <c r="F126" i="9"/>
  <c r="F144" i="9" s="1"/>
  <c r="F162" i="9" s="1"/>
  <c r="J144" i="9"/>
  <c r="J162" i="9" s="1"/>
  <c r="J38" i="9"/>
  <c r="C38" i="15"/>
  <c r="C144" i="15"/>
  <c r="M57" i="2"/>
  <c r="L58" i="2"/>
  <c r="L60" i="2" s="1"/>
  <c r="F157" i="11"/>
  <c r="J156" i="11"/>
  <c r="E78" i="9"/>
  <c r="J162" i="2"/>
  <c r="J97" i="2"/>
  <c r="J98" i="2" s="1"/>
  <c r="J101" i="2" s="1"/>
  <c r="G54" i="15"/>
  <c r="J52" i="13" s="1"/>
  <c r="G54" i="9"/>
  <c r="G143" i="9" s="1"/>
  <c r="E143" i="9"/>
  <c r="E37" i="9"/>
  <c r="K44" i="2"/>
  <c r="J45" i="2"/>
  <c r="J47" i="2" s="1"/>
  <c r="J48" i="2" s="1"/>
  <c r="J51" i="2" s="1"/>
  <c r="D78" i="9"/>
  <c r="S51" i="13"/>
  <c r="G37" i="15"/>
  <c r="K53" i="13" s="1"/>
  <c r="F214" i="11"/>
  <c r="J213" i="11"/>
  <c r="K73" i="2"/>
  <c r="K76" i="2" s="1"/>
  <c r="K35" i="2"/>
  <c r="K38" i="2" s="1"/>
  <c r="E37" i="15"/>
  <c r="E143" i="15"/>
  <c r="F128" i="11"/>
  <c r="J127" i="11"/>
  <c r="B142" i="9"/>
  <c r="B160" i="9" s="1"/>
  <c r="B36" i="9"/>
  <c r="D142" i="15"/>
  <c r="D160" i="15" s="1"/>
  <c r="D36" i="15"/>
  <c r="H143" i="15"/>
  <c r="H161" i="15" s="1"/>
  <c r="H37" i="15"/>
  <c r="P157" i="2"/>
  <c r="P34" i="2"/>
  <c r="C60" i="15"/>
  <c r="C60" i="9"/>
  <c r="S30" i="13"/>
  <c r="F40" i="9"/>
  <c r="G72" i="9"/>
  <c r="K134" i="2"/>
  <c r="M21" i="2"/>
  <c r="L22" i="2"/>
  <c r="L24" i="2" s="1"/>
  <c r="M132" i="2"/>
  <c r="L133" i="2"/>
  <c r="H38" i="9"/>
  <c r="H126" i="15"/>
  <c r="H55" i="15" s="1"/>
  <c r="H74" i="15" s="1"/>
  <c r="H126" i="9"/>
  <c r="H144" i="9" s="1"/>
  <c r="K121" i="2"/>
  <c r="K125" i="2" s="1"/>
  <c r="P158" i="2"/>
  <c r="D60" i="15"/>
  <c r="D60" i="9"/>
  <c r="M31" i="2"/>
  <c r="L32" i="2"/>
  <c r="G72" i="15"/>
  <c r="F174" i="11"/>
  <c r="J173" i="11"/>
  <c r="P159" i="2"/>
  <c r="E60" i="15"/>
  <c r="E60" i="9"/>
  <c r="F40" i="15"/>
  <c r="M108" i="2"/>
  <c r="L109" i="2"/>
  <c r="F72" i="11"/>
  <c r="J71" i="11"/>
  <c r="M54" i="13" s="1"/>
  <c r="O54" i="13" s="1"/>
  <c r="J193" i="11"/>
  <c r="F194" i="11"/>
  <c r="M119" i="2"/>
  <c r="L120" i="2"/>
  <c r="F73" i="15"/>
  <c r="F143" i="15"/>
  <c r="F161" i="15" s="1"/>
  <c r="Q39" i="2"/>
  <c r="Q40" i="2" s="1"/>
  <c r="Q41" i="2" s="1"/>
  <c r="Q52" i="2"/>
  <c r="Q53" i="2" s="1"/>
  <c r="Q54" i="2" s="1"/>
  <c r="Q16" i="2"/>
  <c r="Q17" i="2" s="1"/>
  <c r="Q18" i="2" s="1"/>
  <c r="Q26" i="2"/>
  <c r="Q27" i="2" s="1"/>
  <c r="Q28" i="2" s="1"/>
  <c r="N49" i="5"/>
  <c r="N52" i="5" s="1"/>
  <c r="D142" i="9"/>
  <c r="D160" i="9" s="1"/>
  <c r="D36" i="9"/>
  <c r="G37" i="9"/>
  <c r="I144" i="15"/>
  <c r="I38" i="15"/>
  <c r="B144" i="15"/>
  <c r="B162" i="15" s="1"/>
  <c r="B38" i="15"/>
  <c r="F50" i="11"/>
  <c r="J49" i="11"/>
  <c r="J144" i="15"/>
  <c r="J162" i="15" s="1"/>
  <c r="J38" i="15"/>
  <c r="G160" i="15" l="1"/>
  <c r="P50" i="13"/>
  <c r="P51" i="13" s="1"/>
  <c r="P52" i="13" s="1"/>
  <c r="S7" i="13"/>
  <c r="G7" i="13"/>
  <c r="E161" i="15"/>
  <c r="L52" i="13"/>
  <c r="R54" i="13"/>
  <c r="F142" i="11"/>
  <c r="J141" i="11"/>
  <c r="L51" i="13"/>
  <c r="E161" i="9"/>
  <c r="I162" i="15"/>
  <c r="D79" i="15"/>
  <c r="K29" i="13"/>
  <c r="L29" i="13" s="1"/>
  <c r="C38" i="9"/>
  <c r="C145" i="9" s="1"/>
  <c r="C143" i="9"/>
  <c r="C161" i="9" s="1"/>
  <c r="C162" i="9" s="1"/>
  <c r="C162" i="15"/>
  <c r="H162" i="9"/>
  <c r="E79" i="15"/>
  <c r="G73" i="9"/>
  <c r="G73" i="15"/>
  <c r="B103" i="13"/>
  <c r="G143" i="15"/>
  <c r="J35" i="13"/>
  <c r="C79" i="9"/>
  <c r="C79" i="15"/>
  <c r="L121" i="2"/>
  <c r="L125" i="2" s="1"/>
  <c r="F74" i="15"/>
  <c r="F144" i="15"/>
  <c r="F162" i="15" s="1"/>
  <c r="B145" i="15"/>
  <c r="B163" i="15" s="1"/>
  <c r="B39" i="15"/>
  <c r="L110" i="2"/>
  <c r="L114" i="2" s="1"/>
  <c r="H144" i="15"/>
  <c r="H162" i="15" s="1"/>
  <c r="H38" i="15"/>
  <c r="C104" i="13"/>
  <c r="I144" i="9"/>
  <c r="I162" i="9" s="1"/>
  <c r="I38" i="9"/>
  <c r="G161" i="9"/>
  <c r="R52" i="2"/>
  <c r="R53" i="2" s="1"/>
  <c r="R54" i="2" s="1"/>
  <c r="R26" i="2"/>
  <c r="R27" i="2" s="1"/>
  <c r="R28" i="2" s="1"/>
  <c r="R39" i="2"/>
  <c r="R40" i="2" s="1"/>
  <c r="R41" i="2" s="1"/>
  <c r="R16" i="2"/>
  <c r="R17" i="2" s="1"/>
  <c r="R18" i="2" s="1"/>
  <c r="J72" i="11"/>
  <c r="M55" i="13" s="1"/>
  <c r="O55" i="13" s="1"/>
  <c r="F73" i="11"/>
  <c r="L73" i="2"/>
  <c r="L76" i="2" s="1"/>
  <c r="L35" i="2"/>
  <c r="L38" i="2" s="1"/>
  <c r="E144" i="9"/>
  <c r="E38" i="9"/>
  <c r="B61" i="15"/>
  <c r="B61" i="9"/>
  <c r="G38" i="15"/>
  <c r="K54" i="13" s="1"/>
  <c r="Q159" i="2"/>
  <c r="E61" i="15"/>
  <c r="E61" i="9"/>
  <c r="O49" i="5"/>
  <c r="O52" i="5"/>
  <c r="N108" i="2"/>
  <c r="M109" i="2"/>
  <c r="F175" i="11"/>
  <c r="J174" i="11"/>
  <c r="H39" i="9"/>
  <c r="S52" i="13"/>
  <c r="L93" i="2"/>
  <c r="L94" i="2" s="1"/>
  <c r="M91" i="2"/>
  <c r="G38" i="9"/>
  <c r="L44" i="2"/>
  <c r="K45" i="2"/>
  <c r="K47" i="2" s="1"/>
  <c r="K48" i="2" s="1"/>
  <c r="K51" i="2" s="1"/>
  <c r="S31" i="13"/>
  <c r="D37" i="9"/>
  <c r="D143" i="9"/>
  <c r="D161" i="9" s="1"/>
  <c r="F195" i="11"/>
  <c r="J194" i="11"/>
  <c r="L61" i="2"/>
  <c r="L64" i="2" s="1"/>
  <c r="F108" i="11"/>
  <c r="J107" i="11"/>
  <c r="H127" i="15"/>
  <c r="H56" i="15" s="1"/>
  <c r="H127" i="9"/>
  <c r="H145" i="9" s="1"/>
  <c r="N57" i="2"/>
  <c r="M58" i="2"/>
  <c r="M60" i="2" s="1"/>
  <c r="Q158" i="2"/>
  <c r="D61" i="15"/>
  <c r="D61" i="9"/>
  <c r="I145" i="15"/>
  <c r="I39" i="15"/>
  <c r="F41" i="15"/>
  <c r="F41" i="9"/>
  <c r="D143" i="15"/>
  <c r="D161" i="15" s="1"/>
  <c r="D37" i="15"/>
  <c r="J128" i="11"/>
  <c r="F129" i="11"/>
  <c r="J129" i="11" s="1"/>
  <c r="D79" i="9"/>
  <c r="C39" i="15"/>
  <c r="C145" i="15"/>
  <c r="K162" i="2"/>
  <c r="K97" i="2"/>
  <c r="K98" i="2" s="1"/>
  <c r="K101" i="2" s="1"/>
  <c r="G55" i="15"/>
  <c r="G55" i="9"/>
  <c r="G144" i="9" s="1"/>
  <c r="N119" i="2"/>
  <c r="M120" i="2"/>
  <c r="E38" i="15"/>
  <c r="E144" i="15"/>
  <c r="J157" i="11"/>
  <c r="F158" i="11"/>
  <c r="F51" i="11"/>
  <c r="J50" i="11"/>
  <c r="B143" i="9"/>
  <c r="B161" i="9" s="1"/>
  <c r="B37" i="9"/>
  <c r="K30" i="13" s="1"/>
  <c r="L30" i="13" s="1"/>
  <c r="N31" i="2"/>
  <c r="M32" i="2"/>
  <c r="J145" i="15"/>
  <c r="J163" i="15" s="1"/>
  <c r="J39" i="15"/>
  <c r="C103" i="13"/>
  <c r="L134" i="2"/>
  <c r="F215" i="11"/>
  <c r="J214" i="11"/>
  <c r="E79" i="9"/>
  <c r="J145" i="9"/>
  <c r="J163" i="9" s="1"/>
  <c r="J39" i="9"/>
  <c r="F127" i="15"/>
  <c r="F56" i="15" s="1"/>
  <c r="F127" i="9"/>
  <c r="F145" i="9" s="1"/>
  <c r="F163" i="9" s="1"/>
  <c r="Q157" i="2"/>
  <c r="Q34" i="2"/>
  <c r="C61" i="15"/>
  <c r="C61" i="9"/>
  <c r="N132" i="2"/>
  <c r="M133" i="2"/>
  <c r="N21" i="2"/>
  <c r="M22" i="2"/>
  <c r="M24" i="2" s="1"/>
  <c r="G161" i="15" l="1"/>
  <c r="S10" i="13"/>
  <c r="G10" i="13"/>
  <c r="S8" i="13"/>
  <c r="G8" i="13"/>
  <c r="S9" i="13"/>
  <c r="G9" i="13"/>
  <c r="E162" i="15"/>
  <c r="R55" i="13"/>
  <c r="G144" i="15"/>
  <c r="J53" i="13"/>
  <c r="I163" i="15"/>
  <c r="L129" i="11"/>
  <c r="F143" i="11"/>
  <c r="J142" i="11"/>
  <c r="E162" i="9"/>
  <c r="J36" i="13"/>
  <c r="E80" i="9"/>
  <c r="C39" i="9"/>
  <c r="C40" i="9" s="1"/>
  <c r="D80" i="15"/>
  <c r="B104" i="13"/>
  <c r="H163" i="9"/>
  <c r="C163" i="15"/>
  <c r="C163" i="9"/>
  <c r="E80" i="15"/>
  <c r="G74" i="15"/>
  <c r="C80" i="9"/>
  <c r="B105" i="13"/>
  <c r="D80" i="9"/>
  <c r="G74" i="9"/>
  <c r="M121" i="2"/>
  <c r="M125" i="2" s="1"/>
  <c r="M134" i="2"/>
  <c r="C80" i="15"/>
  <c r="G39" i="15"/>
  <c r="K55" i="13" s="1"/>
  <c r="R157" i="2"/>
  <c r="C62" i="15"/>
  <c r="R34" i="2"/>
  <c r="C62" i="9"/>
  <c r="O132" i="2"/>
  <c r="N133" i="2"/>
  <c r="F75" i="15"/>
  <c r="F145" i="15"/>
  <c r="F163" i="15" s="1"/>
  <c r="F159" i="11"/>
  <c r="J158" i="11"/>
  <c r="F109" i="11"/>
  <c r="J108" i="11"/>
  <c r="G39" i="9"/>
  <c r="P49" i="5"/>
  <c r="P52" i="5" s="1"/>
  <c r="R159" i="2"/>
  <c r="E62" i="15"/>
  <c r="E62" i="9"/>
  <c r="H145" i="15"/>
  <c r="H163" i="15" s="1"/>
  <c r="H39" i="15"/>
  <c r="J51" i="11"/>
  <c r="F52" i="11"/>
  <c r="J146" i="9"/>
  <c r="J164" i="9" s="1"/>
  <c r="J40" i="9"/>
  <c r="O31" i="2"/>
  <c r="N32" i="2"/>
  <c r="M93" i="2"/>
  <c r="M94" i="2" s="1"/>
  <c r="N91" i="2"/>
  <c r="F74" i="11"/>
  <c r="J73" i="11"/>
  <c r="M56" i="13" s="1"/>
  <c r="O56" i="13" s="1"/>
  <c r="G162" i="9"/>
  <c r="S32" i="13"/>
  <c r="H40" i="9"/>
  <c r="E145" i="15"/>
  <c r="E39" i="15"/>
  <c r="D38" i="15"/>
  <c r="D144" i="15"/>
  <c r="D162" i="15" s="1"/>
  <c r="M61" i="2"/>
  <c r="M64" i="2" s="1"/>
  <c r="H128" i="15"/>
  <c r="H57" i="15" s="1"/>
  <c r="H76" i="15" s="1"/>
  <c r="H128" i="9"/>
  <c r="H146" i="9" s="1"/>
  <c r="M44" i="2"/>
  <c r="L45" i="2"/>
  <c r="L47" i="2" s="1"/>
  <c r="L48" i="2" s="1"/>
  <c r="L51" i="2" s="1"/>
  <c r="L162" i="2"/>
  <c r="L97" i="2"/>
  <c r="L98" i="2" s="1"/>
  <c r="L101" i="2" s="1"/>
  <c r="G56" i="15"/>
  <c r="J54" i="13" s="1"/>
  <c r="L54" i="13" s="1"/>
  <c r="G56" i="9"/>
  <c r="G145" i="9" s="1"/>
  <c r="F128" i="15"/>
  <c r="F57" i="15" s="1"/>
  <c r="F128" i="9"/>
  <c r="F146" i="9" s="1"/>
  <c r="F164" i="9" s="1"/>
  <c r="I145" i="9"/>
  <c r="I163" i="9" s="1"/>
  <c r="I39" i="9"/>
  <c r="J146" i="15"/>
  <c r="J164" i="15" s="1"/>
  <c r="J40" i="15"/>
  <c r="O57" i="2"/>
  <c r="N58" i="2"/>
  <c r="N60" i="2" s="1"/>
  <c r="J195" i="11"/>
  <c r="F196" i="11"/>
  <c r="M73" i="2"/>
  <c r="M76" i="2" s="1"/>
  <c r="M35" i="2"/>
  <c r="M38" i="2" s="1"/>
  <c r="F216" i="11"/>
  <c r="J215" i="11"/>
  <c r="O119" i="2"/>
  <c r="N120" i="2"/>
  <c r="F42" i="9"/>
  <c r="I146" i="15"/>
  <c r="I40" i="15"/>
  <c r="M110" i="2"/>
  <c r="M114" i="2" s="1"/>
  <c r="S52" i="2"/>
  <c r="S53" i="2" s="1"/>
  <c r="S54" i="2" s="1"/>
  <c r="S39" i="2"/>
  <c r="S40" i="2" s="1"/>
  <c r="S41" i="2" s="1"/>
  <c r="S26" i="2"/>
  <c r="S27" i="2" s="1"/>
  <c r="S28" i="2" s="1"/>
  <c r="S16" i="2"/>
  <c r="S17" i="2" s="1"/>
  <c r="S18" i="2" s="1"/>
  <c r="B146" i="15"/>
  <c r="B164" i="15" s="1"/>
  <c r="B40" i="15"/>
  <c r="B144" i="9"/>
  <c r="B162" i="9" s="1"/>
  <c r="B38" i="9"/>
  <c r="K31" i="13" s="1"/>
  <c r="F42" i="15"/>
  <c r="S53" i="13"/>
  <c r="F176" i="11"/>
  <c r="J175" i="11"/>
  <c r="B62" i="15"/>
  <c r="B62" i="9"/>
  <c r="O21" i="2"/>
  <c r="N22" i="2"/>
  <c r="N24" i="2" s="1"/>
  <c r="C146" i="15"/>
  <c r="C40" i="15"/>
  <c r="H75" i="15"/>
  <c r="O108" i="2"/>
  <c r="N109" i="2"/>
  <c r="E145" i="9"/>
  <c r="E39" i="9"/>
  <c r="R158" i="2"/>
  <c r="D62" i="15"/>
  <c r="D62" i="9"/>
  <c r="D144" i="9"/>
  <c r="D162" i="9" s="1"/>
  <c r="D38" i="9"/>
  <c r="G162" i="15" l="1"/>
  <c r="C146" i="9"/>
  <c r="C164" i="9" s="1"/>
  <c r="I164" i="15"/>
  <c r="E163" i="15"/>
  <c r="R56" i="13"/>
  <c r="F144" i="11"/>
  <c r="J143" i="11"/>
  <c r="L53" i="13"/>
  <c r="P53" i="13"/>
  <c r="L31" i="13"/>
  <c r="E163" i="9"/>
  <c r="C164" i="15"/>
  <c r="D81" i="15"/>
  <c r="H164" i="9"/>
  <c r="G75" i="15"/>
  <c r="C81" i="9"/>
  <c r="E81" i="15"/>
  <c r="N110" i="2"/>
  <c r="N114" i="2" s="1"/>
  <c r="J37" i="13"/>
  <c r="B106" i="13"/>
  <c r="C81" i="15"/>
  <c r="E81" i="9"/>
  <c r="G75" i="9"/>
  <c r="D81" i="9"/>
  <c r="S158" i="2"/>
  <c r="D63" i="15"/>
  <c r="D63" i="9"/>
  <c r="D115" i="15"/>
  <c r="D115" i="9"/>
  <c r="I40" i="9"/>
  <c r="I146" i="9"/>
  <c r="I164" i="9" s="1"/>
  <c r="C147" i="9"/>
  <c r="C41" i="9"/>
  <c r="S159" i="2"/>
  <c r="E63" i="15"/>
  <c r="E63" i="9"/>
  <c r="E115" i="9"/>
  <c r="E115" i="15"/>
  <c r="C105" i="13"/>
  <c r="P21" i="2"/>
  <c r="O22" i="2"/>
  <c r="O24" i="2" s="1"/>
  <c r="B147" i="15"/>
  <c r="B165" i="15" s="1"/>
  <c r="B41" i="15"/>
  <c r="F217" i="11"/>
  <c r="J216" i="11"/>
  <c r="N61" i="2"/>
  <c r="N64" i="2" s="1"/>
  <c r="H146" i="15"/>
  <c r="H164" i="15" s="1"/>
  <c r="H40" i="15"/>
  <c r="G40" i="9"/>
  <c r="E40" i="15"/>
  <c r="E146" i="15"/>
  <c r="J52" i="11"/>
  <c r="F53" i="11"/>
  <c r="N73" i="2"/>
  <c r="N76" i="2" s="1"/>
  <c r="N35" i="2"/>
  <c r="N38" i="2" s="1"/>
  <c r="I147" i="15"/>
  <c r="I41" i="15"/>
  <c r="P57" i="2"/>
  <c r="O58" i="2"/>
  <c r="O60" i="2" s="1"/>
  <c r="F76" i="15"/>
  <c r="F146" i="15"/>
  <c r="F164" i="15" s="1"/>
  <c r="G163" i="9"/>
  <c r="P31" i="2"/>
  <c r="O32" i="2"/>
  <c r="N134" i="2"/>
  <c r="J159" i="11"/>
  <c r="F160" i="11"/>
  <c r="F129" i="15"/>
  <c r="F58" i="15" s="1"/>
  <c r="F129" i="9"/>
  <c r="F147" i="9" s="1"/>
  <c r="F165" i="9" s="1"/>
  <c r="P132" i="2"/>
  <c r="O133" i="2"/>
  <c r="E146" i="9"/>
  <c r="E40" i="9"/>
  <c r="J147" i="15"/>
  <c r="J165" i="15" s="1"/>
  <c r="J41" i="15"/>
  <c r="H41" i="9"/>
  <c r="C147" i="15"/>
  <c r="C41" i="15"/>
  <c r="F43" i="15"/>
  <c r="B63" i="15"/>
  <c r="B63" i="9"/>
  <c r="F43" i="9"/>
  <c r="C106" i="13"/>
  <c r="J74" i="11"/>
  <c r="M57" i="13" s="1"/>
  <c r="O57" i="13" s="1"/>
  <c r="F75" i="11"/>
  <c r="F110" i="11"/>
  <c r="J109" i="11"/>
  <c r="D145" i="9"/>
  <c r="D163" i="9" s="1"/>
  <c r="D39" i="9"/>
  <c r="T52" i="2"/>
  <c r="T53" i="2" s="1"/>
  <c r="T54" i="2" s="1"/>
  <c r="T39" i="2"/>
  <c r="T40" i="2" s="1"/>
  <c r="T41" i="2" s="1"/>
  <c r="T26" i="2"/>
  <c r="T27" i="2" s="1"/>
  <c r="T28" i="2" s="1"/>
  <c r="T16" i="2"/>
  <c r="T17" i="2" s="1"/>
  <c r="T18" i="2" s="1"/>
  <c r="F197" i="11"/>
  <c r="J196" i="11"/>
  <c r="N93" i="2"/>
  <c r="N94" i="2" s="1"/>
  <c r="O91" i="2"/>
  <c r="J147" i="9"/>
  <c r="J165" i="9" s="1"/>
  <c r="J41" i="9"/>
  <c r="G40" i="15"/>
  <c r="P108" i="2"/>
  <c r="O109" i="2"/>
  <c r="F177" i="11"/>
  <c r="J176" i="11"/>
  <c r="B145" i="9"/>
  <c r="B163" i="9" s="1"/>
  <c r="B39" i="9"/>
  <c r="K32" i="13" s="1"/>
  <c r="L32" i="13" s="1"/>
  <c r="S157" i="2"/>
  <c r="S34" i="2"/>
  <c r="C63" i="15"/>
  <c r="C63" i="9"/>
  <c r="C115" i="9"/>
  <c r="C115" i="15"/>
  <c r="N121" i="2"/>
  <c r="N125" i="2" s="1"/>
  <c r="H129" i="15"/>
  <c r="H58" i="15" s="1"/>
  <c r="H77" i="15" s="1"/>
  <c r="H129" i="9"/>
  <c r="H147" i="9" s="1"/>
  <c r="D145" i="15"/>
  <c r="D163" i="15" s="1"/>
  <c r="D39" i="15"/>
  <c r="S33" i="13"/>
  <c r="M162" i="2"/>
  <c r="M97" i="2"/>
  <c r="M98" i="2" s="1"/>
  <c r="M101" i="2" s="1"/>
  <c r="G57" i="15"/>
  <c r="G57" i="9"/>
  <c r="G146" i="9" s="1"/>
  <c r="G145" i="15"/>
  <c r="S54" i="13"/>
  <c r="P119" i="2"/>
  <c r="O120" i="2"/>
  <c r="N44" i="2"/>
  <c r="M45" i="2"/>
  <c r="M47" i="2" s="1"/>
  <c r="M48" i="2" s="1"/>
  <c r="M51" i="2" s="1"/>
  <c r="Q52" i="5"/>
  <c r="Q49" i="5"/>
  <c r="G163" i="15" l="1"/>
  <c r="P54" i="13"/>
  <c r="S11" i="13"/>
  <c r="G11" i="13"/>
  <c r="I165" i="15"/>
  <c r="E164" i="15"/>
  <c r="R57" i="13"/>
  <c r="G146" i="15"/>
  <c r="J55" i="13"/>
  <c r="F145" i="11"/>
  <c r="J144" i="11"/>
  <c r="E164" i="9"/>
  <c r="C165" i="15"/>
  <c r="J38" i="13"/>
  <c r="C165" i="9"/>
  <c r="D82" i="15"/>
  <c r="G76" i="15"/>
  <c r="D82" i="9"/>
  <c r="H165" i="9"/>
  <c r="C82" i="9"/>
  <c r="B107" i="13"/>
  <c r="E82" i="9"/>
  <c r="O110" i="2"/>
  <c r="O114" i="2" s="1"/>
  <c r="C82" i="15"/>
  <c r="O121" i="2"/>
  <c r="O125" i="2" s="1"/>
  <c r="O61" i="2"/>
  <c r="O64" i="2" s="1"/>
  <c r="O134" i="2"/>
  <c r="G76" i="9"/>
  <c r="F178" i="11"/>
  <c r="J177" i="11"/>
  <c r="F44" i="15"/>
  <c r="J217" i="11"/>
  <c r="L217" i="11" s="1"/>
  <c r="F218" i="11"/>
  <c r="O93" i="2"/>
  <c r="O94" i="2" s="1"/>
  <c r="P91" i="2"/>
  <c r="N162" i="2"/>
  <c r="N97" i="2"/>
  <c r="N98" i="2" s="1"/>
  <c r="N101" i="2" s="1"/>
  <c r="G58" i="15"/>
  <c r="J56" i="13" s="1"/>
  <c r="G58" i="9"/>
  <c r="G147" i="9" s="1"/>
  <c r="D146" i="9"/>
  <c r="D164" i="9" s="1"/>
  <c r="D40" i="9"/>
  <c r="C148" i="15"/>
  <c r="C42" i="15"/>
  <c r="E147" i="9"/>
  <c r="E41" i="9"/>
  <c r="B148" i="15"/>
  <c r="B166" i="15" s="1"/>
  <c r="B42" i="15"/>
  <c r="D40" i="15"/>
  <c r="D146" i="15"/>
  <c r="D164" i="15" s="1"/>
  <c r="Q108" i="2"/>
  <c r="P109" i="2"/>
  <c r="C148" i="9"/>
  <c r="C42" i="9"/>
  <c r="Q119" i="2"/>
  <c r="P120" i="2"/>
  <c r="B146" i="9"/>
  <c r="B164" i="9" s="1"/>
  <c r="B40" i="9"/>
  <c r="K33" i="13" s="1"/>
  <c r="L33" i="13" s="1"/>
  <c r="H130" i="15"/>
  <c r="H59" i="15" s="1"/>
  <c r="H78" i="15" s="1"/>
  <c r="H130" i="9"/>
  <c r="H148" i="9" s="1"/>
  <c r="F77" i="15"/>
  <c r="F147" i="15"/>
  <c r="F165" i="15" s="1"/>
  <c r="Q31" i="2"/>
  <c r="P32" i="2"/>
  <c r="H147" i="15"/>
  <c r="H165" i="15" s="1"/>
  <c r="H41" i="15"/>
  <c r="T157" i="2"/>
  <c r="T34" i="2"/>
  <c r="C64" i="15"/>
  <c r="C65" i="15" s="1"/>
  <c r="C64" i="9"/>
  <c r="T158" i="2"/>
  <c r="D64" i="15"/>
  <c r="D65" i="15" s="1"/>
  <c r="D64" i="9"/>
  <c r="D65" i="9" s="1"/>
  <c r="Q57" i="2"/>
  <c r="P58" i="2"/>
  <c r="P60" i="2" s="1"/>
  <c r="E147" i="15"/>
  <c r="E41" i="15"/>
  <c r="Q132" i="2"/>
  <c r="P133" i="2"/>
  <c r="I42" i="15"/>
  <c r="I148" i="15"/>
  <c r="G41" i="9"/>
  <c r="R49" i="5"/>
  <c r="R52" i="5" s="1"/>
  <c r="S34" i="13"/>
  <c r="G41" i="15"/>
  <c r="K56" i="13"/>
  <c r="J197" i="11"/>
  <c r="F198" i="11"/>
  <c r="F44" i="9"/>
  <c r="F161" i="11"/>
  <c r="J160" i="11"/>
  <c r="G164" i="9"/>
  <c r="O73" i="2"/>
  <c r="O76" i="2" s="1"/>
  <c r="O35" i="2"/>
  <c r="O38" i="2" s="1"/>
  <c r="I147" i="9"/>
  <c r="I165" i="9" s="1"/>
  <c r="I41" i="9"/>
  <c r="J42" i="15"/>
  <c r="J148" i="15"/>
  <c r="J166" i="15" s="1"/>
  <c r="T159" i="2"/>
  <c r="E64" i="15"/>
  <c r="E65" i="15" s="1"/>
  <c r="E64" i="9"/>
  <c r="E65" i="9" s="1"/>
  <c r="S55" i="13"/>
  <c r="E82" i="15"/>
  <c r="U26" i="2"/>
  <c r="U27" i="2" s="1"/>
  <c r="U28" i="2" s="1"/>
  <c r="U52" i="2"/>
  <c r="U53" i="2" s="1"/>
  <c r="U54" i="2" s="1"/>
  <c r="U16" i="2"/>
  <c r="U17" i="2" s="1"/>
  <c r="U18" i="2" s="1"/>
  <c r="U39" i="2"/>
  <c r="U40" i="2" s="1"/>
  <c r="U41" i="2" s="1"/>
  <c r="F111" i="11"/>
  <c r="J110" i="11"/>
  <c r="H42" i="9"/>
  <c r="F54" i="11"/>
  <c r="J53" i="11"/>
  <c r="Q21" i="2"/>
  <c r="P22" i="2"/>
  <c r="P24" i="2" s="1"/>
  <c r="F76" i="11"/>
  <c r="J75" i="11"/>
  <c r="M58" i="13" s="1"/>
  <c r="O58" i="13" s="1"/>
  <c r="F130" i="15"/>
  <c r="F59" i="15" s="1"/>
  <c r="F130" i="9"/>
  <c r="F148" i="9" s="1"/>
  <c r="F166" i="9" s="1"/>
  <c r="B64" i="15"/>
  <c r="B65" i="15" s="1"/>
  <c r="B64" i="9"/>
  <c r="B65" i="9" s="1"/>
  <c r="B115" i="9"/>
  <c r="B115" i="15"/>
  <c r="O44" i="2"/>
  <c r="N45" i="2"/>
  <c r="N47" i="2" s="1"/>
  <c r="N48" i="2" s="1"/>
  <c r="N51" i="2" s="1"/>
  <c r="J148" i="9"/>
  <c r="J166" i="9" s="1"/>
  <c r="J42" i="9"/>
  <c r="G164" i="15" l="1"/>
  <c r="I166" i="15"/>
  <c r="E165" i="15"/>
  <c r="S12" i="13"/>
  <c r="G12" i="13"/>
  <c r="R58" i="13"/>
  <c r="J145" i="11"/>
  <c r="L146" i="11" s="1"/>
  <c r="F146" i="11"/>
  <c r="J146" i="11" s="1"/>
  <c r="L55" i="13"/>
  <c r="P55" i="13"/>
  <c r="E165" i="9"/>
  <c r="C166" i="15"/>
  <c r="C166" i="9"/>
  <c r="D83" i="15"/>
  <c r="D84" i="15" s="1"/>
  <c r="G77" i="15"/>
  <c r="H166" i="9"/>
  <c r="D83" i="9"/>
  <c r="D84" i="9" s="1"/>
  <c r="C83" i="9"/>
  <c r="C84" i="9" s="1"/>
  <c r="E83" i="9"/>
  <c r="E84" i="9" s="1"/>
  <c r="G77" i="9"/>
  <c r="B108" i="13"/>
  <c r="E83" i="15"/>
  <c r="E84" i="15" s="1"/>
  <c r="G147" i="15"/>
  <c r="C83" i="15"/>
  <c r="C84" i="15" s="1"/>
  <c r="R132" i="2"/>
  <c r="Q133" i="2"/>
  <c r="D147" i="9"/>
  <c r="D165" i="9" s="1"/>
  <c r="D41" i="9"/>
  <c r="F219" i="11"/>
  <c r="J218" i="11"/>
  <c r="F112" i="11"/>
  <c r="J112" i="11" s="1"/>
  <c r="J111" i="11"/>
  <c r="S56" i="13"/>
  <c r="J149" i="15"/>
  <c r="J167" i="15" s="1"/>
  <c r="J43" i="15"/>
  <c r="G165" i="9"/>
  <c r="B149" i="15"/>
  <c r="B167" i="15" s="1"/>
  <c r="B43" i="15"/>
  <c r="J149" i="9"/>
  <c r="J167" i="9" s="1"/>
  <c r="J43" i="9"/>
  <c r="U158" i="2"/>
  <c r="G42" i="9"/>
  <c r="E148" i="15"/>
  <c r="E42" i="15"/>
  <c r="H148" i="15"/>
  <c r="H166" i="15" s="1"/>
  <c r="H42" i="15"/>
  <c r="B41" i="9"/>
  <c r="K34" i="13" s="1"/>
  <c r="B147" i="9"/>
  <c r="B165" i="9" s="1"/>
  <c r="L56" i="13"/>
  <c r="C108" i="13"/>
  <c r="F45" i="15"/>
  <c r="H131" i="15"/>
  <c r="H60" i="15" s="1"/>
  <c r="H79" i="15" s="1"/>
  <c r="H131" i="9"/>
  <c r="H149" i="9" s="1"/>
  <c r="P73" i="2"/>
  <c r="P76" i="2" s="1"/>
  <c r="P35" i="2"/>
  <c r="P38" i="2" s="1"/>
  <c r="P44" i="2"/>
  <c r="O45" i="2"/>
  <c r="O47" i="2" s="1"/>
  <c r="O48" i="2" s="1"/>
  <c r="O51" i="2" s="1"/>
  <c r="R21" i="2"/>
  <c r="Q22" i="2"/>
  <c r="Q24" i="2" s="1"/>
  <c r="V39" i="2"/>
  <c r="V40" i="2" s="1"/>
  <c r="V41" i="2" s="1"/>
  <c r="V16" i="2"/>
  <c r="V17" i="2" s="1"/>
  <c r="V18" i="2" s="1"/>
  <c r="V26" i="2"/>
  <c r="V27" i="2" s="1"/>
  <c r="V28" i="2" s="1"/>
  <c r="V52" i="2"/>
  <c r="V53" i="2" s="1"/>
  <c r="V54" i="2" s="1"/>
  <c r="G42" i="15"/>
  <c r="K57" i="13"/>
  <c r="E148" i="9"/>
  <c r="E42" i="9"/>
  <c r="P61" i="2"/>
  <c r="P64" i="2" s="1"/>
  <c r="P121" i="2"/>
  <c r="P125" i="2" s="1"/>
  <c r="R108" i="2"/>
  <c r="Q109" i="2"/>
  <c r="H43" i="9"/>
  <c r="F77" i="11"/>
  <c r="J76" i="11"/>
  <c r="M59" i="13" s="1"/>
  <c r="O59" i="13" s="1"/>
  <c r="C107" i="13"/>
  <c r="P110" i="2"/>
  <c r="P114" i="2" s="1"/>
  <c r="F55" i="11"/>
  <c r="J54" i="11"/>
  <c r="U159" i="2"/>
  <c r="I42" i="9"/>
  <c r="I148" i="9"/>
  <c r="I166" i="9" s="1"/>
  <c r="I149" i="15"/>
  <c r="I43" i="15"/>
  <c r="R57" i="2"/>
  <c r="Q58" i="2"/>
  <c r="Q60" i="2" s="1"/>
  <c r="R31" i="2"/>
  <c r="Q32" i="2"/>
  <c r="R119" i="2"/>
  <c r="Q120" i="2"/>
  <c r="C149" i="15"/>
  <c r="C43" i="15"/>
  <c r="P93" i="2"/>
  <c r="P94" i="2" s="1"/>
  <c r="Q91" i="2"/>
  <c r="F179" i="11"/>
  <c r="J178" i="11"/>
  <c r="F199" i="11"/>
  <c r="J198" i="11"/>
  <c r="F78" i="15"/>
  <c r="F148" i="15"/>
  <c r="F166" i="15" s="1"/>
  <c r="J161" i="11"/>
  <c r="F162" i="11"/>
  <c r="J39" i="13"/>
  <c r="C65" i="9"/>
  <c r="U157" i="2"/>
  <c r="U34" i="2"/>
  <c r="F45" i="9"/>
  <c r="S35" i="13"/>
  <c r="P134" i="2"/>
  <c r="C149" i="9"/>
  <c r="C43" i="9"/>
  <c r="O162" i="2"/>
  <c r="O97" i="2"/>
  <c r="O98" i="2" s="1"/>
  <c r="O101" i="2" s="1"/>
  <c r="G59" i="15"/>
  <c r="G148" i="15" s="1"/>
  <c r="G59" i="9"/>
  <c r="G148" i="9" s="1"/>
  <c r="F131" i="15"/>
  <c r="F60" i="15" s="1"/>
  <c r="F131" i="9"/>
  <c r="F149" i="9" s="1"/>
  <c r="F167" i="9" s="1"/>
  <c r="S49" i="5"/>
  <c r="S52" i="5" s="1"/>
  <c r="D147" i="15"/>
  <c r="D165" i="15" s="1"/>
  <c r="D41" i="15"/>
  <c r="G165" i="15" l="1"/>
  <c r="G166" i="15" s="1"/>
  <c r="I167" i="15"/>
  <c r="E166" i="15"/>
  <c r="S13" i="13"/>
  <c r="G13" i="13"/>
  <c r="R59" i="13"/>
  <c r="B109" i="13"/>
  <c r="L34" i="13"/>
  <c r="L112" i="11"/>
  <c r="E166" i="9"/>
  <c r="C167" i="15"/>
  <c r="C167" i="9"/>
  <c r="H167" i="9"/>
  <c r="G78" i="15"/>
  <c r="Q61" i="2"/>
  <c r="Q64" i="2" s="1"/>
  <c r="Q121" i="2"/>
  <c r="Q125" i="2" s="1"/>
  <c r="Q110" i="2"/>
  <c r="Q114" i="2" s="1"/>
  <c r="P162" i="2"/>
  <c r="P97" i="2"/>
  <c r="P98" i="2" s="1"/>
  <c r="P101" i="2" s="1"/>
  <c r="G60" i="15"/>
  <c r="J58" i="13" s="1"/>
  <c r="G60" i="9"/>
  <c r="G149" i="9" s="1"/>
  <c r="G43" i="15"/>
  <c r="K58" i="13"/>
  <c r="S21" i="2"/>
  <c r="R22" i="2"/>
  <c r="R24" i="2" s="1"/>
  <c r="F46" i="15"/>
  <c r="J150" i="9"/>
  <c r="J168" i="9" s="1"/>
  <c r="J44" i="9"/>
  <c r="F78" i="11"/>
  <c r="J77" i="11"/>
  <c r="M60" i="13" s="1"/>
  <c r="O60" i="13" s="1"/>
  <c r="D148" i="15"/>
  <c r="D166" i="15" s="1"/>
  <c r="D42" i="15"/>
  <c r="S36" i="13"/>
  <c r="C150" i="15"/>
  <c r="C44" i="15"/>
  <c r="I150" i="15"/>
  <c r="I44" i="15"/>
  <c r="D148" i="9"/>
  <c r="D166" i="9" s="1"/>
  <c r="D42" i="9"/>
  <c r="J55" i="11"/>
  <c r="F56" i="11"/>
  <c r="H132" i="15"/>
  <c r="H61" i="15" s="1"/>
  <c r="H80" i="15" s="1"/>
  <c r="H132" i="9"/>
  <c r="H150" i="9" s="1"/>
  <c r="V159" i="2"/>
  <c r="Q44" i="2"/>
  <c r="P45" i="2"/>
  <c r="P47" i="2" s="1"/>
  <c r="P48" i="2" s="1"/>
  <c r="P51" i="2" s="1"/>
  <c r="E149" i="15"/>
  <c r="E43" i="15"/>
  <c r="S57" i="13"/>
  <c r="J57" i="13"/>
  <c r="S57" i="2"/>
  <c r="R58" i="2"/>
  <c r="R60" i="2" s="1"/>
  <c r="F46" i="9"/>
  <c r="F200" i="11"/>
  <c r="J199" i="11"/>
  <c r="G78" i="9"/>
  <c r="V157" i="2"/>
  <c r="V34" i="2"/>
  <c r="B150" i="15"/>
  <c r="B168" i="15" s="1"/>
  <c r="B44" i="15"/>
  <c r="Q134" i="2"/>
  <c r="J40" i="13"/>
  <c r="S119" i="2"/>
  <c r="R120" i="2"/>
  <c r="I149" i="9"/>
  <c r="I167" i="9" s="1"/>
  <c r="I43" i="9"/>
  <c r="W26" i="2"/>
  <c r="W27" i="2" s="1"/>
  <c r="W28" i="2" s="1"/>
  <c r="W39" i="2"/>
  <c r="W40" i="2" s="1"/>
  <c r="W41" i="2" s="1"/>
  <c r="W16" i="2"/>
  <c r="W17" i="2" s="1"/>
  <c r="W18" i="2" s="1"/>
  <c r="W52" i="2"/>
  <c r="W53" i="2" s="1"/>
  <c r="W54" i="2" s="1"/>
  <c r="G43" i="9"/>
  <c r="S132" i="2"/>
  <c r="R133" i="2"/>
  <c r="T49" i="5"/>
  <c r="T52" i="5" s="1"/>
  <c r="C150" i="9"/>
  <c r="C44" i="9"/>
  <c r="F163" i="11"/>
  <c r="J163" i="11" s="1"/>
  <c r="J162" i="11"/>
  <c r="H44" i="9"/>
  <c r="E149" i="9"/>
  <c r="E43" i="9"/>
  <c r="F79" i="15"/>
  <c r="F149" i="15"/>
  <c r="F167" i="15" s="1"/>
  <c r="F180" i="11"/>
  <c r="J180" i="11" s="1"/>
  <c r="J179" i="11"/>
  <c r="S31" i="2"/>
  <c r="R32" i="2"/>
  <c r="V158" i="2"/>
  <c r="B148" i="9"/>
  <c r="B166" i="9" s="1"/>
  <c r="B42" i="9"/>
  <c r="K35" i="13" s="1"/>
  <c r="G166" i="9"/>
  <c r="Q93" i="2"/>
  <c r="Q94" i="2" s="1"/>
  <c r="R91" i="2"/>
  <c r="F132" i="15"/>
  <c r="F61" i="15" s="1"/>
  <c r="F132" i="9"/>
  <c r="F150" i="9" s="1"/>
  <c r="F168" i="9" s="1"/>
  <c r="S108" i="2"/>
  <c r="R109" i="2"/>
  <c r="Q73" i="2"/>
  <c r="Q76" i="2" s="1"/>
  <c r="Q35" i="2"/>
  <c r="Q38" i="2" s="1"/>
  <c r="H149" i="15"/>
  <c r="H167" i="15" s="1"/>
  <c r="H43" i="15"/>
  <c r="J150" i="15"/>
  <c r="J168" i="15" s="1"/>
  <c r="J44" i="15"/>
  <c r="J219" i="11"/>
  <c r="F220" i="11"/>
  <c r="E167" i="15" l="1"/>
  <c r="I168" i="15"/>
  <c r="L163" i="11"/>
  <c r="R60" i="13"/>
  <c r="B93" i="13"/>
  <c r="B85" i="13"/>
  <c r="B110" i="13"/>
  <c r="L35" i="13"/>
  <c r="E167" i="9"/>
  <c r="C168" i="9"/>
  <c r="C168" i="15"/>
  <c r="H168" i="9"/>
  <c r="G79" i="15"/>
  <c r="P56" i="13"/>
  <c r="R61" i="2"/>
  <c r="R64" i="2" s="1"/>
  <c r="G167" i="9"/>
  <c r="F80" i="15"/>
  <c r="F150" i="15"/>
  <c r="F168" i="15" s="1"/>
  <c r="C151" i="9"/>
  <c r="C45" i="9"/>
  <c r="H150" i="15"/>
  <c r="H168" i="15" s="1"/>
  <c r="H44" i="15"/>
  <c r="R93" i="2"/>
  <c r="R94" i="2" s="1"/>
  <c r="S91" i="2"/>
  <c r="E44" i="9"/>
  <c r="E150" i="9"/>
  <c r="R121" i="2"/>
  <c r="R125" i="2" s="1"/>
  <c r="F47" i="9"/>
  <c r="L57" i="13"/>
  <c r="C109" i="13"/>
  <c r="T21" i="2"/>
  <c r="S22" i="2"/>
  <c r="S24" i="2" s="1"/>
  <c r="T132" i="2"/>
  <c r="S133" i="2"/>
  <c r="J116" i="9"/>
  <c r="J111" i="9" s="1"/>
  <c r="J116" i="15"/>
  <c r="J111" i="15" s="1"/>
  <c r="J56" i="11"/>
  <c r="F57" i="11"/>
  <c r="D149" i="15"/>
  <c r="D167" i="15" s="1"/>
  <c r="D43" i="15"/>
  <c r="Q162" i="2"/>
  <c r="Q97" i="2"/>
  <c r="Q98" i="2" s="1"/>
  <c r="Q101" i="2" s="1"/>
  <c r="G61" i="15"/>
  <c r="J59" i="13" s="1"/>
  <c r="G61" i="9"/>
  <c r="G150" i="9" s="1"/>
  <c r="W159" i="2"/>
  <c r="T119" i="2"/>
  <c r="S120" i="2"/>
  <c r="S58" i="13"/>
  <c r="I151" i="15"/>
  <c r="I45" i="15"/>
  <c r="F133" i="15"/>
  <c r="F62" i="15" s="1"/>
  <c r="F133" i="9"/>
  <c r="F151" i="9" s="1"/>
  <c r="F169" i="9" s="1"/>
  <c r="T108" i="2"/>
  <c r="S109" i="2"/>
  <c r="G44" i="9"/>
  <c r="H45" i="9"/>
  <c r="X52" i="2"/>
  <c r="X53" i="2" s="1"/>
  <c r="X54" i="2" s="1"/>
  <c r="X16" i="2"/>
  <c r="X17" i="2" s="1"/>
  <c r="X18" i="2" s="1"/>
  <c r="X26" i="2"/>
  <c r="X27" i="2" s="1"/>
  <c r="X28" i="2" s="1"/>
  <c r="X39" i="2"/>
  <c r="X40" i="2" s="1"/>
  <c r="X41" i="2" s="1"/>
  <c r="F79" i="11"/>
  <c r="J79" i="11" s="1"/>
  <c r="M62" i="13" s="1"/>
  <c r="J78" i="11"/>
  <c r="M61" i="13" s="1"/>
  <c r="O61" i="13" s="1"/>
  <c r="G44" i="15"/>
  <c r="K59" i="13"/>
  <c r="H133" i="15"/>
  <c r="H62" i="15" s="1"/>
  <c r="H81" i="15" s="1"/>
  <c r="H133" i="9"/>
  <c r="H151" i="9" s="1"/>
  <c r="R73" i="2"/>
  <c r="R76" i="2" s="1"/>
  <c r="R35" i="2"/>
  <c r="R38" i="2" s="1"/>
  <c r="T31" i="2"/>
  <c r="S32" i="2"/>
  <c r="E44" i="15"/>
  <c r="E150" i="15"/>
  <c r="C151" i="15"/>
  <c r="C45" i="15"/>
  <c r="J151" i="9"/>
  <c r="J169" i="9" s="1"/>
  <c r="J45" i="9"/>
  <c r="G149" i="15"/>
  <c r="G167" i="15" s="1"/>
  <c r="B149" i="9"/>
  <c r="B167" i="9" s="1"/>
  <c r="B43" i="9"/>
  <c r="K36" i="13" s="1"/>
  <c r="L36" i="13" s="1"/>
  <c r="W157" i="2"/>
  <c r="W34" i="2"/>
  <c r="B151" i="15"/>
  <c r="B169" i="15" s="1"/>
  <c r="B45" i="15"/>
  <c r="D149" i="9"/>
  <c r="D167" i="9" s="1"/>
  <c r="D43" i="9"/>
  <c r="U49" i="5"/>
  <c r="U52" i="5" s="1"/>
  <c r="F221" i="11"/>
  <c r="J221" i="11" s="1"/>
  <c r="J220" i="11"/>
  <c r="R110" i="2"/>
  <c r="R114" i="2" s="1"/>
  <c r="L180" i="11"/>
  <c r="R134" i="2"/>
  <c r="W158" i="2"/>
  <c r="G79" i="9"/>
  <c r="F47" i="15"/>
  <c r="F116" i="15" s="1"/>
  <c r="F111" i="15" s="1"/>
  <c r="C110" i="13"/>
  <c r="L58" i="13"/>
  <c r="J45" i="15"/>
  <c r="J151" i="15"/>
  <c r="J169" i="15" s="1"/>
  <c r="I150" i="9"/>
  <c r="I168" i="9" s="1"/>
  <c r="I44" i="9"/>
  <c r="F201" i="11"/>
  <c r="J201" i="11" s="1"/>
  <c r="J200" i="11"/>
  <c r="T57" i="2"/>
  <c r="S58" i="2"/>
  <c r="S60" i="2" s="1"/>
  <c r="R44" i="2"/>
  <c r="Q45" i="2"/>
  <c r="Q47" i="2" s="1"/>
  <c r="Q48" i="2" s="1"/>
  <c r="Q51" i="2" s="1"/>
  <c r="S37" i="13"/>
  <c r="E168" i="15" l="1"/>
  <c r="I169" i="15"/>
  <c r="S14" i="13"/>
  <c r="G14" i="13"/>
  <c r="R61" i="13"/>
  <c r="O62" i="13"/>
  <c r="O63" i="13" s="1"/>
  <c r="D64" i="13" s="1"/>
  <c r="M63" i="13"/>
  <c r="D63" i="13" s="1"/>
  <c r="E168" i="9"/>
  <c r="C169" i="9"/>
  <c r="C169" i="15"/>
  <c r="H169" i="9"/>
  <c r="G80" i="15"/>
  <c r="P57" i="13"/>
  <c r="G168" i="9"/>
  <c r="S110" i="2"/>
  <c r="S114" i="2" s="1"/>
  <c r="B111" i="13"/>
  <c r="G150" i="15"/>
  <c r="G168" i="15" s="1"/>
  <c r="S121" i="2"/>
  <c r="S125" i="2" s="1"/>
  <c r="L220" i="11"/>
  <c r="D44" i="15"/>
  <c r="D150" i="15"/>
  <c r="D168" i="15" s="1"/>
  <c r="U119" i="2"/>
  <c r="T120" i="2"/>
  <c r="U21" i="2"/>
  <c r="T22" i="2"/>
  <c r="T24" i="2" s="1"/>
  <c r="S44" i="2"/>
  <c r="R45" i="2"/>
  <c r="R47" i="2" s="1"/>
  <c r="R48" i="2" s="1"/>
  <c r="R51" i="2" s="1"/>
  <c r="E151" i="9"/>
  <c r="E45" i="9"/>
  <c r="I151" i="9"/>
  <c r="I169" i="9" s="1"/>
  <c r="I45" i="9"/>
  <c r="U132" i="2"/>
  <c r="T133" i="2"/>
  <c r="B152" i="15"/>
  <c r="B170" i="15" s="1"/>
  <c r="B46" i="15"/>
  <c r="J152" i="9"/>
  <c r="J170" i="9" s="1"/>
  <c r="J46" i="9"/>
  <c r="C152" i="9"/>
  <c r="C46" i="9"/>
  <c r="U31" i="2"/>
  <c r="T32" i="2"/>
  <c r="F134" i="15"/>
  <c r="F63" i="15" s="1"/>
  <c r="F134" i="9"/>
  <c r="F152" i="9" s="1"/>
  <c r="F170" i="9" s="1"/>
  <c r="H46" i="9"/>
  <c r="J57" i="11"/>
  <c r="F58" i="11"/>
  <c r="J58" i="11" s="1"/>
  <c r="S61" i="2"/>
  <c r="S64" i="2" s="1"/>
  <c r="C46" i="15"/>
  <c r="C152" i="15"/>
  <c r="F135" i="15"/>
  <c r="F64" i="15" s="1"/>
  <c r="F135" i="9"/>
  <c r="F153" i="9" s="1"/>
  <c r="L78" i="11"/>
  <c r="L75" i="11"/>
  <c r="F81" i="15"/>
  <c r="F151" i="15"/>
  <c r="F169" i="15" s="1"/>
  <c r="S93" i="2"/>
  <c r="S94" i="2" s="1"/>
  <c r="T91" i="2"/>
  <c r="S38" i="13"/>
  <c r="D150" i="9"/>
  <c r="D168" i="9" s="1"/>
  <c r="D44" i="9"/>
  <c r="S59" i="13"/>
  <c r="G45" i="15"/>
  <c r="K60" i="13"/>
  <c r="U57" i="2"/>
  <c r="T58" i="2"/>
  <c r="T60" i="2" s="1"/>
  <c r="G80" i="9"/>
  <c r="I152" i="15"/>
  <c r="I46" i="15"/>
  <c r="R162" i="2"/>
  <c r="R97" i="2"/>
  <c r="R98" i="2" s="1"/>
  <c r="R101" i="2" s="1"/>
  <c r="G62" i="15"/>
  <c r="J60" i="13" s="1"/>
  <c r="G62" i="9"/>
  <c r="G151" i="9" s="1"/>
  <c r="H134" i="15"/>
  <c r="H63" i="15" s="1"/>
  <c r="H82" i="15" s="1"/>
  <c r="H134" i="9"/>
  <c r="H152" i="9" s="1"/>
  <c r="J152" i="15"/>
  <c r="J170" i="15" s="1"/>
  <c r="J46" i="15"/>
  <c r="V49" i="5"/>
  <c r="V52" i="5" s="1"/>
  <c r="X158" i="2"/>
  <c r="G45" i="9"/>
  <c r="C111" i="13"/>
  <c r="L59" i="13"/>
  <c r="H151" i="15"/>
  <c r="H169" i="15" s="1"/>
  <c r="H45" i="15"/>
  <c r="Y39" i="2"/>
  <c r="Y40" i="2" s="1"/>
  <c r="Y41" i="2" s="1"/>
  <c r="Y26" i="2"/>
  <c r="Y27" i="2" s="1"/>
  <c r="Y28" i="2" s="1"/>
  <c r="Y16" i="2"/>
  <c r="Y17" i="2" s="1"/>
  <c r="Y18" i="2" s="1"/>
  <c r="Y52" i="2"/>
  <c r="Y53" i="2" s="1"/>
  <c r="Y54" i="2" s="1"/>
  <c r="U108" i="2"/>
  <c r="T109" i="2"/>
  <c r="S73" i="2"/>
  <c r="S76" i="2" s="1"/>
  <c r="S35" i="2"/>
  <c r="S38" i="2" s="1"/>
  <c r="X159" i="2"/>
  <c r="H135" i="15"/>
  <c r="H64" i="15" s="1"/>
  <c r="H135" i="9"/>
  <c r="L197" i="11"/>
  <c r="B150" i="9"/>
  <c r="B168" i="9" s="1"/>
  <c r="B44" i="9"/>
  <c r="K37" i="13" s="1"/>
  <c r="L37" i="13" s="1"/>
  <c r="E151" i="15"/>
  <c r="E45" i="15"/>
  <c r="X157" i="2"/>
  <c r="X34" i="2"/>
  <c r="S134" i="2"/>
  <c r="F116" i="9"/>
  <c r="F111" i="9" s="1"/>
  <c r="F86" i="9"/>
  <c r="E169" i="15" l="1"/>
  <c r="I170" i="15"/>
  <c r="S15" i="13"/>
  <c r="G15" i="13"/>
  <c r="R62" i="13"/>
  <c r="R63" i="13" s="1"/>
  <c r="C95" i="13" s="1"/>
  <c r="E169" i="9"/>
  <c r="C170" i="9"/>
  <c r="C170" i="15"/>
  <c r="H170" i="9"/>
  <c r="G81" i="15"/>
  <c r="T134" i="2"/>
  <c r="T110" i="2"/>
  <c r="T114" i="2" s="1"/>
  <c r="P58" i="13"/>
  <c r="G169" i="9"/>
  <c r="T61" i="2"/>
  <c r="T64" i="2" s="1"/>
  <c r="B112" i="13"/>
  <c r="F171" i="9"/>
  <c r="G81" i="9"/>
  <c r="T121" i="2"/>
  <c r="T125" i="2" s="1"/>
  <c r="F82" i="15"/>
  <c r="F152" i="15"/>
  <c r="F170" i="15" s="1"/>
  <c r="I152" i="9"/>
  <c r="I170" i="9" s="1"/>
  <c r="I46" i="9"/>
  <c r="V21" i="2"/>
  <c r="U22" i="2"/>
  <c r="U24" i="2" s="1"/>
  <c r="Y158" i="2"/>
  <c r="S162" i="2"/>
  <c r="S97" i="2"/>
  <c r="S98" i="2" s="1"/>
  <c r="S101" i="2" s="1"/>
  <c r="G63" i="15"/>
  <c r="J61" i="13" s="1"/>
  <c r="G63" i="9"/>
  <c r="G152" i="9" s="1"/>
  <c r="G115" i="9"/>
  <c r="G115" i="15"/>
  <c r="C153" i="15"/>
  <c r="C47" i="15"/>
  <c r="B153" i="15"/>
  <c r="B171" i="15" s="1"/>
  <c r="B47" i="15"/>
  <c r="AC6" i="3"/>
  <c r="F87" i="9"/>
  <c r="Y157" i="2"/>
  <c r="Y34" i="2"/>
  <c r="E152" i="9"/>
  <c r="E46" i="9"/>
  <c r="L57" i="11"/>
  <c r="L60" i="13"/>
  <c r="C112" i="13"/>
  <c r="S60" i="13"/>
  <c r="V31" i="2"/>
  <c r="U32" i="2"/>
  <c r="D45" i="9"/>
  <c r="D151" i="9"/>
  <c r="D169" i="9" s="1"/>
  <c r="C153" i="9"/>
  <c r="C47" i="9"/>
  <c r="D151" i="15"/>
  <c r="D169" i="15" s="1"/>
  <c r="D45" i="15"/>
  <c r="Y159" i="2"/>
  <c r="J153" i="15"/>
  <c r="J171" i="15" s="1"/>
  <c r="J47" i="15"/>
  <c r="J86" i="15" s="1"/>
  <c r="J87" i="15" s="1"/>
  <c r="I153" i="15"/>
  <c r="I171" i="15" s="1"/>
  <c r="I47" i="15"/>
  <c r="G46" i="15"/>
  <c r="K61" i="13"/>
  <c r="H153" i="9"/>
  <c r="H47" i="9"/>
  <c r="T44" i="2"/>
  <c r="S45" i="2"/>
  <c r="S47" i="2" s="1"/>
  <c r="S48" i="2" s="1"/>
  <c r="S51" i="2" s="1"/>
  <c r="T93" i="2"/>
  <c r="T94" i="2" s="1"/>
  <c r="U91" i="2"/>
  <c r="H152" i="15"/>
  <c r="H170" i="15" s="1"/>
  <c r="H46" i="15"/>
  <c r="H83" i="15"/>
  <c r="H84" i="15" s="1"/>
  <c r="H65" i="15"/>
  <c r="W49" i="5"/>
  <c r="W52" i="5"/>
  <c r="G151" i="15"/>
  <c r="G169" i="15" s="1"/>
  <c r="E152" i="15"/>
  <c r="E46" i="15"/>
  <c r="Z52" i="2"/>
  <c r="Z53" i="2" s="1"/>
  <c r="Z54" i="2" s="1"/>
  <c r="Z26" i="2"/>
  <c r="Z27" i="2" s="1"/>
  <c r="Z28" i="2" s="1"/>
  <c r="Z39" i="2"/>
  <c r="Z40" i="2" s="1"/>
  <c r="Z41" i="2" s="1"/>
  <c r="Z16" i="2"/>
  <c r="Z17" i="2" s="1"/>
  <c r="Z18" i="2" s="1"/>
  <c r="S39" i="13"/>
  <c r="B151" i="9"/>
  <c r="B169" i="9" s="1"/>
  <c r="B45" i="9"/>
  <c r="K38" i="13" s="1"/>
  <c r="L38" i="13" s="1"/>
  <c r="V108" i="2"/>
  <c r="U109" i="2"/>
  <c r="V57" i="2"/>
  <c r="U58" i="2"/>
  <c r="U60" i="2" s="1"/>
  <c r="V119" i="2"/>
  <c r="U120" i="2"/>
  <c r="G46" i="9"/>
  <c r="F83" i="15"/>
  <c r="F65" i="15"/>
  <c r="F86" i="15" s="1"/>
  <c r="F87" i="15" s="1"/>
  <c r="F153" i="15"/>
  <c r="J153" i="9"/>
  <c r="J171" i="9" s="1"/>
  <c r="J47" i="9"/>
  <c r="J86" i="9" s="1"/>
  <c r="V132" i="2"/>
  <c r="U133" i="2"/>
  <c r="T73" i="2"/>
  <c r="T76" i="2" s="1"/>
  <c r="T35" i="2"/>
  <c r="T38" i="2" s="1"/>
  <c r="E170" i="15" l="1"/>
  <c r="U61" i="2"/>
  <c r="U64" i="2" s="1"/>
  <c r="S16" i="13"/>
  <c r="G16" i="13"/>
  <c r="E170" i="9"/>
  <c r="H171" i="9"/>
  <c r="C171" i="9"/>
  <c r="C171" i="15"/>
  <c r="G170" i="9"/>
  <c r="P59" i="13"/>
  <c r="B113" i="13"/>
  <c r="F84" i="15"/>
  <c r="G152" i="15"/>
  <c r="G170" i="15" s="1"/>
  <c r="G82" i="9"/>
  <c r="AA52" i="2"/>
  <c r="AA53" i="2" s="1"/>
  <c r="AA54" i="2" s="1"/>
  <c r="AA26" i="2"/>
  <c r="AA27" i="2" s="1"/>
  <c r="AA28" i="2" s="1"/>
  <c r="AA39" i="2"/>
  <c r="AA40" i="2" s="1"/>
  <c r="AA41" i="2" s="1"/>
  <c r="AA16" i="2"/>
  <c r="AA17" i="2" s="1"/>
  <c r="AA18" i="2" s="1"/>
  <c r="C116" i="9"/>
  <c r="C111" i="9" s="1"/>
  <c r="C86" i="9"/>
  <c r="U44" i="2"/>
  <c r="T45" i="2"/>
  <c r="T47" i="2" s="1"/>
  <c r="T48" i="2" s="1"/>
  <c r="T51" i="2" s="1"/>
  <c r="C113" i="13"/>
  <c r="L61" i="13"/>
  <c r="G47" i="9"/>
  <c r="G116" i="9" s="1"/>
  <c r="G111" i="9" s="1"/>
  <c r="W108" i="2"/>
  <c r="V109" i="2"/>
  <c r="Z157" i="2"/>
  <c r="Z34" i="2"/>
  <c r="S61" i="13"/>
  <c r="E153" i="9"/>
  <c r="E47" i="9"/>
  <c r="B116" i="15"/>
  <c r="B111" i="15" s="1"/>
  <c r="B86" i="15"/>
  <c r="B87" i="15" s="1"/>
  <c r="I153" i="9"/>
  <c r="I171" i="9" s="1"/>
  <c r="I47" i="9"/>
  <c r="G82" i="15"/>
  <c r="W57" i="2"/>
  <c r="V58" i="2"/>
  <c r="V60" i="2" s="1"/>
  <c r="W31" i="2"/>
  <c r="V32" i="2"/>
  <c r="U73" i="2"/>
  <c r="U76" i="2" s="1"/>
  <c r="U35" i="2"/>
  <c r="U38" i="2" s="1"/>
  <c r="Z158" i="2"/>
  <c r="H116" i="9"/>
  <c r="H111" i="9" s="1"/>
  <c r="H86" i="9"/>
  <c r="F171" i="15"/>
  <c r="Z159" i="2"/>
  <c r="H153" i="15"/>
  <c r="H171" i="15" s="1"/>
  <c r="H47" i="15"/>
  <c r="H116" i="15" s="1"/>
  <c r="H111" i="15" s="1"/>
  <c r="D152" i="9"/>
  <c r="D170" i="9" s="1"/>
  <c r="D46" i="9"/>
  <c r="AD6" i="3"/>
  <c r="AH6" i="3"/>
  <c r="AI6" i="3" s="1"/>
  <c r="U110" i="2"/>
  <c r="U114" i="2" s="1"/>
  <c r="W21" i="2"/>
  <c r="V22" i="2"/>
  <c r="V24" i="2" s="1"/>
  <c r="U134" i="2"/>
  <c r="B152" i="9"/>
  <c r="B170" i="9" s="1"/>
  <c r="B46" i="9"/>
  <c r="B47" i="9" s="1"/>
  <c r="W132" i="2"/>
  <c r="V133" i="2"/>
  <c r="E153" i="15"/>
  <c r="E47" i="15"/>
  <c r="K62" i="13"/>
  <c r="K63" i="13" s="1"/>
  <c r="G47" i="15"/>
  <c r="G116" i="15" s="1"/>
  <c r="G111" i="15" s="1"/>
  <c r="C116" i="15"/>
  <c r="C111" i="15" s="1"/>
  <c r="C86" i="15"/>
  <c r="C87" i="15" s="1"/>
  <c r="AC10" i="3"/>
  <c r="J87" i="9"/>
  <c r="U121" i="2"/>
  <c r="U125" i="2" s="1"/>
  <c r="U93" i="2"/>
  <c r="U94" i="2" s="1"/>
  <c r="V91" i="2"/>
  <c r="D152" i="15"/>
  <c r="D170" i="15" s="1"/>
  <c r="D46" i="15"/>
  <c r="W119" i="2"/>
  <c r="V120" i="2"/>
  <c r="T162" i="2"/>
  <c r="T97" i="2"/>
  <c r="T98" i="2" s="1"/>
  <c r="T101" i="2" s="1"/>
  <c r="G64" i="15"/>
  <c r="G153" i="15" s="1"/>
  <c r="G64" i="9"/>
  <c r="G65" i="9" s="1"/>
  <c r="I116" i="15"/>
  <c r="I111" i="15" s="1"/>
  <c r="I86" i="15"/>
  <c r="I87" i="15" s="1"/>
  <c r="E171" i="9" l="1"/>
  <c r="E171" i="15"/>
  <c r="S17" i="13"/>
  <c r="G17" i="13"/>
  <c r="C94" i="13"/>
  <c r="C86" i="13"/>
  <c r="P60" i="13"/>
  <c r="G86" i="9"/>
  <c r="AC7" i="3" s="1"/>
  <c r="G83" i="9"/>
  <c r="G84" i="9" s="1"/>
  <c r="B116" i="9"/>
  <c r="B111" i="9" s="1"/>
  <c r="B86" i="9"/>
  <c r="B153" i="9"/>
  <c r="B171" i="9" s="1"/>
  <c r="K39" i="13"/>
  <c r="V121" i="2"/>
  <c r="V125" i="2" s="1"/>
  <c r="G153" i="9"/>
  <c r="G171" i="9" s="1"/>
  <c r="G171" i="15"/>
  <c r="V134" i="2"/>
  <c r="V110" i="2"/>
  <c r="V114" i="2" s="1"/>
  <c r="V93" i="2"/>
  <c r="V94" i="2" s="1"/>
  <c r="W91" i="2"/>
  <c r="I116" i="9"/>
  <c r="I111" i="9" s="1"/>
  <c r="I86" i="9"/>
  <c r="V73" i="2"/>
  <c r="V76" i="2" s="1"/>
  <c r="V35" i="2"/>
  <c r="V38" i="2" s="1"/>
  <c r="AA158" i="2"/>
  <c r="S62" i="13"/>
  <c r="G83" i="15"/>
  <c r="G84" i="15" s="1"/>
  <c r="AB52" i="2"/>
  <c r="AB53" i="2" s="1"/>
  <c r="AB54" i="2" s="1"/>
  <c r="AB39" i="2"/>
  <c r="AB40" i="2" s="1"/>
  <c r="AB41" i="2" s="1"/>
  <c r="AB16" i="2"/>
  <c r="AB17" i="2" s="1"/>
  <c r="AB18" i="2" s="1"/>
  <c r="AB26" i="2"/>
  <c r="AB27" i="2" s="1"/>
  <c r="AB28" i="2" s="1"/>
  <c r="AD10" i="3"/>
  <c r="AH10" i="3"/>
  <c r="AI10" i="3" s="1"/>
  <c r="X21" i="2"/>
  <c r="W22" i="2"/>
  <c r="W24" i="2" s="1"/>
  <c r="AA159" i="2"/>
  <c r="D153" i="15"/>
  <c r="D171" i="15" s="1"/>
  <c r="D47" i="15"/>
  <c r="H86" i="15"/>
  <c r="H87" i="15" s="1"/>
  <c r="AC8" i="3"/>
  <c r="H87" i="9"/>
  <c r="V61" i="2"/>
  <c r="V64" i="2" s="1"/>
  <c r="E116" i="9"/>
  <c r="E111" i="9" s="1"/>
  <c r="E86" i="9"/>
  <c r="X108" i="2"/>
  <c r="W109" i="2"/>
  <c r="U162" i="2"/>
  <c r="U97" i="2"/>
  <c r="U98" i="2" s="1"/>
  <c r="U101" i="2" s="1"/>
  <c r="X119" i="2"/>
  <c r="W120" i="2"/>
  <c r="E116" i="15"/>
  <c r="E111" i="15" s="1"/>
  <c r="E86" i="15"/>
  <c r="E87" i="15" s="1"/>
  <c r="AA157" i="2"/>
  <c r="AA34" i="2"/>
  <c r="X31" i="2"/>
  <c r="W32" i="2"/>
  <c r="V44" i="2"/>
  <c r="U45" i="2"/>
  <c r="U47" i="2" s="1"/>
  <c r="U48" i="2" s="1"/>
  <c r="U51" i="2" s="1"/>
  <c r="J62" i="13"/>
  <c r="J63" i="13" s="1"/>
  <c r="G65" i="15"/>
  <c r="G86" i="15" s="1"/>
  <c r="G87" i="15" s="1"/>
  <c r="X132" i="2"/>
  <c r="W133" i="2"/>
  <c r="D153" i="9"/>
  <c r="D171" i="9" s="1"/>
  <c r="D47" i="9"/>
  <c r="X57" i="2"/>
  <c r="W58" i="2"/>
  <c r="W60" i="2" s="1"/>
  <c r="AC3" i="3"/>
  <c r="C87" i="9"/>
  <c r="S18" i="13" l="1"/>
  <c r="G18" i="13"/>
  <c r="C93" i="13"/>
  <c r="C96" i="13" s="1"/>
  <c r="C85" i="13"/>
  <c r="C87" i="13" s="1"/>
  <c r="K40" i="13"/>
  <c r="L39" i="13"/>
  <c r="P61" i="13"/>
  <c r="G87" i="9"/>
  <c r="AC2" i="3"/>
  <c r="B87" i="9"/>
  <c r="B114" i="13"/>
  <c r="W134" i="2"/>
  <c r="W121" i="2"/>
  <c r="W125" i="2" s="1"/>
  <c r="W110" i="2"/>
  <c r="W114" i="2" s="1"/>
  <c r="W73" i="2"/>
  <c r="W76" i="2" s="1"/>
  <c r="W35" i="2"/>
  <c r="W38" i="2" s="1"/>
  <c r="AB159" i="2"/>
  <c r="Y119" i="2"/>
  <c r="X120" i="2"/>
  <c r="Y21" i="2"/>
  <c r="X22" i="2"/>
  <c r="X24" i="2" s="1"/>
  <c r="W44" i="2"/>
  <c r="V45" i="2"/>
  <c r="V47" i="2" s="1"/>
  <c r="V48" i="2" s="1"/>
  <c r="V51" i="2" s="1"/>
  <c r="Y132" i="2"/>
  <c r="X133" i="2"/>
  <c r="Y31" i="2"/>
  <c r="X32" i="2"/>
  <c r="AD8" i="3"/>
  <c r="AH8" i="3"/>
  <c r="AI8" i="3" s="1"/>
  <c r="AC9" i="3"/>
  <c r="I87" i="9"/>
  <c r="AD3" i="3"/>
  <c r="AH3" i="3"/>
  <c r="AI3" i="3" s="1"/>
  <c r="AB157" i="2"/>
  <c r="AB34" i="2"/>
  <c r="W61" i="2"/>
  <c r="W64" i="2" s="1"/>
  <c r="Y108" i="2"/>
  <c r="X109" i="2"/>
  <c r="AC26" i="2"/>
  <c r="AC27" i="2" s="1"/>
  <c r="AC28" i="2" s="1"/>
  <c r="AC52" i="2"/>
  <c r="AC53" i="2" s="1"/>
  <c r="AC54" i="2" s="1"/>
  <c r="AC39" i="2"/>
  <c r="AC40" i="2" s="1"/>
  <c r="AC41" i="2" s="1"/>
  <c r="AC16" i="2"/>
  <c r="AC17" i="2" s="1"/>
  <c r="AC18" i="2" s="1"/>
  <c r="V162" i="2"/>
  <c r="V97" i="2"/>
  <c r="V98" i="2" s="1"/>
  <c r="V101" i="2" s="1"/>
  <c r="L62" i="13"/>
  <c r="L63" i="13" s="1"/>
  <c r="C114" i="13"/>
  <c r="D116" i="15"/>
  <c r="D111" i="15" s="1"/>
  <c r="D86" i="15"/>
  <c r="D87" i="15" s="1"/>
  <c r="W93" i="2"/>
  <c r="W94" i="2" s="1"/>
  <c r="X91" i="2"/>
  <c r="Y57" i="2"/>
  <c r="X58" i="2"/>
  <c r="X60" i="2" s="1"/>
  <c r="AD7" i="3"/>
  <c r="AH7" i="3"/>
  <c r="AI7" i="3" s="1"/>
  <c r="AC5" i="3"/>
  <c r="E87" i="9"/>
  <c r="D116" i="9"/>
  <c r="D111" i="9" s="1"/>
  <c r="D86" i="9"/>
  <c r="AB158" i="2"/>
  <c r="S19" i="13" l="1"/>
  <c r="G19" i="13"/>
  <c r="B86" i="13"/>
  <c r="B94" i="13"/>
  <c r="P62" i="13"/>
  <c r="AH2" i="3"/>
  <c r="AI2" i="3" s="1"/>
  <c r="AD2" i="3"/>
  <c r="AD39" i="2"/>
  <c r="AD40" i="2" s="1"/>
  <c r="AD41" i="2" s="1"/>
  <c r="AD16" i="2"/>
  <c r="AD17" i="2" s="1"/>
  <c r="AD18" i="2" s="1"/>
  <c r="AD52" i="2"/>
  <c r="AD53" i="2" s="1"/>
  <c r="AD54" i="2" s="1"/>
  <c r="AD26" i="2"/>
  <c r="AD27" i="2" s="1"/>
  <c r="AD28" i="2" s="1"/>
  <c r="Z21" i="2"/>
  <c r="Y22" i="2"/>
  <c r="Y24" i="2" s="1"/>
  <c r="X121" i="2"/>
  <c r="X125" i="2" s="1"/>
  <c r="X73" i="2"/>
  <c r="X76" i="2" s="1"/>
  <c r="X35" i="2"/>
  <c r="X38" i="2" s="1"/>
  <c r="AC158" i="2"/>
  <c r="Z31" i="2"/>
  <c r="Y32" i="2"/>
  <c r="Z119" i="2"/>
  <c r="Y120" i="2"/>
  <c r="AC159" i="2"/>
  <c r="X134" i="2"/>
  <c r="AD5" i="3"/>
  <c r="AH5" i="3"/>
  <c r="AI5" i="3" s="1"/>
  <c r="AC4" i="3"/>
  <c r="D87" i="9"/>
  <c r="Z57" i="2"/>
  <c r="Y58" i="2"/>
  <c r="Y60" i="2" s="1"/>
  <c r="AC157" i="2"/>
  <c r="AC34" i="2"/>
  <c r="Z132" i="2"/>
  <c r="Y133" i="2"/>
  <c r="X93" i="2"/>
  <c r="X94" i="2" s="1"/>
  <c r="Y91" i="2"/>
  <c r="X110" i="2"/>
  <c r="X114" i="2" s="1"/>
  <c r="X61" i="2"/>
  <c r="X64" i="2" s="1"/>
  <c r="W162" i="2"/>
  <c r="W97" i="2"/>
  <c r="W98" i="2" s="1"/>
  <c r="W101" i="2" s="1"/>
  <c r="Z108" i="2"/>
  <c r="Y109" i="2"/>
  <c r="AD9" i="3"/>
  <c r="AH9" i="3"/>
  <c r="AI9" i="3" s="1"/>
  <c r="X44" i="2"/>
  <c r="W45" i="2"/>
  <c r="W47" i="2" s="1"/>
  <c r="W48" i="2" s="1"/>
  <c r="W51" i="2" s="1"/>
  <c r="S20" i="13" l="1"/>
  <c r="G20" i="13"/>
  <c r="Y110" i="2"/>
  <c r="Y114" i="2" s="1"/>
  <c r="Y134" i="2"/>
  <c r="AD4" i="3"/>
  <c r="AH4" i="3"/>
  <c r="AI4" i="3" s="1"/>
  <c r="AD158" i="2"/>
  <c r="AA132" i="2"/>
  <c r="Z133" i="2"/>
  <c r="AA31" i="2"/>
  <c r="Z32" i="2"/>
  <c r="AD157" i="2"/>
  <c r="AD34" i="2"/>
  <c r="AA119" i="2"/>
  <c r="Z120" i="2"/>
  <c r="AD159" i="2"/>
  <c r="X162" i="2"/>
  <c r="X97" i="2"/>
  <c r="X98" i="2" s="1"/>
  <c r="X101" i="2" s="1"/>
  <c r="AA108" i="2"/>
  <c r="Z109" i="2"/>
  <c r="Y73" i="2"/>
  <c r="Y76" i="2" s="1"/>
  <c r="Y35" i="2"/>
  <c r="Y38" i="2" s="1"/>
  <c r="Y44" i="2"/>
  <c r="X45" i="2"/>
  <c r="X47" i="2" s="1"/>
  <c r="X48" i="2" s="1"/>
  <c r="X51" i="2" s="1"/>
  <c r="Y61" i="2"/>
  <c r="Y64" i="2" s="1"/>
  <c r="AE26" i="2"/>
  <c r="AE27" i="2" s="1"/>
  <c r="AE28" i="2" s="1"/>
  <c r="AE39" i="2"/>
  <c r="AE40" i="2" s="1"/>
  <c r="AE41" i="2" s="1"/>
  <c r="AE52" i="2"/>
  <c r="AE53" i="2" s="1"/>
  <c r="AE54" i="2" s="1"/>
  <c r="AE16" i="2"/>
  <c r="AE17" i="2" s="1"/>
  <c r="AE18" i="2" s="1"/>
  <c r="AA21" i="2"/>
  <c r="Z22" i="2"/>
  <c r="Z24" i="2" s="1"/>
  <c r="Y93" i="2"/>
  <c r="Y94" i="2" s="1"/>
  <c r="Z91" i="2"/>
  <c r="AA57" i="2"/>
  <c r="Z58" i="2"/>
  <c r="Z60" i="2" s="1"/>
  <c r="Y121" i="2"/>
  <c r="Y125" i="2" s="1"/>
  <c r="AB31" i="2" l="1"/>
  <c r="AA32" i="2"/>
  <c r="Z121" i="2"/>
  <c r="Z125" i="2" s="1"/>
  <c r="Z44" i="2"/>
  <c r="Y45" i="2"/>
  <c r="Y47" i="2" s="1"/>
  <c r="Y48" i="2" s="1"/>
  <c r="Y51" i="2" s="1"/>
  <c r="AF52" i="2"/>
  <c r="AF53" i="2" s="1"/>
  <c r="AF54" i="2" s="1"/>
  <c r="AF16" i="2"/>
  <c r="AF17" i="2" s="1"/>
  <c r="AF18" i="2" s="1"/>
  <c r="AF39" i="2"/>
  <c r="AF40" i="2" s="1"/>
  <c r="AF41" i="2" s="1"/>
  <c r="AF26" i="2"/>
  <c r="AF27" i="2" s="1"/>
  <c r="AF28" i="2" s="1"/>
  <c r="Z134" i="2"/>
  <c r="AE159" i="2"/>
  <c r="AB119" i="2"/>
  <c r="AA120" i="2"/>
  <c r="Z73" i="2"/>
  <c r="Z76" i="2" s="1"/>
  <c r="Z35" i="2"/>
  <c r="Z38" i="2" s="1"/>
  <c r="AB21" i="2"/>
  <c r="AA22" i="2"/>
  <c r="AA24" i="2" s="1"/>
  <c r="AB132" i="2"/>
  <c r="AA133" i="2"/>
  <c r="AB108" i="2"/>
  <c r="AA109" i="2"/>
  <c r="Z61" i="2"/>
  <c r="Z64" i="2" s="1"/>
  <c r="AB57" i="2"/>
  <c r="AA58" i="2"/>
  <c r="AA60" i="2" s="1"/>
  <c r="Z110" i="2"/>
  <c r="Z114" i="2" s="1"/>
  <c r="AE158" i="2"/>
  <c r="Z93" i="2"/>
  <c r="Z94" i="2" s="1"/>
  <c r="AA91" i="2"/>
  <c r="AE157" i="2"/>
  <c r="AE34" i="2"/>
  <c r="Y162" i="2"/>
  <c r="Y97" i="2"/>
  <c r="Y98" i="2" s="1"/>
  <c r="Y101" i="2" s="1"/>
  <c r="AA110" i="2" l="1"/>
  <c r="AA114" i="2" s="1"/>
  <c r="AA121" i="2"/>
  <c r="AA125" i="2" s="1"/>
  <c r="AA134" i="2"/>
  <c r="AA61" i="2"/>
  <c r="AA64" i="2" s="1"/>
  <c r="AG39" i="2"/>
  <c r="AG40" i="2" s="1"/>
  <c r="AG41" i="2" s="1"/>
  <c r="AG52" i="2"/>
  <c r="AG53" i="2" s="1"/>
  <c r="AG54" i="2" s="1"/>
  <c r="AG26" i="2"/>
  <c r="AG27" i="2" s="1"/>
  <c r="AG28" i="2" s="1"/>
  <c r="AG16" i="2"/>
  <c r="AG17" i="2" s="1"/>
  <c r="AG18" i="2" s="1"/>
  <c r="AF159" i="2"/>
  <c r="Z162" i="2"/>
  <c r="Z97" i="2"/>
  <c r="Z98" i="2" s="1"/>
  <c r="Z101" i="2" s="1"/>
  <c r="AC132" i="2"/>
  <c r="AB133" i="2"/>
  <c r="AA44" i="2"/>
  <c r="Z45" i="2"/>
  <c r="Z47" i="2" s="1"/>
  <c r="Z48" i="2" s="1"/>
  <c r="Z51" i="2" s="1"/>
  <c r="AC119" i="2"/>
  <c r="AB120" i="2"/>
  <c r="AC108" i="2"/>
  <c r="AB109" i="2"/>
  <c r="AA73" i="2"/>
  <c r="AA76" i="2" s="1"/>
  <c r="AA35" i="2"/>
  <c r="AA38" i="2" s="1"/>
  <c r="AC21" i="2"/>
  <c r="AB22" i="2"/>
  <c r="AB24" i="2" s="1"/>
  <c r="AC57" i="2"/>
  <c r="AB58" i="2"/>
  <c r="AB60" i="2" s="1"/>
  <c r="AF157" i="2"/>
  <c r="AF34" i="2"/>
  <c r="AA93" i="2"/>
  <c r="AA94" i="2" s="1"/>
  <c r="AB91" i="2"/>
  <c r="AF158" i="2"/>
  <c r="AC31" i="2"/>
  <c r="AB32" i="2"/>
  <c r="AB121" i="2" l="1"/>
  <c r="AB125" i="2" s="1"/>
  <c r="AD119" i="2"/>
  <c r="AC120" i="2"/>
  <c r="AD57" i="2"/>
  <c r="AC58" i="2"/>
  <c r="AC60" i="2" s="1"/>
  <c r="AD21" i="2"/>
  <c r="AC22" i="2"/>
  <c r="AC24" i="2" s="1"/>
  <c r="AH52" i="2"/>
  <c r="AH53" i="2" s="1"/>
  <c r="AH54" i="2" s="1"/>
  <c r="AH26" i="2"/>
  <c r="AH27" i="2" s="1"/>
  <c r="AH28" i="2" s="1"/>
  <c r="AH39" i="2"/>
  <c r="AH40" i="2" s="1"/>
  <c r="AH41" i="2" s="1"/>
  <c r="AH16" i="2"/>
  <c r="AH17" i="2" s="1"/>
  <c r="AH18" i="2" s="1"/>
  <c r="AB134" i="2"/>
  <c r="AB93" i="2"/>
  <c r="AB94" i="2" s="1"/>
  <c r="AC91" i="2"/>
  <c r="AA162" i="2"/>
  <c r="AA97" i="2"/>
  <c r="AA98" i="2" s="1"/>
  <c r="AA101" i="2" s="1"/>
  <c r="AB44" i="2"/>
  <c r="AA45" i="2"/>
  <c r="AA47" i="2" s="1"/>
  <c r="AA48" i="2" s="1"/>
  <c r="AA51" i="2" s="1"/>
  <c r="AD132" i="2"/>
  <c r="AC133" i="2"/>
  <c r="AG157" i="2"/>
  <c r="AG34" i="2"/>
  <c r="AB110" i="2"/>
  <c r="AB114" i="2" s="1"/>
  <c r="AG159" i="2"/>
  <c r="AB73" i="2"/>
  <c r="AB76" i="2" s="1"/>
  <c r="AB35" i="2"/>
  <c r="AB38" i="2" s="1"/>
  <c r="AD31" i="2"/>
  <c r="AC32" i="2"/>
  <c r="AB61" i="2"/>
  <c r="AB64" i="2" s="1"/>
  <c r="AD108" i="2"/>
  <c r="AC109" i="2"/>
  <c r="AG158" i="2"/>
  <c r="AC134" i="2" l="1"/>
  <c r="AE31" i="2"/>
  <c r="AD32" i="2"/>
  <c r="AB162" i="2"/>
  <c r="AB97" i="2"/>
  <c r="AB98" i="2" s="1"/>
  <c r="AB101" i="2" s="1"/>
  <c r="AE132" i="2"/>
  <c r="AD133" i="2"/>
  <c r="AE21" i="2"/>
  <c r="AD22" i="2"/>
  <c r="AD24" i="2" s="1"/>
  <c r="AC93" i="2"/>
  <c r="AC94" i="2" s="1"/>
  <c r="AD91" i="2"/>
  <c r="AC73" i="2"/>
  <c r="AC76" i="2" s="1"/>
  <c r="AC35" i="2"/>
  <c r="AC38" i="2" s="1"/>
  <c r="AC61" i="2"/>
  <c r="AC64" i="2" s="1"/>
  <c r="AH157" i="2"/>
  <c r="AH34" i="2"/>
  <c r="AE57" i="2"/>
  <c r="AD58" i="2"/>
  <c r="AD60" i="2" s="1"/>
  <c r="AC44" i="2"/>
  <c r="AB45" i="2"/>
  <c r="AB47" i="2" s="1"/>
  <c r="AB48" i="2" s="1"/>
  <c r="AB51" i="2" s="1"/>
  <c r="AI52" i="2"/>
  <c r="AI53" i="2" s="1"/>
  <c r="AI54" i="2" s="1"/>
  <c r="AI26" i="2"/>
  <c r="AI27" i="2" s="1"/>
  <c r="AI28" i="2" s="1"/>
  <c r="AI39" i="2"/>
  <c r="AI40" i="2" s="1"/>
  <c r="AI41" i="2" s="1"/>
  <c r="AI16" i="2"/>
  <c r="AC121" i="2"/>
  <c r="AC125" i="2" s="1"/>
  <c r="AH159" i="2"/>
  <c r="AC110" i="2"/>
  <c r="AC114" i="2" s="1"/>
  <c r="AE108" i="2"/>
  <c r="AD109" i="2"/>
  <c r="AH158" i="2"/>
  <c r="AE119" i="2"/>
  <c r="AD120" i="2"/>
  <c r="AD121" i="2" l="1"/>
  <c r="AD125" i="2" s="1"/>
  <c r="AD134" i="2"/>
  <c r="AD110" i="2"/>
  <c r="AD114" i="2" s="1"/>
  <c r="AD61" i="2"/>
  <c r="AD64" i="2" s="1"/>
  <c r="AF132" i="2"/>
  <c r="AE133" i="2"/>
  <c r="AI157" i="2"/>
  <c r="AI34" i="2"/>
  <c r="AF108" i="2"/>
  <c r="AE109" i="2"/>
  <c r="AF119" i="2"/>
  <c r="AE120" i="2"/>
  <c r="AF57" i="2"/>
  <c r="AE58" i="2"/>
  <c r="AE60" i="2" s="1"/>
  <c r="AD93" i="2"/>
  <c r="AD94" i="2" s="1"/>
  <c r="AE91" i="2"/>
  <c r="AI159" i="2"/>
  <c r="AD44" i="2"/>
  <c r="AC45" i="2"/>
  <c r="AC47" i="2" s="1"/>
  <c r="AC48" i="2" s="1"/>
  <c r="AC51" i="2" s="1"/>
  <c r="AC162" i="2"/>
  <c r="AC97" i="2"/>
  <c r="AC98" i="2" s="1"/>
  <c r="AC101" i="2" s="1"/>
  <c r="AF31" i="2"/>
  <c r="AE32" i="2"/>
  <c r="AF21" i="2"/>
  <c r="AE22" i="2"/>
  <c r="AE24" i="2" s="1"/>
  <c r="AI17" i="2"/>
  <c r="AI18" i="2" s="1"/>
  <c r="AJ16" i="2"/>
  <c r="AI158" i="2"/>
  <c r="AD73" i="2"/>
  <c r="AD76" i="2" s="1"/>
  <c r="AD35" i="2"/>
  <c r="AD38" i="2" s="1"/>
  <c r="AG108" i="2" l="1"/>
  <c r="AF109" i="2"/>
  <c r="AG31" i="2"/>
  <c r="AF32" i="2"/>
  <c r="AE61" i="2"/>
  <c r="AE64" i="2" s="1"/>
  <c r="AG57" i="2"/>
  <c r="AF58" i="2"/>
  <c r="AF60" i="2" s="1"/>
  <c r="AE110" i="2"/>
  <c r="AE114" i="2" s="1"/>
  <c r="AD162" i="2"/>
  <c r="AD97" i="2"/>
  <c r="AD98" i="2" s="1"/>
  <c r="AD101" i="2" s="1"/>
  <c r="AE134" i="2"/>
  <c r="AE73" i="2"/>
  <c r="AE76" i="2" s="1"/>
  <c r="AE35" i="2"/>
  <c r="AE38" i="2" s="1"/>
  <c r="AG21" i="2"/>
  <c r="AF22" i="2"/>
  <c r="AF24" i="2" s="1"/>
  <c r="AE93" i="2"/>
  <c r="AE94" i="2" s="1"/>
  <c r="AF91" i="2"/>
  <c r="AE121" i="2"/>
  <c r="AE125" i="2" s="1"/>
  <c r="AE44" i="2"/>
  <c r="AD45" i="2"/>
  <c r="AD47" i="2" s="1"/>
  <c r="AD48" i="2" s="1"/>
  <c r="AD51" i="2" s="1"/>
  <c r="AG119" i="2"/>
  <c r="AF120" i="2"/>
  <c r="AG132" i="2"/>
  <c r="AF133" i="2"/>
  <c r="AF61" i="2" l="1"/>
  <c r="AF64" i="2" s="1"/>
  <c r="AF121" i="2"/>
  <c r="AF125" i="2" s="1"/>
  <c r="AH57" i="2"/>
  <c r="AG58" i="2"/>
  <c r="AG60" i="2" s="1"/>
  <c r="AH21" i="2"/>
  <c r="AG22" i="2"/>
  <c r="AG24" i="2" s="1"/>
  <c r="AF73" i="2"/>
  <c r="AF76" i="2" s="1"/>
  <c r="AF35" i="2"/>
  <c r="AF38" i="2" s="1"/>
  <c r="AH119" i="2"/>
  <c r="AG120" i="2"/>
  <c r="AF44" i="2"/>
  <c r="AE45" i="2"/>
  <c r="AE47" i="2" s="1"/>
  <c r="AE48" i="2" s="1"/>
  <c r="AE51" i="2" s="1"/>
  <c r="AH31" i="2"/>
  <c r="AG32" i="2"/>
  <c r="AF93" i="2"/>
  <c r="AF94" i="2" s="1"/>
  <c r="AG91" i="2"/>
  <c r="AF110" i="2"/>
  <c r="AF114" i="2" s="1"/>
  <c r="AF134" i="2"/>
  <c r="AH132" i="2"/>
  <c r="AG133" i="2"/>
  <c r="AE162" i="2"/>
  <c r="AE97" i="2"/>
  <c r="AE98" i="2" s="1"/>
  <c r="AE101" i="2" s="1"/>
  <c r="AH108" i="2"/>
  <c r="AG109" i="2"/>
  <c r="AG110" i="2" s="1"/>
  <c r="AG114" i="2" s="1"/>
  <c r="AG134" i="2" l="1"/>
  <c r="AG121" i="2"/>
  <c r="AG125" i="2" s="1"/>
  <c r="AG73" i="2"/>
  <c r="AG76" i="2" s="1"/>
  <c r="AG35" i="2"/>
  <c r="AG38" i="2" s="1"/>
  <c r="AI119" i="2"/>
  <c r="AI120" i="2" s="1"/>
  <c r="AH120" i="2"/>
  <c r="AI108" i="2"/>
  <c r="AI109" i="2" s="1"/>
  <c r="AH109" i="2"/>
  <c r="AF162" i="2"/>
  <c r="AF97" i="2"/>
  <c r="AF98" i="2" s="1"/>
  <c r="AF101" i="2" s="1"/>
  <c r="AI31" i="2"/>
  <c r="AI32" i="2" s="1"/>
  <c r="AH32" i="2"/>
  <c r="AI21" i="2"/>
  <c r="AI22" i="2" s="1"/>
  <c r="AI24" i="2" s="1"/>
  <c r="AH22" i="2"/>
  <c r="AH24" i="2" s="1"/>
  <c r="AG93" i="2"/>
  <c r="AG94" i="2" s="1"/>
  <c r="AH91" i="2"/>
  <c r="AG61" i="2"/>
  <c r="AG64" i="2" s="1"/>
  <c r="AI132" i="2"/>
  <c r="AI133" i="2" s="1"/>
  <c r="AH133" i="2"/>
  <c r="AG44" i="2"/>
  <c r="AF45" i="2"/>
  <c r="AF47" i="2" s="1"/>
  <c r="AF48" i="2" s="1"/>
  <c r="AF51" i="2" s="1"/>
  <c r="AI57" i="2"/>
  <c r="AI58" i="2" s="1"/>
  <c r="AI60" i="2" s="1"/>
  <c r="AH58" i="2"/>
  <c r="AH60" i="2" s="1"/>
  <c r="AI61" i="2" l="1"/>
  <c r="AI64" i="2" s="1"/>
  <c r="AI110" i="2"/>
  <c r="AI114" i="2" s="1"/>
  <c r="AH110" i="2"/>
  <c r="AH114" i="2" s="1"/>
  <c r="AH61" i="2"/>
  <c r="AH64" i="2" s="1"/>
  <c r="AI134" i="2"/>
  <c r="AH93" i="2"/>
  <c r="AH94" i="2" s="1"/>
  <c r="AI91" i="2"/>
  <c r="AI93" i="2" s="1"/>
  <c r="AI94" i="2" s="1"/>
  <c r="AH73" i="2"/>
  <c r="AH76" i="2" s="1"/>
  <c r="AH35" i="2"/>
  <c r="AH38" i="2" s="1"/>
  <c r="AH121" i="2"/>
  <c r="AH125" i="2" s="1"/>
  <c r="AI121" i="2"/>
  <c r="AI125" i="2" s="1"/>
  <c r="AH44" i="2"/>
  <c r="AG45" i="2"/>
  <c r="AG47" i="2" s="1"/>
  <c r="AG48" i="2" s="1"/>
  <c r="AG51" i="2" s="1"/>
  <c r="AG162" i="2"/>
  <c r="AG97" i="2"/>
  <c r="AG98" i="2" s="1"/>
  <c r="AG101" i="2" s="1"/>
  <c r="AI73" i="2"/>
  <c r="AI76" i="2" s="1"/>
  <c r="AI35" i="2"/>
  <c r="AI38" i="2" s="1"/>
  <c r="AH134" i="2"/>
  <c r="AI44" i="2" l="1"/>
  <c r="AI45" i="2" s="1"/>
  <c r="AI47" i="2" s="1"/>
  <c r="AI48" i="2" s="1"/>
  <c r="AI51" i="2" s="1"/>
  <c r="AH45" i="2"/>
  <c r="AH47" i="2" s="1"/>
  <c r="AH48" i="2" s="1"/>
  <c r="AH51" i="2" s="1"/>
  <c r="AI162" i="2"/>
  <c r="AI97" i="2"/>
  <c r="AI98" i="2" s="1"/>
  <c r="AI101" i="2" s="1"/>
  <c r="AH162" i="2"/>
  <c r="AH97" i="2"/>
  <c r="AH98" i="2" s="1"/>
  <c r="AH101" i="2" s="1"/>
  <c r="H25" i="13" l="1"/>
  <c r="P25" i="13" s="1"/>
  <c r="B54" i="13"/>
  <c r="H40" i="13" l="1"/>
  <c r="B91" i="13" s="1"/>
  <c r="B96" i="13" s="1"/>
  <c r="F6" i="13"/>
  <c r="R6" i="13"/>
  <c r="P26" i="13"/>
  <c r="B74" i="13"/>
  <c r="B78" i="13" s="1"/>
  <c r="L25" i="13"/>
  <c r="L40" i="13" s="1"/>
  <c r="B68" i="13" l="1"/>
  <c r="B70" i="13" s="1"/>
  <c r="B83" i="13"/>
  <c r="B87" i="13" s="1"/>
  <c r="P27" i="13"/>
  <c r="R7" i="13"/>
  <c r="F7" i="13"/>
  <c r="F8" i="13" l="1"/>
  <c r="R8" i="13"/>
  <c r="P28" i="13"/>
  <c r="P29" i="13" l="1"/>
  <c r="R9" i="13"/>
  <c r="F9" i="13"/>
  <c r="R10" i="13" l="1"/>
  <c r="F10" i="13"/>
  <c r="P30" i="13"/>
  <c r="F11" i="13" l="1"/>
  <c r="P31" i="13"/>
  <c r="R11" i="13"/>
  <c r="P32" i="13" l="1"/>
  <c r="R12" i="13"/>
  <c r="F12" i="13"/>
  <c r="F13" i="13" l="1"/>
  <c r="R13" i="13"/>
  <c r="P33" i="13"/>
  <c r="P34" i="13" l="1"/>
  <c r="F14" i="13"/>
  <c r="R14" i="13"/>
  <c r="P35" i="13" l="1"/>
  <c r="R15" i="13"/>
  <c r="F15" i="13"/>
  <c r="F16" i="13" l="1"/>
  <c r="R16" i="13"/>
  <c r="P36" i="13"/>
  <c r="P37" i="13" l="1"/>
  <c r="R17" i="13"/>
  <c r="F17" i="13"/>
  <c r="F18" i="13" l="1"/>
  <c r="R18" i="13"/>
  <c r="P38" i="13"/>
  <c r="R19" i="13" l="1"/>
  <c r="P39" i="13"/>
  <c r="F19" i="13"/>
  <c r="F20" i="13" l="1"/>
  <c r="R2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O'Keefe</author>
  </authors>
  <commentList>
    <comment ref="C2" authorId="0" shapeId="0" xr:uid="{7204B646-952B-4B09-B661-D5170C353B5B}">
      <text>
        <r>
          <rPr>
            <b/>
            <sz val="9"/>
            <color indexed="81"/>
            <rFont val="Tahoma"/>
            <family val="2"/>
          </rPr>
          <t>Andrew O'Keefe:</t>
        </r>
        <r>
          <rPr>
            <sz val="9"/>
            <color indexed="81"/>
            <rFont val="Tahoma"/>
            <family val="2"/>
          </rPr>
          <t xml:space="preserve">
2020 value in original TIGER guidance
</t>
        </r>
      </text>
    </comment>
  </commentList>
</comments>
</file>

<file path=xl/sharedStrings.xml><?xml version="1.0" encoding="utf-8"?>
<sst xmlns="http://schemas.openxmlformats.org/spreadsheetml/2006/main" count="2241" uniqueCount="878">
  <si>
    <t>Comparisons are for Type C school Buses</t>
  </si>
  <si>
    <t>Diesel (B5)</t>
  </si>
  <si>
    <t>Bus Price (per bus)</t>
  </si>
  <si>
    <t>Number of Buses</t>
  </si>
  <si>
    <t>Total Cost of Bus Purchases</t>
  </si>
  <si>
    <t>Annual Miles Travelled (per bus)</t>
  </si>
  <si>
    <t>Total Miles</t>
  </si>
  <si>
    <t>Inflation Rate</t>
  </si>
  <si>
    <t>Maintenance costs per mile</t>
  </si>
  <si>
    <t>Eugene Water &amp; Electric Board (EWEB)</t>
  </si>
  <si>
    <t>Estimated Trans Fuel Prices, Based on AEO and Oregon Data (See Fuel Factors Tab)</t>
  </si>
  <si>
    <t>MT =</t>
  </si>
  <si>
    <t>lbs</t>
  </si>
  <si>
    <t>EV Charging</t>
  </si>
  <si>
    <t>Fuel Energy Factors</t>
  </si>
  <si>
    <t>DEF (Diesel Emissions Fluid)</t>
  </si>
  <si>
    <t>Carbon Intensity</t>
  </si>
  <si>
    <t>Demand (kW per Bus)</t>
  </si>
  <si>
    <t>DEQ Btu Diesel =</t>
  </si>
  <si>
    <t>Bus VMT/year =</t>
  </si>
  <si>
    <t>VMT/year =</t>
  </si>
  <si>
    <t>DEF $ =</t>
  </si>
  <si>
    <t>gal bulk</t>
  </si>
  <si>
    <t>2020 price</t>
  </si>
  <si>
    <t>B5 =</t>
  </si>
  <si>
    <t>lbsCO2e/dge</t>
  </si>
  <si>
    <t>1st demand   kW</t>
  </si>
  <si>
    <t>Diesel Gal/MMBtu =</t>
  </si>
  <si>
    <t>MPG (dge) =</t>
  </si>
  <si>
    <t xml:space="preserve">gal for </t>
  </si>
  <si>
    <t>gal of diesel</t>
  </si>
  <si>
    <t>B20=</t>
  </si>
  <si>
    <t>1st demand $</t>
  </si>
  <si>
    <t>DEQ Btu gasoline =</t>
  </si>
  <si>
    <t>MPG (gge) =</t>
  </si>
  <si>
    <t>B20 or R20 =</t>
  </si>
  <si>
    <t>R20 =</t>
  </si>
  <si>
    <t>2nd demand $</t>
  </si>
  <si>
    <t>Gasoline gal/MMBtu =</t>
  </si>
  <si>
    <t>MPG (lpg) =</t>
  </si>
  <si>
    <t>R99 =</t>
  </si>
  <si>
    <t>Basic Charge</t>
  </si>
  <si>
    <t>DEQ Btu LPG =</t>
  </si>
  <si>
    <t>MPTherm =</t>
  </si>
  <si>
    <t>MPG (cng) =</t>
  </si>
  <si>
    <t>LPG =</t>
  </si>
  <si>
    <t>lbsCO2e/lpg-gal</t>
  </si>
  <si>
    <t>1st kWh</t>
  </si>
  <si>
    <t>LPG gal/MMBtu =</t>
  </si>
  <si>
    <t>kWh/mile =</t>
  </si>
  <si>
    <t>CNG =</t>
  </si>
  <si>
    <t>lbsCO2e/Therm</t>
  </si>
  <si>
    <t>1st kWh $</t>
  </si>
  <si>
    <t># of Vehicles =</t>
  </si>
  <si>
    <t>RNG Landfill =</t>
  </si>
  <si>
    <t>2nd kWh $</t>
  </si>
  <si>
    <t>Total VMT =</t>
  </si>
  <si>
    <t>Maintenance &amp; Repair Cost (per/mi)</t>
  </si>
  <si>
    <t>Electricity CI as selected =</t>
  </si>
  <si>
    <t>lbsCO2e/kWh</t>
  </si>
  <si>
    <t>EV Bus kWh/month</t>
  </si>
  <si>
    <t>Total VMT Monthly =</t>
  </si>
  <si>
    <t>Diesel =</t>
  </si>
  <si>
    <t xml:space="preserve">EV Bus kW/Month </t>
  </si>
  <si>
    <t>Inflation Rate CPI =</t>
  </si>
  <si>
    <t>BEB =</t>
  </si>
  <si>
    <t>CNG=</t>
  </si>
  <si>
    <t>AEO Diesel Fuel nom$/MMBtu</t>
  </si>
  <si>
    <t>AEO Diesel Fuel nom$/gal</t>
  </si>
  <si>
    <t>Diesel Fuel Factor</t>
  </si>
  <si>
    <t>Oregon Fleet Diesel $/gal</t>
  </si>
  <si>
    <t>User Fuel $ Input</t>
  </si>
  <si>
    <t>Diesel Cost per mile =</t>
  </si>
  <si>
    <t>Factor</t>
  </si>
  <si>
    <t>Annual Fuel Cost</t>
  </si>
  <si>
    <t>Gallons of fuel used</t>
  </si>
  <si>
    <t>Gallons of DEF Used</t>
  </si>
  <si>
    <t>DEF Cost</t>
  </si>
  <si>
    <t>Total Fuel + DEF Cost</t>
  </si>
  <si>
    <t>Maintenance &amp; Repair Cost</t>
  </si>
  <si>
    <t>Annual TCO</t>
  </si>
  <si>
    <t>GHG Emissions MT</t>
  </si>
  <si>
    <t xml:space="preserve">B20 </t>
  </si>
  <si>
    <t>AEO Diesel Fuel nom$/MMBtu minus B20 Fuel Factor</t>
  </si>
  <si>
    <t>B20 Fuel Factor</t>
  </si>
  <si>
    <t>B20 Cost per mile =</t>
  </si>
  <si>
    <t>Added Cost or (Savings)</t>
  </si>
  <si>
    <t>GHG Emissions (MT)</t>
  </si>
  <si>
    <t>GHG Reduction (MT)</t>
  </si>
  <si>
    <t>Fleet Cost per MT Reduction</t>
  </si>
  <si>
    <t>R20</t>
  </si>
  <si>
    <t xml:space="preserve">AEO Diesel Fuel nom$/MMBtu minus R20 Fuel Factor  </t>
  </si>
  <si>
    <t>R20 Fuel Factor</t>
  </si>
  <si>
    <t>R20 Cost per mile =</t>
  </si>
  <si>
    <t>R99</t>
  </si>
  <si>
    <t xml:space="preserve">AEO Diesel Fuel nom$/MMBtu minus R99 Fuel Factor   </t>
  </si>
  <si>
    <t>R99 Fuel Factor</t>
  </si>
  <si>
    <t>R99 Cost per mile =</t>
  </si>
  <si>
    <t>LPG</t>
  </si>
  <si>
    <t>AEO LPG nom$/MMBtu</t>
  </si>
  <si>
    <t>LPG Fuel Factor</t>
  </si>
  <si>
    <t>LPG $/gal lpg</t>
  </si>
  <si>
    <t>Oregon Fleet LPG Cost/gal</t>
  </si>
  <si>
    <t>LPG Cost/mile =</t>
  </si>
  <si>
    <t>Electricity</t>
  </si>
  <si>
    <t>AEO Electricity nom$/MMBtu</t>
  </si>
  <si>
    <t>Demand $/mile    (Factor)</t>
  </si>
  <si>
    <t>kWh + Basic Charge $/mile    (Factor)</t>
  </si>
  <si>
    <t>Total Elect. Cost/mile</t>
  </si>
  <si>
    <t>Selected Utility GHG Emissions</t>
  </si>
  <si>
    <t>Selected Utility GHG Reduction (MT)</t>
  </si>
  <si>
    <t>Fleet Cost per Statewide MT Reduction</t>
  </si>
  <si>
    <t>CNG</t>
  </si>
  <si>
    <t>Nom $/MMBtu</t>
  </si>
  <si>
    <t>AEO Retail Cost/Therm</t>
  </si>
  <si>
    <t>Therm</t>
  </si>
  <si>
    <t xml:space="preserve">NWN Natural Schedule 41 ($0.66 Therm)  </t>
  </si>
  <si>
    <t>CNG Cost per mile =</t>
  </si>
  <si>
    <t>Fuel  Consumption (CNG Therms)</t>
  </si>
  <si>
    <t xml:space="preserve">Fleet Cost per MT Reduction or  (Savings) </t>
  </si>
  <si>
    <t>RNG</t>
  </si>
  <si>
    <t xml:space="preserve">NWN rate minus RNG producer payment ($.45)=$$0.66-$.45=$.21 </t>
  </si>
  <si>
    <t>RNG Cost per mile=</t>
  </si>
  <si>
    <t xml:space="preserve">Annual TCO </t>
  </si>
  <si>
    <t>Gasoline</t>
  </si>
  <si>
    <t>Bus Type</t>
  </si>
  <si>
    <t>Purchase cost/per bus-Default</t>
  </si>
  <si>
    <t>Useful Life</t>
  </si>
  <si>
    <t>Fuel type</t>
  </si>
  <si>
    <t>Pax capacity</t>
  </si>
  <si>
    <t>Fuel Economy (MPG)</t>
  </si>
  <si>
    <t>Fuel Cost per Mile</t>
  </si>
  <si>
    <t>Per Mile Financial Costs</t>
  </si>
  <si>
    <t>Fixed Costs</t>
  </si>
  <si>
    <t>GHG Emissions Per Mile (MT)</t>
  </si>
  <si>
    <t>GHG Social Cost Per Mile</t>
  </si>
  <si>
    <t>Nox Emissions Per Mile (MT)</t>
  </si>
  <si>
    <t>Nox Cost Per Mile</t>
  </si>
  <si>
    <t>Particulates Emissions Per Mile (MT)</t>
  </si>
  <si>
    <t>Particulates Cost Per Mile</t>
  </si>
  <si>
    <t>Per Mile Social Costs</t>
  </si>
  <si>
    <t>Total Variable Costs</t>
  </si>
  <si>
    <t>Total Financial Cost</t>
  </si>
  <si>
    <t>CFP Credit Estimate</t>
  </si>
  <si>
    <t>CFP Credit Unit Value</t>
  </si>
  <si>
    <t>Cumulative CFP Credit Value</t>
  </si>
  <si>
    <t>Total Lifecycle Cost</t>
  </si>
  <si>
    <t>Net Lifecycle Cost After CFP Credit Recovery</t>
  </si>
  <si>
    <t>Diesel</t>
  </si>
  <si>
    <t>Diesel (B20)</t>
  </si>
  <si>
    <t>Diesel (R20)</t>
  </si>
  <si>
    <t>Diesel (R99)</t>
  </si>
  <si>
    <t>LPG-Propane</t>
  </si>
  <si>
    <t>Propane</t>
  </si>
  <si>
    <t>Battery Electric</t>
  </si>
  <si>
    <t>CNG-Natural Gas</t>
  </si>
  <si>
    <t>RNG-Renewable Natural Gas</t>
  </si>
  <si>
    <t>Source: See Bus Price tab</t>
  </si>
  <si>
    <t>Type C</t>
  </si>
  <si>
    <t>for 2020 if possible</t>
  </si>
  <si>
    <t>Incremental Compared to Diesel</t>
  </si>
  <si>
    <t>Incremental Percentage Compared to Diesel</t>
  </si>
  <si>
    <t>BEB</t>
  </si>
  <si>
    <t>Diesel Hybrid</t>
  </si>
  <si>
    <t>AFLEET 2019</t>
  </si>
  <si>
    <t>2019 AFLEET Tool</t>
  </si>
  <si>
    <t>https://www.energy.ca.gov/sites/default/files/2019-05/Cost-Effectiveness.pdf</t>
  </si>
  <si>
    <t>Average</t>
  </si>
  <si>
    <t>Type D</t>
  </si>
  <si>
    <t>Infrastructure</t>
  </si>
  <si>
    <t>Will add $0.05 to $$0.10 per gallon for a lease contract for infrastructure</t>
  </si>
  <si>
    <t>Added cost per gallon for lease option</t>
  </si>
  <si>
    <t>per/gal</t>
  </si>
  <si>
    <t>12 Propane Powered Buses PDF G Drive</t>
  </si>
  <si>
    <t>$60,000 - $70,000 to fill about 20 buses a day</t>
  </si>
  <si>
    <t>https://thomasbuiltbuses.com/bus-advisor/articles/infrastructure/</t>
  </si>
  <si>
    <t>Small Station 10-20 busses</t>
  </si>
  <si>
    <t xml:space="preserve">10 busses $45,000 - $60,000, 20 busses $60,000 - $70,000 </t>
  </si>
  <si>
    <t>https://afdc.energy.gov/files/u/publication/propane_costs.pdf</t>
  </si>
  <si>
    <t>Initial cost for Leasing: $5,000 - $10,000</t>
  </si>
  <si>
    <t>Use $10,500</t>
  </si>
  <si>
    <t>School district infrastructure costs for lease option-small fleet</t>
  </si>
  <si>
    <t xml:space="preserve">Small Station </t>
  </si>
  <si>
    <t>Initial cost for leasing: $12,000</t>
  </si>
  <si>
    <t>gal (lease)</t>
  </si>
  <si>
    <t xml:space="preserve">Pruchase </t>
  </si>
  <si>
    <t>gal (purchase)</t>
  </si>
  <si>
    <t>https://nccleantech.ncsu.edu/wp-content/uploads/2018/06/Propane-Finance-Models.pdf</t>
  </si>
  <si>
    <t>Medium Station 35-60 bus</t>
  </si>
  <si>
    <t>35 busses, $120,000 - $145,000, 60 busses $150,0000 - $220,000</t>
  </si>
  <si>
    <t>Initial cost for Leasing: $15,000 - $50,000</t>
  </si>
  <si>
    <t>Large Stations 250 busses</t>
  </si>
  <si>
    <t>$225,000 - $300,000</t>
  </si>
  <si>
    <t>For Med and Lrg use $32,500</t>
  </si>
  <si>
    <t>School district infrastructure costs for lease option-Lrg &amp; Med fleet</t>
  </si>
  <si>
    <t>$550,000 - $850,000 for a medium size operation</t>
  </si>
  <si>
    <t>Hourly</t>
  </si>
  <si>
    <t>Annual</t>
  </si>
  <si>
    <t>Hours</t>
  </si>
  <si>
    <t>Driver Pay/hours</t>
  </si>
  <si>
    <t>https://www.jobmonkey.com/uniquejobs5/school-bus/</t>
  </si>
  <si>
    <t>https://www.bls.gov/ooh/transportation-and-material-moving/bus-drivers.htm</t>
  </si>
  <si>
    <t>https://www.payscale.com/research/US/Job=Bus_Driver%2C_School/Hourly_Rate</t>
  </si>
  <si>
    <t>https://www.glassdoor.com/Salaries/school-bus-driver-salary-SRCH_KO0,17.htm</t>
  </si>
  <si>
    <t>Bus Costs</t>
  </si>
  <si>
    <t>Type</t>
  </si>
  <si>
    <t>HEV/Gasoline</t>
  </si>
  <si>
    <t>HEV/Diesel</t>
  </si>
  <si>
    <t>PHEV/Diesel</t>
  </si>
  <si>
    <t>W. Virginia</t>
  </si>
  <si>
    <t>https://bellwethereducation.org/sites/default/files/Bellwether_WVPM-YellowToGreen_FINAL.pdf</t>
  </si>
  <si>
    <t>NREL</t>
  </si>
  <si>
    <t>Infrustructure Costs</t>
  </si>
  <si>
    <t>Fuel Efficiency</t>
  </si>
  <si>
    <t xml:space="preserve">Type </t>
  </si>
  <si>
    <t>VMT</t>
  </si>
  <si>
    <t>kWh/mi</t>
  </si>
  <si>
    <t>mpg/gge</t>
  </si>
  <si>
    <t>AFLEET 2018</t>
  </si>
  <si>
    <t>mpg/dge</t>
  </si>
  <si>
    <t>AFDC</t>
  </si>
  <si>
    <t>mpg</t>
  </si>
  <si>
    <t>https://afdc.energy.gov/data/10310</t>
  </si>
  <si>
    <t>MSBO</t>
  </si>
  <si>
    <t>https://www.msbo.org/sites/default/files/BusLeasingCost-2011.pdf</t>
  </si>
  <si>
    <t>mpg/lpg</t>
  </si>
  <si>
    <t>ACEEE</t>
  </si>
  <si>
    <t>https://aceee.org/files/proceedings/2012/data/papers/0193-000340.pdf</t>
  </si>
  <si>
    <t>https://www.nrel.gov/docs/fy10osti/47919.pdf</t>
  </si>
  <si>
    <t>Thomas Built/Jouley</t>
  </si>
  <si>
    <t>Lion/LIONC</t>
  </si>
  <si>
    <t>https://www.mass.gov/files/documents/2018/04/30/Mass%20DOER%20EV%20school%20bus%20pilot%20final%20report_.pdf</t>
  </si>
  <si>
    <t>VEIC</t>
  </si>
  <si>
    <t>https://www.veic.org/docs/resourcelibrary/veic-electric-school-bus-feasibility-study.pdf</t>
  </si>
  <si>
    <t>Rutland (VEIC)</t>
  </si>
  <si>
    <t>Carolina Thomas</t>
  </si>
  <si>
    <t>https://www.carolinathomas.com/wp-content/uploads/2014/05/School-Bus-Fuel-Economy-Comparative-Test-Results.pdf</t>
  </si>
  <si>
    <t>Carolina International</t>
  </si>
  <si>
    <t>California Gov</t>
  </si>
  <si>
    <t>mp therm</t>
  </si>
  <si>
    <t>Fuel Costs/mile</t>
  </si>
  <si>
    <t>Maintenance Costs/mile</t>
  </si>
  <si>
    <t>CPI =</t>
  </si>
  <si>
    <t>Percentage increase diesel</t>
  </si>
  <si>
    <t>Yr 1</t>
  </si>
  <si>
    <t>Yr 2</t>
  </si>
  <si>
    <t>Yr 3</t>
  </si>
  <si>
    <t>Yr 4</t>
  </si>
  <si>
    <t>Yr 5</t>
  </si>
  <si>
    <t>Yr 6</t>
  </si>
  <si>
    <t>Yr 7</t>
  </si>
  <si>
    <t>Yr 8</t>
  </si>
  <si>
    <t>Yr 9</t>
  </si>
  <si>
    <t>Yr 10</t>
  </si>
  <si>
    <t>Yr 11</t>
  </si>
  <si>
    <t>Yr 12</t>
  </si>
  <si>
    <t>Yr 13</t>
  </si>
  <si>
    <t>Yr 14</t>
  </si>
  <si>
    <t>Yr 15</t>
  </si>
  <si>
    <t>Same for all fuels</t>
  </si>
  <si>
    <t>Percentage increase</t>
  </si>
  <si>
    <t>ALEET 2018 yr 7</t>
  </si>
  <si>
    <t>Alvin</t>
  </si>
  <si>
    <t>Boulder Valley</t>
  </si>
  <si>
    <t>https://www.roushcleantech.com/wp-content/uploads/sites/all/themes/roushcleantech/pdf/Case_Study_Propane_Maintenance_2018_FINAL.pdf</t>
  </si>
  <si>
    <t>Gloucester</t>
  </si>
  <si>
    <t>Barre (VEIC)</t>
  </si>
  <si>
    <t>Alleghany</t>
  </si>
  <si>
    <t>http://alleghany.ss9.sharpschool.com/UserFiles/Servers/Server_8986/File/School%20Board/Agendas/2017-2018/10-16-2017/18-117%20SCHOOL%20BUS%20PER%20MILE%20COST.htm</t>
  </si>
  <si>
    <t>AASA</t>
  </si>
  <si>
    <t>https://www.aasa.org/SchoolAdministratorArticle.aspx?id=7584</t>
  </si>
  <si>
    <t>Schoolbus Fleet</t>
  </si>
  <si>
    <t>https://www.schoolbusfleet.com/forum/topic.asp?TOPIC_ID=15713</t>
  </si>
  <si>
    <t>TransPar Group</t>
  </si>
  <si>
    <t>https://www.zizzers.org/cms/lib2/MO01001590/Centricity/Domain/4/Pupil%20Transportation%20Cost%20Outsourcing%20Feasibility%20Study.pdf</t>
  </si>
  <si>
    <t>CEC (CARB)</t>
  </si>
  <si>
    <t>Cook Illinois</t>
  </si>
  <si>
    <t>Claims a 50percent savings propane over diesel</t>
  </si>
  <si>
    <t>Bib County</t>
  </si>
  <si>
    <t>AVERAGE VMT all areas</t>
  </si>
  <si>
    <t>CEC</t>
  </si>
  <si>
    <t>Average Station Cost</t>
  </si>
  <si>
    <t>Feedstock CI based on scaling statewide mix</t>
  </si>
  <si>
    <t>1 gram =</t>
  </si>
  <si>
    <t>Direct</t>
  </si>
  <si>
    <t>Indirect</t>
  </si>
  <si>
    <t>Total</t>
  </si>
  <si>
    <t>kWh =</t>
  </si>
  <si>
    <t>MJ</t>
  </si>
  <si>
    <t>Statewide mix:</t>
  </si>
  <si>
    <t>Oregon DEQ Greenhouse Gas Emissions Data From Electricity Suppliers in Oregon  2010-2017</t>
  </si>
  <si>
    <t>MWH =</t>
  </si>
  <si>
    <t>Organization Name</t>
  </si>
  <si>
    <t>Electricity Supplier Type</t>
  </si>
  <si>
    <t>MWh</t>
  </si>
  <si>
    <t>MTCO2e</t>
  </si>
  <si>
    <t>MTCO2e/MWh</t>
  </si>
  <si>
    <t>Upstream</t>
  </si>
  <si>
    <t>Total gCO2e/MJ</t>
  </si>
  <si>
    <t>MWH Wght</t>
  </si>
  <si>
    <t>AVG 5 yrs</t>
  </si>
  <si>
    <t>Idaho Power Company</t>
  </si>
  <si>
    <t>Investor-Owned</t>
  </si>
  <si>
    <t>Pacific Power (PacifiCorp)</t>
  </si>
  <si>
    <t>Portland General Electric (PGE)</t>
  </si>
  <si>
    <t>Ashland Electric Department</t>
  </si>
  <si>
    <t>Consumer-Owned</t>
  </si>
  <si>
    <t>Blachly-Lane Electric Cooperative</t>
  </si>
  <si>
    <t>Brandon</t>
  </si>
  <si>
    <t>Canby Utility Board</t>
  </si>
  <si>
    <t>Cascade Locks</t>
  </si>
  <si>
    <t>Central Electric Cooperative, Inc</t>
  </si>
  <si>
    <t>Central Lincoln PUD</t>
  </si>
  <si>
    <t>Clatskanie PUD</t>
  </si>
  <si>
    <t>Clearwater Power Company</t>
  </si>
  <si>
    <t>Columbia Basin Cooperative</t>
  </si>
  <si>
    <t>Columbia Power Cooperative</t>
  </si>
  <si>
    <t>Columbia River PUD</t>
  </si>
  <si>
    <t>Columbia Rural Electric (Columbia REA)</t>
  </si>
  <si>
    <t>Consumers Power, Inc</t>
  </si>
  <si>
    <t>Coos-Curry Electric Cooperative, Inc</t>
  </si>
  <si>
    <t>Douglas Electric Cooperative</t>
  </si>
  <si>
    <t>Drain</t>
  </si>
  <si>
    <t>Emerald PUD</t>
  </si>
  <si>
    <t>Forest Grove Light &amp; Power</t>
  </si>
  <si>
    <t>Harney Electric Cooperative</t>
  </si>
  <si>
    <t>Hermiston Energy Services</t>
  </si>
  <si>
    <t>Hood River Electric Cooperative</t>
  </si>
  <si>
    <t>Lane Electric Cooperative, Inc</t>
  </si>
  <si>
    <t>McMinnville Water &amp; Light</t>
  </si>
  <si>
    <t>Midstate Electric Cooperative</t>
  </si>
  <si>
    <t>Milton-Freewater City Light &amp; Power</t>
  </si>
  <si>
    <t>Monmouth</t>
  </si>
  <si>
    <t>Northern Wasco PUD</t>
  </si>
  <si>
    <t>Oregon Trail Electric Cooperative</t>
  </si>
  <si>
    <t>Salem Electric</t>
  </si>
  <si>
    <t>Springfield Utility Board</t>
  </si>
  <si>
    <t>Surprise Valley Electrification Corporation</t>
  </si>
  <si>
    <t>Tillamook PUD</t>
  </si>
  <si>
    <t>Umatilla Electric Cooperative</t>
  </si>
  <si>
    <t>Umpqua Indian Utility Co-op</t>
  </si>
  <si>
    <t>USDOE ARC</t>
  </si>
  <si>
    <t>Wasco Electric Cooperative</t>
  </si>
  <si>
    <t>West Oregon Electric Cooperative, Inc</t>
  </si>
  <si>
    <t>Electricity Service Suppliers</t>
  </si>
  <si>
    <t xml:space="preserve">Total </t>
  </si>
  <si>
    <t>COU Wght AVG gCO2e/MJ =</t>
  </si>
  <si>
    <t>MTCO2e/kWh</t>
  </si>
  <si>
    <t>lbCO2e/kWh =</t>
  </si>
  <si>
    <t>Statewide Totals</t>
  </si>
  <si>
    <t>E10 (W/tax)</t>
  </si>
  <si>
    <t>Fleet Fuel Factor to AEO</t>
  </si>
  <si>
    <t>User Input Fuel Factor</t>
  </si>
  <si>
    <t>DAS</t>
  </si>
  <si>
    <t>OPIS-Rack Total</t>
  </si>
  <si>
    <t>ODOT</t>
  </si>
  <si>
    <t>Average (DAS, OPIS, ODOT)</t>
  </si>
  <si>
    <t>CNG/RNG</t>
  </si>
  <si>
    <t>diesel =</t>
  </si>
  <si>
    <t>gge to dge factor =</t>
  </si>
  <si>
    <t>DAS CNG Cost</t>
  </si>
  <si>
    <t>gas =</t>
  </si>
  <si>
    <t>1 scf =</t>
  </si>
  <si>
    <t>Btu's</t>
  </si>
  <si>
    <t>1 Therm =</t>
  </si>
  <si>
    <t>gge</t>
  </si>
  <si>
    <t>1 dge =</t>
  </si>
  <si>
    <t>1 bus</t>
  </si>
  <si>
    <t>AVG.-17,18&amp;19</t>
  </si>
  <si>
    <t>miles/yr</t>
  </si>
  <si>
    <t>dge</t>
  </si>
  <si>
    <t>Complete cost, electricity, operations and maintenance included</t>
  </si>
  <si>
    <t>mpg/diesel</t>
  </si>
  <si>
    <t>AVG. =</t>
  </si>
  <si>
    <t>E85</t>
  </si>
  <si>
    <t>EER</t>
  </si>
  <si>
    <t>Therms/year</t>
  </si>
  <si>
    <t xml:space="preserve">ODOT </t>
  </si>
  <si>
    <t>Average (OPIS,DAS,ODOT)</t>
  </si>
  <si>
    <t>mpg/cngdge</t>
  </si>
  <si>
    <t>Therms/month</t>
  </si>
  <si>
    <t>10 bus</t>
  </si>
  <si>
    <t>5 bus</t>
  </si>
  <si>
    <t>dge/cng</t>
  </si>
  <si>
    <t>ODOT Bulk picked due to wider delivery requirements</t>
  </si>
  <si>
    <t>Therms/yr</t>
  </si>
  <si>
    <t>B5 (Diesel)</t>
  </si>
  <si>
    <t>(OPIS,DAS,ODOT)</t>
  </si>
  <si>
    <t>DAS(NoORTax)</t>
  </si>
  <si>
    <t>ODOT Bulk</t>
  </si>
  <si>
    <t>EWEB</t>
  </si>
  <si>
    <t>High</t>
  </si>
  <si>
    <t>Avg</t>
  </si>
  <si>
    <t>dge/month</t>
  </si>
  <si>
    <t>NWN Schedule 41</t>
  </si>
  <si>
    <t>Monthly/10 bus</t>
  </si>
  <si>
    <t>Monthly/5bus</t>
  </si>
  <si>
    <t>$250 Customer Charge/month</t>
  </si>
  <si>
    <t>First 2,000 Therms</t>
  </si>
  <si>
    <t>AVG</t>
  </si>
  <si>
    <t>Additional Therms</t>
  </si>
  <si>
    <t>Firm Pipeline Capacity Charge</t>
  </si>
  <si>
    <t>B20</t>
  </si>
  <si>
    <t xml:space="preserve"> (OPIS,DAS,ODOT)</t>
  </si>
  <si>
    <t>Cost per bus</t>
  </si>
  <si>
    <t>If user inputs B5 $</t>
  </si>
  <si>
    <t>Cost/therm</t>
  </si>
  <si>
    <t>Cost/dge</t>
  </si>
  <si>
    <t>AVG =</t>
  </si>
  <si>
    <t>gge/month</t>
  </si>
  <si>
    <t>Maint. =</t>
  </si>
  <si>
    <t>CA study</t>
  </si>
  <si>
    <t>gge/day</t>
  </si>
  <si>
    <t>Electric =</t>
  </si>
  <si>
    <t>Total =</t>
  </si>
  <si>
    <t>w/fed tax</t>
  </si>
  <si>
    <t>Federal Fuel Taxes</t>
  </si>
  <si>
    <t>dge =</t>
  </si>
  <si>
    <t>gge =</t>
  </si>
  <si>
    <t>CNG/RNG Infrastructure</t>
  </si>
  <si>
    <t>1-5 bus &lt;150kVMT =</t>
  </si>
  <si>
    <t>year over 14 yrs</t>
  </si>
  <si>
    <t>DAS (No OR Tax)</t>
  </si>
  <si>
    <t>6-10 bus&lt;300kVMT =</t>
  </si>
  <si>
    <t>&gt; 10 bus =</t>
  </si>
  <si>
    <t>DAS gge</t>
  </si>
  <si>
    <t>CNG Analysis (NWN Sched 41 + maint &amp; op.)=</t>
  </si>
  <si>
    <t>Includes Elect. And Maint.</t>
  </si>
  <si>
    <t>CNG minus RNG Payment of =</t>
  </si>
  <si>
    <t>per dge</t>
  </si>
  <si>
    <t>CNG factor + RNG payment =</t>
  </si>
  <si>
    <t>Diesel Cost</t>
  </si>
  <si>
    <t>LPG Cost</t>
  </si>
  <si>
    <t>Difference-savings</t>
  </si>
  <si>
    <r>
      <t>Cook-Illinois</t>
    </r>
    <r>
      <rPr>
        <vertAlign val="superscript"/>
        <sz val="11"/>
        <color theme="1"/>
        <rFont val="Calibri"/>
        <family val="2"/>
        <scheme val="minor"/>
      </rPr>
      <t>1</t>
    </r>
  </si>
  <si>
    <r>
      <t>Clear Creek-Texas</t>
    </r>
    <r>
      <rPr>
        <vertAlign val="superscript"/>
        <sz val="11"/>
        <color theme="1"/>
        <rFont val="Calibri"/>
        <family val="2"/>
        <scheme val="minor"/>
      </rPr>
      <t>1</t>
    </r>
  </si>
  <si>
    <r>
      <t>Willow Grove-PA</t>
    </r>
    <r>
      <rPr>
        <vertAlign val="superscript"/>
        <sz val="11"/>
        <color theme="1"/>
        <rFont val="Calibri"/>
        <family val="2"/>
        <scheme val="minor"/>
      </rPr>
      <t>1</t>
    </r>
  </si>
  <si>
    <r>
      <t>Columbia Falls</t>
    </r>
    <r>
      <rPr>
        <vertAlign val="superscript"/>
        <sz val="11"/>
        <color theme="1"/>
        <rFont val="Calibri"/>
        <family val="2"/>
        <scheme val="minor"/>
      </rPr>
      <t>2</t>
    </r>
  </si>
  <si>
    <r>
      <t>Macon GA</t>
    </r>
    <r>
      <rPr>
        <vertAlign val="superscript"/>
        <sz val="11"/>
        <color theme="1"/>
        <rFont val="Calibri"/>
        <family val="2"/>
        <scheme val="minor"/>
      </rPr>
      <t>3</t>
    </r>
    <r>
      <rPr>
        <sz val="11"/>
        <color theme="1"/>
        <rFont val="Calibri"/>
        <family val="2"/>
        <scheme val="minor"/>
      </rPr>
      <t xml:space="preserve"> (gasoline</t>
    </r>
  </si>
  <si>
    <t>https://www.roushcleantech.com/portfolio/total-cost-ownership-propane-school-buses/</t>
  </si>
  <si>
    <t>https://stnonline.com/industry-releases/columbia-falls-school-district-six-chooses-propane-school-buses-for-cost-savings-emission-reductions/</t>
  </si>
  <si>
    <t>http://www.landofsky.org/pdf/LGS/CleanVehicles/MaconCountyPropanePresentation.pdf</t>
  </si>
  <si>
    <t>CPI</t>
  </si>
  <si>
    <t>From AFLEET Tool</t>
  </si>
  <si>
    <t>Year</t>
  </si>
  <si>
    <t>Bus type</t>
  </si>
  <si>
    <t>Number of buses</t>
  </si>
  <si>
    <t>VMT per fleet</t>
  </si>
  <si>
    <t>Fuel cost per mile (Year 1)</t>
  </si>
  <si>
    <t>Other Operating cost (per fleet)</t>
  </si>
  <si>
    <t>Inflation rate</t>
  </si>
  <si>
    <t>CO2</t>
  </si>
  <si>
    <t>NOx</t>
  </si>
  <si>
    <t>Particulates</t>
  </si>
  <si>
    <t>Year one costs</t>
  </si>
  <si>
    <t>Fueling station</t>
  </si>
  <si>
    <t>Total Fixed Costs</t>
  </si>
  <si>
    <t>Social Costs Per Mile</t>
  </si>
  <si>
    <t>GHG</t>
  </si>
  <si>
    <t>Annual O&amp;M costs (non-fuel)</t>
  </si>
  <si>
    <t>Year 1</t>
  </si>
  <si>
    <t>Year 2</t>
  </si>
  <si>
    <t>Year 3</t>
  </si>
  <si>
    <t>Year 4</t>
  </si>
  <si>
    <t>Year 5</t>
  </si>
  <si>
    <t>Year 6</t>
  </si>
  <si>
    <t>Year 7</t>
  </si>
  <si>
    <t>Year 8</t>
  </si>
  <si>
    <t>Year 9</t>
  </si>
  <si>
    <t>Year 10</t>
  </si>
  <si>
    <t>Year 11</t>
  </si>
  <si>
    <t>Year 12</t>
  </si>
  <si>
    <t>Year 13</t>
  </si>
  <si>
    <t>Year 14</t>
  </si>
  <si>
    <t>Year 15</t>
  </si>
  <si>
    <t>Total O&amp;M</t>
  </si>
  <si>
    <t>Total Fuel Costs</t>
  </si>
  <si>
    <t>Total O&amp;M and Fuel Costs</t>
  </si>
  <si>
    <t>Annual Social Costs</t>
  </si>
  <si>
    <t>Total Social Costs</t>
  </si>
  <si>
    <t>VMT per Bus</t>
  </si>
  <si>
    <t>Fuel costs (per fleet yr 1)</t>
  </si>
  <si>
    <t xml:space="preserve">Add </t>
  </si>
  <si>
    <t>gal</t>
  </si>
  <si>
    <t>For infrastrucutre lease</t>
  </si>
  <si>
    <t>Social Cost Per short Ton</t>
  </si>
  <si>
    <t>Short Ton</t>
  </si>
  <si>
    <t>per MT</t>
  </si>
  <si>
    <t>Source</t>
  </si>
  <si>
    <t>Social cost of CO2</t>
  </si>
  <si>
    <t>Tab;e ES-1 @ 3% average discount rate</t>
  </si>
  <si>
    <t>https://www.epa.gov/benmap/sector-based-pm25-benefit-ton-estimates - On-road Mobile Source</t>
  </si>
  <si>
    <t>Corrected to 2019 dollars @ 3%</t>
  </si>
  <si>
    <t>PM2.5</t>
  </si>
  <si>
    <t>SOx</t>
  </si>
  <si>
    <t>LBs/Mile</t>
  </si>
  <si>
    <t>MT/Mile</t>
  </si>
  <si>
    <t>$/mile</t>
  </si>
  <si>
    <t>AFLEET</t>
  </si>
  <si>
    <t>Purchase cost/vehicle</t>
  </si>
  <si>
    <t>LPG Factor =</t>
  </si>
  <si>
    <t>mpglpg</t>
  </si>
  <si>
    <t>CNG Factor</t>
  </si>
  <si>
    <t>School Bus Diesel</t>
  </si>
  <si>
    <t>GHG-CO2e</t>
  </si>
  <si>
    <t>Per Mile</t>
  </si>
  <si>
    <t>lbs/mile</t>
  </si>
  <si>
    <t>ODOE</t>
  </si>
  <si>
    <t>Total Capital Costs</t>
  </si>
  <si>
    <t>GHG-CO2e (B5)</t>
  </si>
  <si>
    <t>GHG-CO2e (B20)</t>
  </si>
  <si>
    <t>GHG-CO2e (R20)</t>
  </si>
  <si>
    <t>GHG-CO2e (R99)</t>
  </si>
  <si>
    <t>GHG-CO2e (CNG)</t>
  </si>
  <si>
    <t>GHG-CO2e (RNG) Landfill</t>
  </si>
  <si>
    <t>School Bus CNG/RNG</t>
  </si>
  <si>
    <t>School Bus LPG</t>
  </si>
  <si>
    <t>School Bus Electricity</t>
  </si>
  <si>
    <t>Nox (Tailpipe)</t>
  </si>
  <si>
    <t>Particulates (Tailpipe)</t>
  </si>
  <si>
    <t>Cumulative (12 year lifecycle starting 2020)</t>
  </si>
  <si>
    <t>Oregon Clean Fuels Program - CFP Obligation Estimator v.2019</t>
  </si>
  <si>
    <t>Column 1</t>
  </si>
  <si>
    <t>Column 2</t>
  </si>
  <si>
    <t>Column 3</t>
  </si>
  <si>
    <t>Column 4</t>
  </si>
  <si>
    <t>Column 5</t>
  </si>
  <si>
    <t>Column 6</t>
  </si>
  <si>
    <t>Column 7</t>
  </si>
  <si>
    <t>Column 8</t>
  </si>
  <si>
    <t>Column 9</t>
  </si>
  <si>
    <t>renewable diesel</t>
  </si>
  <si>
    <t>Standard</t>
  </si>
  <si>
    <t>Carbon intensity</t>
  </si>
  <si>
    <t>Number</t>
  </si>
  <si>
    <t>Units</t>
  </si>
  <si>
    <t>Energy density</t>
  </si>
  <si>
    <t>Energy economy ratio</t>
  </si>
  <si>
    <t>Number of credits</t>
  </si>
  <si>
    <t>(gCO2e/MJ)</t>
  </si>
  <si>
    <t>(MJ/unit)</t>
  </si>
  <si>
    <t>Ethanol Example</t>
  </si>
  <si>
    <t>gallons</t>
  </si>
  <si>
    <t>kilowatt hours</t>
  </si>
  <si>
    <t>Electricity Example (BPA)</t>
  </si>
  <si>
    <t>Canola Biodiesel Hybrid Example (B99?)</t>
  </si>
  <si>
    <t>Used Cooking Oil Biodiesel Example (R99?)</t>
  </si>
  <si>
    <t>Tallow Renewable Diesel Example (R99?)</t>
  </si>
  <si>
    <t>Used Cooking Oil Biodiesel Hybrid Example (R99?)</t>
  </si>
  <si>
    <t>Tallow Renewable Diesel Hybrid Example (R99?)</t>
  </si>
  <si>
    <t>CNG, fossil (ORCNG001)</t>
  </si>
  <si>
    <t>therms</t>
  </si>
  <si>
    <t>Landfill RNG Example</t>
  </si>
  <si>
    <t>Propane (ORLPG001)</t>
  </si>
  <si>
    <t>Alternative Jet Fuel Example</t>
  </si>
  <si>
    <t>Hydrogen (ORHYF)</t>
  </si>
  <si>
    <t>kilograms</t>
  </si>
  <si>
    <t xml:space="preserve">The CFP Obligation Estimator is designed to help fuel providers with deficit and credit generation calculations for the Oregon Clean Fuels Program. This spreadsheet has been purposefully left unlocked so users can change values. We advise that users be careful when you make changes to it and save it to your desktop. Values in the colored columns are meant to be changed, based on the specific fuel and feedstock you are estimating credits for. Official calculations for compliance are done within the CFP Online System based on information submitted in quarterly and annual reports. This estimator is provided as a tool, and does not change any individual entity's obligations under the Clean Fuels Program. The estimator is provided as-is and does not take the place of any entity's obligation to do their own due diligence with respect to the rules or any other aspect of compliance. This 2019 version has been updated for changes adopted by the Environmental Quality Commission in November 2018 including updates to OPGEE 2.0 and OR-GREET 3.0, including changes to the standards and energy densities. Changed values are effective for 2019 and appear in BOLD. </t>
  </si>
  <si>
    <t xml:space="preserve"> All tables can be found in OAR 340 Division 253</t>
  </si>
  <si>
    <t>Directions -</t>
  </si>
  <si>
    <t>Column 1:</t>
  </si>
  <si>
    <t>Find the type of fuel. You can change the name to add in a specific feedstock (i.e. corn to sugarcane ethanol).</t>
  </si>
  <si>
    <t>Column 2:</t>
  </si>
  <si>
    <t>Find the year that you are estimating the credits for.</t>
  </si>
  <si>
    <t>Column 3:</t>
  </si>
  <si>
    <t>These are the applicable clean fuels standards as taken from Table 1 (Gasoline) , 2 (Diesel) or 3 (Jet).</t>
  </si>
  <si>
    <t>Column 4:</t>
  </si>
  <si>
    <t>Enter the carbon intensity of the fuel, from your product transfer document or from Table 4.</t>
  </si>
  <si>
    <t>Column 5:</t>
  </si>
  <si>
    <t>Enter the volume of fuel that you are estimating the credits for.</t>
  </si>
  <si>
    <t>Column 6:</t>
  </si>
  <si>
    <t>The volume in Column 5 must be entered in these units.</t>
  </si>
  <si>
    <t>Column 7:</t>
  </si>
  <si>
    <t>Enter the energy density of the fuel from Table 6.</t>
  </si>
  <si>
    <t>Column 8:</t>
  </si>
  <si>
    <t>Enter the applicable energy economy ratio from Table 7. Note that there are different values based on the type of vehicle the fuel is used in.</t>
  </si>
  <si>
    <t>Column 9:</t>
  </si>
  <si>
    <t>This is the estimated number of credits generated.</t>
  </si>
  <si>
    <t>Electricity Example (Selected Utility)</t>
  </si>
  <si>
    <t>Fuel (gallons, kWh, or therms)</t>
  </si>
  <si>
    <t>CO2 MT (15 year)</t>
  </si>
  <si>
    <t>Nox MT (15 year)</t>
  </si>
  <si>
    <t>Particulates MT (15 year)</t>
  </si>
  <si>
    <t>veic-electric-school-bus-feasibility-study.pdf</t>
  </si>
  <si>
    <t>Electric</t>
  </si>
  <si>
    <t>Hardware</t>
  </si>
  <si>
    <t>Standard EVSE</t>
  </si>
  <si>
    <t>Installation</t>
  </si>
  <si>
    <t>Maintenance/yr</t>
  </si>
  <si>
    <t>Total Charger w/o maint</t>
  </si>
  <si>
    <t xml:space="preserve">Fueling/Chargin Infrastructure </t>
  </si>
  <si>
    <t>Infrastructure Maintenance Costs</t>
  </si>
  <si>
    <t>ODOT - Amy</t>
  </si>
  <si>
    <t xml:space="preserve">Diesel fueling infrastructure maint. $ </t>
  </si>
  <si>
    <t>See folder in drive G</t>
  </si>
  <si>
    <t>Fuel Costs</t>
  </si>
  <si>
    <t>Maintenance Costs</t>
  </si>
  <si>
    <t>Social Costs</t>
  </si>
  <si>
    <t>Diesel B5</t>
  </si>
  <si>
    <t>Diesel B20</t>
  </si>
  <si>
    <t>Diesel R20</t>
  </si>
  <si>
    <t>Diesel R99</t>
  </si>
  <si>
    <t>Annual Fleet Carbon Footprint</t>
  </si>
  <si>
    <t>Baseline Reference B5</t>
  </si>
  <si>
    <t>MT CO2e</t>
  </si>
  <si>
    <t>CO2e Emissions Reductions</t>
  </si>
  <si>
    <t xml:space="preserve">Diesel B5 </t>
  </si>
  <si>
    <t>MT</t>
  </si>
  <si>
    <t>15 Year Cumulative Carbon Emissions</t>
  </si>
  <si>
    <t>CO2e Emissions Reductions Vs Diesel</t>
  </si>
  <si>
    <t>Fueling Infrastructure Costs</t>
  </si>
  <si>
    <t>PRC000:ea_MotorGasoline</t>
  </si>
  <si>
    <t xml:space="preserve">   Motor Gasoline 4/</t>
  </si>
  <si>
    <t>AEO per gallon</t>
  </si>
  <si>
    <t>Prices in Nominal Dollars</t>
  </si>
  <si>
    <t>Fuel Factor</t>
  </si>
  <si>
    <t>Fuel Cost</t>
  </si>
  <si>
    <t>Gallons of Fuel Used</t>
  </si>
  <si>
    <t>Gasoline =</t>
  </si>
  <si>
    <t>Fuel Cost/Mile</t>
  </si>
  <si>
    <t>Added Cost or Savings vs Diesel=</t>
  </si>
  <si>
    <t>Gasoline(E10) =</t>
  </si>
  <si>
    <t>lbsCO2e/gge</t>
  </si>
  <si>
    <t>GHG Reduction vs Diesel (MT)</t>
  </si>
  <si>
    <t>School Bus Gasoline</t>
  </si>
  <si>
    <t>Total Annual Social Costs</t>
  </si>
  <si>
    <t>Total Social Costs (15 yr)</t>
  </si>
  <si>
    <t>Western Bus</t>
  </si>
  <si>
    <t xml:space="preserve">Fixed Costs (Bus) </t>
  </si>
  <si>
    <t>Total Fleet VMT</t>
  </si>
  <si>
    <t>Fuel Cost per mile (year 1)</t>
  </si>
  <si>
    <t>Fuel Cost/gallon or equivalent (year 1)</t>
  </si>
  <si>
    <t>Maintenance Cost  per mile (year 1)</t>
  </si>
  <si>
    <t>Maintenance Cost Total Fleet (year 1)</t>
  </si>
  <si>
    <t>Total Fleet Cost</t>
  </si>
  <si>
    <t>Bus Efficiency (mpg or equivalent)</t>
  </si>
  <si>
    <t>Maintenance Cost per Bus (year 1)</t>
  </si>
  <si>
    <t>Other Costs (Such as DEF)/Mile</t>
  </si>
  <si>
    <t>Other Costs (Such as DEF) Fleet</t>
  </si>
  <si>
    <t>Other Costs (Such as DEF) per Bus</t>
  </si>
  <si>
    <t>Basic Fleet Information</t>
  </si>
  <si>
    <t>Fuel Information</t>
  </si>
  <si>
    <t>Battery Electricity</t>
  </si>
  <si>
    <t>Renewble Natural Gas-RNG</t>
  </si>
  <si>
    <t>Total Fleet Fuel Cost (year 1)</t>
  </si>
  <si>
    <t>Fueling Station Maintenance Costs/mi</t>
  </si>
  <si>
    <t>Fueling Station Maintenance Costs/year</t>
  </si>
  <si>
    <t>Capital Costs (Bus Year 1)/Bus</t>
  </si>
  <si>
    <t>Fueling Station Cost (Year 1)</t>
  </si>
  <si>
    <t>Fueling Station Cost</t>
  </si>
  <si>
    <t>Total Fixed Costs (Year 1)</t>
  </si>
  <si>
    <t>Social Costs per mile</t>
  </si>
  <si>
    <t xml:space="preserve">GHG Emissions </t>
  </si>
  <si>
    <t xml:space="preserve">Nox </t>
  </si>
  <si>
    <t xml:space="preserve">Particulates </t>
  </si>
  <si>
    <t>Fleet Costs Year 1</t>
  </si>
  <si>
    <t>Maintenance &amp; Other Operating Costs</t>
  </si>
  <si>
    <t>Social Costs Cumulative</t>
  </si>
  <si>
    <t>Buses</t>
  </si>
  <si>
    <t>Fuel</t>
  </si>
  <si>
    <t>Maintenanance</t>
  </si>
  <si>
    <t>Fixed Cost Buses</t>
  </si>
  <si>
    <t>Fixed Cost Fueling Infrastructure</t>
  </si>
  <si>
    <t>https://www.chicagotribune.com/suburbs/hinsdale/ct-dhd-fuel-pumps-tl-0815-20190807-zjcgv6ecifcttle32gmhyswyli-story.html</t>
  </si>
  <si>
    <t>Article on public works cost for commercial fueling</t>
  </si>
  <si>
    <t>https://www.rrpetroservices.com/maintaining-your-gas-station-s-fuel-pumps-and-tanks</t>
  </si>
  <si>
    <t>Maintaining pumps and tankls</t>
  </si>
  <si>
    <t>https://www.jones-frank.com/services/repair-maintenance/</t>
  </si>
  <si>
    <t>Maintenance and repair</t>
  </si>
  <si>
    <t>https://totalenvironmental.net/petroleum-services-environmental-consulting/</t>
  </si>
  <si>
    <t>https://www.nwo.usace.army.mil/Portals/23/Final%20LCC%20Study%20Report.pdf?ver=2017-09-18-124555-723</t>
  </si>
  <si>
    <t>Army cost report</t>
  </si>
  <si>
    <t>https://www.hindawi.com/journals/jie/2013/278546/</t>
  </si>
  <si>
    <t>Analysis gas stations</t>
  </si>
  <si>
    <t>See ODOT DAS Fuel Dispenser and tank maintenance email in Fuel and Infrastructure folder</t>
  </si>
  <si>
    <t>kWh</t>
  </si>
  <si>
    <t># of Veh =</t>
  </si>
  <si>
    <t>1 gge =</t>
  </si>
  <si>
    <t>Compressor Elect. $ = $0.21 Therm</t>
  </si>
  <si>
    <t>Compressor Maintenance and Elect. $ = $0.21 Therm</t>
  </si>
  <si>
    <t>Compressor Elect. $ =</t>
  </si>
  <si>
    <t>Compressor Maint. $ =</t>
  </si>
  <si>
    <t>Other Operating Costs (DEF, Elect) /mile</t>
  </si>
  <si>
    <t>Fueling/Infrastructure Maint Costs/gal,kWh,Therm</t>
  </si>
  <si>
    <t>Fueling Infrastructure Maintenance Annual Cost</t>
  </si>
  <si>
    <t>https://ww3.arb.ca.gov › msprog › bus › tco_assumptions</t>
  </si>
  <si>
    <t>Petroleum</t>
  </si>
  <si>
    <t>Btu</t>
  </si>
  <si>
    <t>1 kWh =</t>
  </si>
  <si>
    <t>Factor =</t>
  </si>
  <si>
    <t>gCO2e/MJ</t>
  </si>
  <si>
    <t>Electricity Cost</t>
  </si>
  <si>
    <t>Utility</t>
  </si>
  <si>
    <t>Tier 1 kWh</t>
  </si>
  <si>
    <t>Tier 1 $/kWh</t>
  </si>
  <si>
    <t>Tier 2 $/kWh</t>
  </si>
  <si>
    <t>Tier 2 kW</t>
  </si>
  <si>
    <t>Tier 1 $/kW</t>
  </si>
  <si>
    <t>Tier 2 $/kW</t>
  </si>
  <si>
    <t>IOU</t>
  </si>
  <si>
    <t>COU</t>
  </si>
  <si>
    <t>Demand</t>
  </si>
  <si>
    <t>kW per bus</t>
  </si>
  <si>
    <t xml:space="preserve">kW </t>
  </si>
  <si>
    <t>AEO kWh</t>
  </si>
  <si>
    <t>Maintenance cost (Bus) year 1</t>
  </si>
  <si>
    <t>Infrastructure Maint. cost year 1</t>
  </si>
  <si>
    <t>Social Costs 1st Year</t>
  </si>
  <si>
    <t xml:space="preserve"> Detailed Instructions</t>
  </si>
  <si>
    <t>Other Per Mile Operating Costs (i.e. DEF, or Compressor Electricity cost if applicable)</t>
  </si>
  <si>
    <t>Bus Maintenance Costs per Mile</t>
  </si>
  <si>
    <t>Fuel Economy (MPG or equiv)</t>
  </si>
  <si>
    <t>CFP Estimated Monitized Credits</t>
  </si>
  <si>
    <t>Total Annual Costs by Year Minus Clean Fuels Credits</t>
  </si>
  <si>
    <t>Total Cumulative Year Over Year Costs Minus Clean Fuels Credits</t>
  </si>
  <si>
    <t>Percent Change From Previous Year</t>
  </si>
  <si>
    <t>Fueling Infrastructure Maintenance Cost/gal,therm or kWh</t>
  </si>
  <si>
    <t>CFP Drop List</t>
  </si>
  <si>
    <t>Yes</t>
  </si>
  <si>
    <t>No</t>
  </si>
  <si>
    <t>Clean Fuels Program Credits</t>
  </si>
  <si>
    <t xml:space="preserve">Total Estimated Credits Generated </t>
  </si>
  <si>
    <t>Total Monetized Credits</t>
  </si>
  <si>
    <t>Credits Earned (MT)</t>
  </si>
  <si>
    <t>Credit Value per credit</t>
  </si>
  <si>
    <t>Monetized Credits</t>
  </si>
  <si>
    <t>Fuel Costs User Input</t>
  </si>
  <si>
    <t>Diesel based fuels</t>
  </si>
  <si>
    <t>LPG Propane</t>
  </si>
  <si>
    <t>Number of Busses</t>
  </si>
  <si>
    <t>Annual Fuel (Gallons or Equiv)/bus</t>
  </si>
  <si>
    <t>Total Fuel (Gallons or Equivalent)</t>
  </si>
  <si>
    <t>Total w/lease =</t>
  </si>
  <si>
    <t>AEO 2019 $ =</t>
  </si>
  <si>
    <t>Renewable LPG</t>
  </si>
  <si>
    <t>RnP</t>
  </si>
  <si>
    <t>RnP Fuel Factor</t>
  </si>
  <si>
    <t>x</t>
  </si>
  <si>
    <t xml:space="preserve"> $/gal RnP</t>
  </si>
  <si>
    <t>Renewable Propane</t>
  </si>
  <si>
    <t>School Bus RnP</t>
  </si>
  <si>
    <t>RnP=</t>
  </si>
  <si>
    <t>CI</t>
  </si>
  <si>
    <t>Rer Mile</t>
  </si>
  <si>
    <t>RnP =</t>
  </si>
  <si>
    <t>Default Type C Vehicle Efficiency</t>
  </si>
  <si>
    <t>User Input Vehicle Efficiency =</t>
  </si>
  <si>
    <t>Fuel Costs (Forecast) User can change fuel efficiency (mpg) for bus fue; type and column will reflect change but other fuel types will remain defaults</t>
  </si>
  <si>
    <t>Fuel Consumption (Gallons, Therms or KWh)</t>
  </si>
  <si>
    <t>Fuel cost  (2021)</t>
  </si>
  <si>
    <t>Bus 1</t>
  </si>
  <si>
    <t>Bus 2</t>
  </si>
  <si>
    <t>1st demand tier</t>
  </si>
  <si>
    <t>1st kWh Tier</t>
  </si>
  <si>
    <t>Total Variable Costs/bus</t>
  </si>
  <si>
    <t>Total Variable Costs/Fleet</t>
  </si>
  <si>
    <t>Fleet GHG Social Costs (year 1)/per Bus</t>
  </si>
  <si>
    <t>Total Social Costs (Fleet year 1)</t>
  </si>
  <si>
    <t>Total Cumalative Costs</t>
  </si>
  <si>
    <t>Input 1 data menu drop down</t>
  </si>
  <si>
    <t>Input 2 data menu drop down</t>
  </si>
  <si>
    <t>CNG $/Therm</t>
  </si>
  <si>
    <t>RNG $/Therm</t>
  </si>
  <si>
    <t>LPG-Propane $/gallon</t>
  </si>
  <si>
    <t xml:space="preserve">Fuel cost percentage increases yr/yr for user fuel cost input </t>
  </si>
  <si>
    <t>2020-Dec STEO Retail (yr 2021)=</t>
  </si>
  <si>
    <t>DEQ Bus Replacement Program Incentive</t>
  </si>
  <si>
    <t>DEQ Bus Purchase Incentives</t>
  </si>
  <si>
    <t>Bus Cost</t>
  </si>
  <si>
    <t>Bus 1 Calc</t>
  </si>
  <si>
    <t>Bus 2 Calc</t>
  </si>
  <si>
    <t>Incentive Amount</t>
  </si>
  <si>
    <t>DEQ School Bus Replacement Program</t>
  </si>
  <si>
    <t>School Bus Cost</t>
  </si>
  <si>
    <t>Basic Schedule</t>
  </si>
  <si>
    <t>Use Default Values or Enter Your Own Values</t>
  </si>
  <si>
    <t>Default Values
NOTE - cells are locked, editing will impact calculations</t>
  </si>
  <si>
    <t>Select the bus and fuel type you currently use from the pulldown menu</t>
  </si>
  <si>
    <t>Bus 1 Information</t>
  </si>
  <si>
    <t>Bus 2 Information</t>
  </si>
  <si>
    <t>Bus 1 Fueling Station Cost</t>
  </si>
  <si>
    <t>Bus 2 Fueling Station Cost</t>
  </si>
  <si>
    <t>Bus 1 Operations and Maintenance</t>
  </si>
  <si>
    <t>Bus 2 Operations and Maintenance</t>
  </si>
  <si>
    <t>Bus 1 Fuel Type</t>
  </si>
  <si>
    <t>Bus 2 Fuel Type</t>
  </si>
  <si>
    <t>Basic Schedule (Same as Bus 1)</t>
  </si>
  <si>
    <t>Use Default Values or Enter Your Own Values (where applicable)</t>
  </si>
  <si>
    <t>Electric Utility Provider</t>
  </si>
  <si>
    <t>Default Clean Fuels Program Credit Value</t>
  </si>
  <si>
    <t>Bus Price w/DEQ Incentive</t>
  </si>
  <si>
    <t>Other Incentives or Cost Reductions</t>
  </si>
  <si>
    <t>Total Cost (per bus)</t>
  </si>
  <si>
    <t>2020 AEO Nom$/gallon=</t>
  </si>
  <si>
    <t>Diesel (Distillate)2021 AEO Table 3</t>
  </si>
  <si>
    <t>Total Vehicle Cost After Incentives</t>
  </si>
  <si>
    <t>Total Vehicle Cost After DEQ Incentive</t>
  </si>
  <si>
    <t>Bus $ After DEQ</t>
  </si>
  <si>
    <t>Note: Only does incentive calculations for bus type selected</t>
  </si>
  <si>
    <t>Total Cost per Bus</t>
  </si>
  <si>
    <t>No Data for R20, will use B20 number</t>
  </si>
  <si>
    <t>2020 AEO =</t>
  </si>
  <si>
    <t>2020 with Lease =</t>
  </si>
  <si>
    <t>2021 AEO Retail Nom$ for 2020 =</t>
  </si>
  <si>
    <t>2021 AEO</t>
  </si>
  <si>
    <t>Operating Costs Bus 1</t>
  </si>
  <si>
    <t>Operating Costs Bus 2</t>
  </si>
  <si>
    <t>First-Year Operational and Maintenance Costs</t>
  </si>
  <si>
    <t>Annual Fuel and Maintenance Costs</t>
  </si>
  <si>
    <t>Place Holder for Renewable Propane</t>
  </si>
  <si>
    <t>Avg of High &amp; Avg</t>
  </si>
  <si>
    <t xml:space="preserve"> EWEB</t>
  </si>
  <si>
    <t>OPIS (DEC AVG)</t>
  </si>
  <si>
    <t>OPIS Dec AVG</t>
  </si>
  <si>
    <t>OPIS B5*12%</t>
  </si>
  <si>
    <t>OPIS AVG Diff. B20/B5 in Dec 2020</t>
  </si>
  <si>
    <t>ODOT Bulk*10%</t>
  </si>
  <si>
    <t>OPIS AVG Diff. R99/B5 in Dec 2020</t>
  </si>
  <si>
    <t>Assumes 2021 Base Year</t>
  </si>
  <si>
    <t>Cost Summaries (Includes User Inputs and Calculated Inputs)</t>
  </si>
  <si>
    <t>Capital, Operational, and Maintenance Costs</t>
  </si>
  <si>
    <t>Potential Clean Fuels Program  Revenues</t>
  </si>
  <si>
    <t>Social Costs-(GHG, NOx, PM)</t>
  </si>
  <si>
    <t>Total Capital, Operational, and Maintenance</t>
  </si>
  <si>
    <t>Social Costs-(GHG, NOx, PM)*</t>
  </si>
  <si>
    <t>Social Costs Cumulative*</t>
  </si>
  <si>
    <t>Social Costs Bus 1</t>
  </si>
  <si>
    <t>Social Economic Costs of Operating Bus</t>
  </si>
  <si>
    <t>First-Year Capital Costs Comparison</t>
  </si>
  <si>
    <t>Cumulative Capital and Operational Costs by Bus Type</t>
  </si>
  <si>
    <t>Cumulative Capital, Operational, and Social Costs by Bus Type</t>
  </si>
  <si>
    <t>Social Costs Bus 2</t>
  </si>
  <si>
    <t xml:space="preserve">for 2000-2021 </t>
  </si>
  <si>
    <t>Inflation Calculator | Find US Dollar's Value from 1913-2021 (usinflationcalculator.com)</t>
  </si>
  <si>
    <t>51.9%/22 years =</t>
  </si>
  <si>
    <t xml:space="preserve"> Electric and Alterative Fuel School Bus Lifecycle Cost Analysis Tool</t>
  </si>
  <si>
    <t>Model Overview:</t>
  </si>
  <si>
    <r>
      <t xml:space="preserve">Bus 1 and Bus 2 Fuel Types - Line 6 (Requred Input)
</t>
    </r>
    <r>
      <rPr>
        <sz val="16"/>
        <rFont val="Calibri"/>
        <family val="2"/>
        <scheme val="minor"/>
      </rPr>
      <t xml:space="preserve">This line includes the primary toggles for bus and fuel types in the tool. Bus 1 inputs include basic petroleum-based bus types, including diesel and gasoline. Bus 2 inputs include these fuels and alternative fuels and buses, including electric, compressed natural gas (CNG), renewable natural gas (RNG), renewable diesel, and propane formats. Diesel busses can be evaluated useing different biodiesel and renewable diesel fuel blends by selecting one of the following bus types in the pull down menus, B5, B20, R20, or R99. </t>
    </r>
  </si>
  <si>
    <r>
      <t xml:space="preserve">DEQ Bus Replacement Program Incentive- Line 10 (Requred Input)
</t>
    </r>
    <r>
      <rPr>
        <sz val="16"/>
        <rFont val="Calibri"/>
        <family val="2"/>
        <scheme val="minor"/>
      </rPr>
      <t>This line is a required input for both Bus 1 and Bus 2. If the user selects yes, the tool will subtract the incentive from the overall cost on a per bus basis and display this amount in Line 11.</t>
    </r>
  </si>
  <si>
    <r>
      <t xml:space="preserve">Number of Buses - Line 14 (Optional Input)
</t>
    </r>
    <r>
      <rPr>
        <sz val="16"/>
        <rFont val="Calibri"/>
        <family val="2"/>
        <scheme val="minor"/>
      </rPr>
      <t xml:space="preserve">The user can indicate the total number of buses they are interested in procuring to this line, and the total costs will be multiplied by this number for cost evaluation. </t>
    </r>
  </si>
  <si>
    <r>
      <t xml:space="preserve">Total Cost of Bus Purchases - Line 15 (Caluculated Value - no input needed)
</t>
    </r>
    <r>
      <rPr>
        <sz val="16"/>
        <rFont val="Calibri"/>
        <family val="2"/>
        <scheme val="minor"/>
      </rPr>
      <t>This cell will calculate the total costs from user inputs in lines 9 - 14.</t>
    </r>
  </si>
  <si>
    <r>
      <t xml:space="preserve">Bus 1 and Bus 2 Fueling Station Costs - Line 16 (Requred Input)
</t>
    </r>
    <r>
      <rPr>
        <sz val="16"/>
        <rFont val="Calibri"/>
        <family val="2"/>
        <scheme val="minor"/>
      </rPr>
      <t xml:space="preserve">This line is required inputs for the tool to calculate. The default values for the bus type chosen will automatically populate the fueling station cost for compressed natural gas, propane or electricity assuming the fleet does not currently have this infrastructure. For LPG or propane, the tool assumes that the fleet will lease or have an aggreement with a propane fuel provider to provide the fueling infrastructure. The default cost for propane is the fleet cost to provide a cement pad, bollards and electricity to the fueling rig provided by the fuel provider. The user may enter their own price if known for both Bus 1 or Bus 2. The default value will still be displayed in columns C anf F as reference prices but will not be part of the tool's calculation. </t>
    </r>
  </si>
  <si>
    <r>
      <t xml:space="preserve">Annual Miles Traveled (per Bus) - Line 23 
</t>
    </r>
    <r>
      <rPr>
        <sz val="16"/>
        <rFont val="Calibri"/>
        <family val="2"/>
        <scheme val="minor"/>
      </rPr>
      <t xml:space="preserve">Input miles traveled per bus annually, a default value of 15,000 miles will be used otherwise. This value will be used for analysis of both busses to be compared.  </t>
    </r>
  </si>
  <si>
    <r>
      <t xml:space="preserve">Total Miles - Line 24 (Calculated Value - No input required)
</t>
    </r>
    <r>
      <rPr>
        <sz val="16"/>
        <rFont val="Calibri"/>
        <family val="2"/>
        <scheme val="minor"/>
      </rPr>
      <t xml:space="preserve">This line multiplies the annual miles traveled from line 23 by the total number of buses entered in line 14. </t>
    </r>
  </si>
  <si>
    <r>
      <t xml:space="preserve">Inflation Rate - Line 25 (Input optional)
</t>
    </r>
    <r>
      <rPr>
        <sz val="16"/>
        <rFont val="Calibri"/>
        <family val="2"/>
        <scheme val="minor"/>
      </rPr>
      <t xml:space="preserve">The tool uses a default inflation rate of 2.4 percent based on the Congressional Budget Office's Consumer Price Index. The user may change the inflation rate in this cell. The rate will apply to both Bus 1 and Bus 2. The inflation rate is used to adjust future year prices for items such as maintenance, social costs, and operational costs. It is not used for fuel price forecasts Input below. </t>
    </r>
  </si>
  <si>
    <r>
      <t xml:space="preserve">Bus 1 and Bus 2 Bus Maintenance Costs Per Mile - Line 29 (Requred Input)
</t>
    </r>
    <r>
      <rPr>
        <sz val="16"/>
        <rFont val="Calibri"/>
        <family val="2"/>
        <scheme val="minor"/>
      </rPr>
      <t xml:space="preserve">This line is a required input for the tool to calculate. The default values for the bus type chosen will automatically populate the costs. The user may enter their own costs if known for both Bus 1 or Bus 2. The default value will still be displayed in columns C anf F as reference prices but will not be part of the tool's calculation. This includes mainteneance costs such as cleaning, oil changes, and lubricants but does not include fuel costs.    </t>
    </r>
  </si>
  <si>
    <r>
      <t xml:space="preserve">Bus 1 and Bus 2 Fuel Economy- Line 30 (Required Input)
</t>
    </r>
    <r>
      <rPr>
        <sz val="16"/>
        <rFont val="Calibri"/>
        <family val="2"/>
        <scheme val="minor"/>
      </rPr>
      <t xml:space="preserve">This line is a required input for the tool to calculate. The default values for the bus type chosen will automatically populate the fuel economy based on the fuel type (miles/gallon, miles/therm or kWh/mile). The user may enter their own economy values if known for both Bus 1 or Bus 2. The default value will still be displayed in columns C anf F as reference prices but will not be part of the tool's calculation. The default values in the tool are designed to give the best estimate for equal comparison of the different bus and fuel types. Please note that fuel economy can be heavily influenced by duty cycle, the driver, weather, rural compared to urban roads, and flat versus hilly terrain. If routes are different in these respects the user should consider separate analysis for each route.     </t>
    </r>
  </si>
  <si>
    <r>
      <t xml:space="preserve">Bus 1 and Bus 2 Other Per Mile Operating Costs - Line 31 (Required Input)
</t>
    </r>
    <r>
      <rPr>
        <sz val="16"/>
        <rFont val="Calibri"/>
        <family val="2"/>
        <scheme val="minor"/>
      </rPr>
      <t>This line is a required input for the tool to calculate. The default values for the bus type chosen will automatically populate other per mile costs based on the fuel type. The user may enter their own costs if known for both Bus 1 or Bus 2. The default value will still be displayed in columns C anf F as reference prices but will not be part of the tool's calculation. Costs are dependent on fuel type, but can include DEF (Diesel Emissions Fluid) or electricity costs to run a compressor for natural gas.</t>
    </r>
  </si>
  <si>
    <r>
      <t xml:space="preserve">Bus 1 and Bus 2 Fuel Costs  - Line 32 (Required Input)
</t>
    </r>
    <r>
      <rPr>
        <sz val="16"/>
        <rFont val="Calibri"/>
        <family val="2"/>
        <scheme val="minor"/>
      </rPr>
      <t>This line is a required input for the tool to calculate. The default values for the bus type chosen will automatically populate fuel costs based on the fuel type ($/gallon, $/therm or $/kWh). The user may enter their own costs if known for both Bus 1 or Bus 2. The default value will still be displayed in columns C anf F as reference prices but will not be part of the tool's calculation. Fuel costs can differ from fleet to fleet due to many factors such as buying power due to fleet size, proximity to major fuel supliers or whether they have their own storage and dispencers to name a few. The default values for costs of each fuel type try to equalize the analysis to fairly compare bus and fuel types. PLEASE NOTE: if the user inputs a different fuel cost than the default fuel cost the model may not provde a fair analysis when comparing to other fuel types. Contact the Oregon Department of Energy if you want assistance in modifying fuel costs in the tool.</t>
    </r>
  </si>
  <si>
    <r>
      <t xml:space="preserve">Bus 1 and Bus 2 Fueling Infrastructure Maintenance Costs  - Line 33 (Required Input)
</t>
    </r>
    <r>
      <rPr>
        <sz val="16"/>
        <rFont val="Calibri"/>
        <family val="2"/>
        <scheme val="minor"/>
      </rPr>
      <t>This line is a required input for the tool to calculate. The default values for the bus type chosen will automatically populate fueling infrastructure maintenance costs based on the fuel type. The user may enter their own costs if known for both Bus 1 or Bus 2. The default value will still be displayed in columns C anf F as reference prices but will not be part of the tool's calculation.</t>
    </r>
    <r>
      <rPr>
        <b/>
        <sz val="16"/>
        <rFont val="Calibri"/>
        <family val="2"/>
        <scheme val="minor"/>
      </rPr>
      <t xml:space="preserve"> </t>
    </r>
    <r>
      <rPr>
        <sz val="16"/>
        <rFont val="Calibri"/>
        <family val="2"/>
        <scheme val="minor"/>
      </rPr>
      <t>Maintenance costs are based on a California Air Resources Board study.. The tool assumes no maintenance costs for propane dispensers as the model assumes that the fuel provider owns and maintains the equipment.</t>
    </r>
  </si>
  <si>
    <r>
      <t xml:space="preserve">Bus 2 Utility Provider  - Line 34 (Required input if a Battery Electric bus is selected)
</t>
    </r>
    <r>
      <rPr>
        <sz val="16"/>
        <rFont val="Calibri"/>
        <family val="2"/>
        <scheme val="minor"/>
      </rPr>
      <t xml:space="preserve">If you are interested in a Battery Electric bus then this input is required. When you pick an electricity provider the tool can calculate your electricity costs and if you  select "Yes" on Line 35 the tool will calculate Clean Fuels Program credits and monetized credits based on the electricity provider. Electricity costs are based on an average of Investor Owned Utilities rate schedules or the average  of several Community Owned Utility rate schedules depending on the utility selected. These costs do not include basic charges for metered service as it is assumed the infrastructure will be tied into an existing service. The estimate calculation does consider demand and kWh charges. This tool is designed to give an estimate, for more accurate estimates of costs you should contact your utility. </t>
    </r>
  </si>
  <si>
    <t>Bus Fuel Types</t>
  </si>
  <si>
    <t>Bus Information</t>
  </si>
  <si>
    <r>
      <t xml:space="preserve">Total Cost (per bus)- Line 13                                                                                                                                                                                                                                                                                                                                                              </t>
    </r>
    <r>
      <rPr>
        <sz val="16"/>
        <rFont val="Calibri"/>
        <family val="2"/>
        <scheme val="minor"/>
      </rPr>
      <t>After incentives and/or other cost reductions.</t>
    </r>
  </si>
  <si>
    <t>Fueling Station Costs</t>
  </si>
  <si>
    <t>Operations and Maintenance</t>
  </si>
  <si>
    <r>
      <t xml:space="preserve">Bus 2 Do You Want to Include Potential Clean Fuels Program Credits in the Analysis? - Line 32 (Required input if Battery Electric bus is selected)
</t>
    </r>
    <r>
      <rPr>
        <sz val="16"/>
        <rFont val="Calibri"/>
        <family val="2"/>
        <scheme val="minor"/>
      </rPr>
      <t>This line is an optional input. Select yes if you are interested in using revenues from particpation in the Clean Fuels Program. Please note that participation in the CFP is not required. The owner of the charging infrastructure can generate these credits and monetize them. The funds received from this monetization can be used to offset the costs for adding or upgrading the equipment needed for electric or CNG/RNG buses. The tool subtracts the monetized credits from annual fuel costs. The credits are calculated using the carbon intensity of the utility you have selcted in the pull-down menu in line 34. Credit values in the tool are based on 2019 CFP credit data and are not a forecast; actual revenue from the sale of credits will vary. Note that some alternative fuels (B20, R20, R99) are also eligible to generate credits in the CFP but those typically go to the importers or suppliers of those fuels and not the end users of the fuel.</t>
    </r>
  </si>
  <si>
    <t>Inputs Tabs</t>
  </si>
  <si>
    <t>This tab enables users to input all costs associated with bus procurement, operation, maintenance, and fueling infrastucture to compare the costs between petroleum-based disesl and gasoline buses and other alternative fuel bus types . Once bus and fuel types are selected default values will populate in all subsequent entries. If known, the user can also enter their own fleet-specific values into these column B. Similarly, if the user has information on specific costs for the alternative fuel bus and fueling infrastucture needed this can be entered in column E. Default values will remain in columns C and F next to each entry for the user's reference. It is highly recommended that the user start with a fresh, unedited spreadsheet for each analysis to ensure that all calculations are performed correctly.</t>
  </si>
  <si>
    <t>NOTE: All green cells in the model are input cells, all green cells must be completed in order to complete analysis, however the tool will automatically fill these fields with default values. Gray fields are static values and cannot be modified. Gold fields are pull-down menus that require the user to select from a list of options. Please note that default values are provided in the yellow boxes to the right of the green, gray, and gold input fields. Default value cells have been locked to avoid accidental changes to the default calculations. The green input fields will automatically populate with the default values but can be changed to a specific value by the user. Where the user has fleet-specific values, they can enter these instead of the default value. When the default value and input value are different these cells will turn to gold to flag for the user that the amounts differ. More specific data inputs will yield a more refined output. 
The tool will compare costs and emissions for the different platforms of buses and fuel types. This can be seen on the “Summary” and “Fleet Carbon Footprint” tabs. However, it is recommended that if the user is interested in more accurately comparing two or more bus platforms that they complete a separate analysis for each bus type. Further, to avoid inadvertent cell changes, it is highly recommended that users start with a fresh spreadsheet template for each analysis.</t>
  </si>
  <si>
    <t>The tool provides default values for all required inputs once the user selects a specific bus and fuel type. However, the tool allows for the user to enter their own specific costs and information. The default values included in the tool are estimates and real-world costs can vary widely. Adding your fleet’s specific data in place of these default values will improve the overall outputs of the tool. Please note that there is one field that cannot be modified – 15-year useful lifetime for the bus.
Fleet operational costs are highly specific to routes, usage, and even driver habits, and some of the start-up and operating costs included in the tool may vary between school districts. For this reason, this tool is intended to be used as a high level analysis of alternative fuel school buses. The tool should not be used to make final procurement or business decisions. Calculations in the tool can be modified to highly refine the outputs for a specific user. Please contact the Oregon Department of Energy for technical assistance if you wish to add modifications beyond the inputs available in the tool interface. 
The following is a step-by-step walkthrough of the different inputs for the tool (click here for a printable version of these instructions). Each input correlates to a specific spreadsheet row on the Inputs tab of the tool.  Excel version 2007 or newer is recommended for using this model.</t>
  </si>
  <si>
    <t>The Electric and Alternative Fuel School Bus Lifecycle Cost Analysis Tool is a product of the Oregon Department of Energy in collaboration with the Oregon Department of Transportation and support from the Oregon Department of Environmental Quality. The development of the tool was directed by Governor Kate Brown in Executive Order 17-21 Accelerating Zero Emission Vehicle Adoption to Reduce Greenhouse Gas Emissions and Address Climate Change. The purpose of this tool is to provide the user with a high level assessment of the lifecycle costs of new Type C buses of different fuel types by allowing the user to compare petroleum fuel types to electric, propane, compressed natural or renewable gas, biodiesel and renewable diesel fuel buses over their useful life. The tool allows the user to compare first costs of the bus itself, fuel costs, fueling infrastructure where applicable, maintenance costs, and how incentives might enhance a project.  The tool also provides information on the carbon footprint of school bus options as well as toxic emissions.</t>
  </si>
  <si>
    <r>
      <t xml:space="preserve">Bus 1 and Bus 2 Bus Prices - Line 9 (Requred Input)
</t>
    </r>
    <r>
      <rPr>
        <sz val="16"/>
        <rFont val="Calibri"/>
        <family val="2"/>
        <scheme val="minor"/>
      </rPr>
      <t>This line is a required input for the tool to calculate. The default values for the bus type chosen will automatically populate the cost. The user may enter their own price if known for both Bus 1 or Bus 2. The default value will still be displayed in columns C anf F as reference prices but will not be part of the tool's calculation.</t>
    </r>
  </si>
  <si>
    <t>Incentive percentage</t>
  </si>
  <si>
    <t>DEQ Bus Replacement Program *</t>
  </si>
  <si>
    <t>*For more info go to https://www.oregon.gov/deq/aq/programs/Pages/VW-Diesel-Settlement.aspx</t>
  </si>
  <si>
    <t>Bus 1 - Type C - Petroleum-Based Diesel or Gasoline Bus</t>
  </si>
  <si>
    <t>Bus 2 - Type C - Alternative Fuel Bus</t>
  </si>
  <si>
    <t>Type C Bus</t>
  </si>
  <si>
    <r>
      <t xml:space="preserve">Do you want to include potential Clean Fuels Program* credit revenues in the analysis?
</t>
    </r>
    <r>
      <rPr>
        <b/>
        <i/>
        <sz val="9"/>
        <color theme="1"/>
        <rFont val="Calibri"/>
        <family val="2"/>
        <scheme val="minor"/>
      </rPr>
      <t xml:space="preserve">NOTE - only the </t>
    </r>
    <r>
      <rPr>
        <b/>
        <i/>
        <u/>
        <sz val="9"/>
        <color theme="1"/>
        <rFont val="Calibri"/>
        <family val="2"/>
        <scheme val="minor"/>
      </rPr>
      <t>owner</t>
    </r>
    <r>
      <rPr>
        <b/>
        <i/>
        <sz val="9"/>
        <color theme="1"/>
        <rFont val="Calibri"/>
        <family val="2"/>
        <scheme val="minor"/>
      </rPr>
      <t xml:space="preserve"> of the electric or CNG fueling equipment is eligible for Clean Fuels Program Credits.</t>
    </r>
  </si>
  <si>
    <t>*For more info on the Clean Fuels Program go to https://www.oregon.gov/deq/ghgp/cfp/Pages/default.aspx</t>
  </si>
  <si>
    <t>Total Cumulative Costs</t>
  </si>
  <si>
    <t>Cumulative Total Costs by Year</t>
  </si>
  <si>
    <t>Cumulative Total Costs Including Social Costs</t>
  </si>
  <si>
    <t>Maintenance</t>
  </si>
  <si>
    <t>2016 5yr AVG =</t>
  </si>
  <si>
    <t>Fuel Cost per Gallon, Therm or $kWh/mile for 2021</t>
  </si>
  <si>
    <r>
      <t xml:space="preserve">Other Incentives or Cost Reductions-Line 12 (Optional Input)                                                                                                                                                                                                                                                                                                     </t>
    </r>
    <r>
      <rPr>
        <sz val="16"/>
        <rFont val="Calibri"/>
        <family val="2"/>
        <scheme val="minor"/>
      </rPr>
      <t xml:space="preserve">If there are other incentives or cost reductions that can be applied the user can input them here on a per bus basis.   </t>
    </r>
    <r>
      <rPr>
        <b/>
        <sz val="16"/>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</si>
</sst>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_);_(&quot;$&quot;* \(#,##0.000\);_(&quot;$&quot;* &quot;-&quot;??_);_(@_)"/>
    <numFmt numFmtId="167" formatCode="0.0000"/>
    <numFmt numFmtId="168" formatCode="&quot;$&quot;#,##0.000_);[Red]\(&quot;$&quot;#,##0.000\)"/>
    <numFmt numFmtId="169" formatCode="_(* #,##0.0_);_(* \(#,##0.0\);_(* &quot;-&quot;??_);_(@_)"/>
    <numFmt numFmtId="170" formatCode="&quot;$&quot;#,##0.00"/>
    <numFmt numFmtId="171" formatCode="&quot;$&quot;#,##0"/>
    <numFmt numFmtId="172" formatCode="&quot;$&quot;#,##0.000"/>
    <numFmt numFmtId="173" formatCode="&quot;$&quot;#,##0.0000"/>
    <numFmt numFmtId="174" formatCode="0.000000"/>
    <numFmt numFmtId="175" formatCode="_(* #,##0.0000000_);_(* \(#,##0.0000000\);_(* &quot;-&quot;??_);_(@_)"/>
    <numFmt numFmtId="176" formatCode="_(* #,##0.00000000_);_(* \(#,##0.00000000\);_(* &quot;-&quot;??_);_(@_)"/>
    <numFmt numFmtId="177" formatCode="#,##0.000"/>
    <numFmt numFmtId="178" formatCode="0.000"/>
    <numFmt numFmtId="179" formatCode="_(* #,##0.0000_);_(* \(#,##0.0000\);_(* &quot;-&quot;??_);_(@_)"/>
    <numFmt numFmtId="180" formatCode="_(* #,##0.000_);_(* \(#,##0.000\);_(* &quot;-&quot;??_);_(@_)"/>
    <numFmt numFmtId="181" formatCode="&quot;$&quot;#,##0.00000_);[Red]\(&quot;$&quot;#,##0.00000\)"/>
    <numFmt numFmtId="182" formatCode="0.0%"/>
    <numFmt numFmtId="183" formatCode="&quot;$&quot;#,##0.00000"/>
    <numFmt numFmtId="184" formatCode="_(* #,##0.000000_);_(* \(#,##0.000000\);_(* &quot;-&quot;??_);_(@_)"/>
    <numFmt numFmtId="185" formatCode="_(* #,##0.00000_);_(* \(#,##0.00000\);_(* &quot;-&quot;??_);_(@_)"/>
    <numFmt numFmtId="186" formatCode="0.0"/>
    <numFmt numFmtId="187" formatCode="0.00000"/>
    <numFmt numFmtId="188" formatCode="&quot;$&quot;#,##0.0000_);[Red]\(&quot;$&quot;#,##0.0000\)"/>
    <numFmt numFmtId="189" formatCode="_(&quot;$&quot;* #,##0.0000_);_(&quot;$&quot;* \(#,##0.0000\);_(&quot;$&quot;* &quot;-&quot;??_);_(@_)"/>
    <numFmt numFmtId="190" formatCode="0.000%"/>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9"/>
      <color indexed="8"/>
      <name val="Calibri"/>
      <family val="2"/>
    </font>
    <font>
      <sz val="10"/>
      <name val="Calibri"/>
      <family val="2"/>
      <scheme val="minor"/>
    </font>
    <font>
      <sz val="8"/>
      <color theme="1"/>
      <name val="Calibri"/>
      <family val="2"/>
      <scheme val="minor"/>
    </font>
    <font>
      <sz val="10"/>
      <color theme="1"/>
      <name val="Times New Roman"/>
      <family val="1"/>
    </font>
    <font>
      <u/>
      <sz val="11"/>
      <color theme="10"/>
      <name val="Calibri"/>
      <family val="2"/>
    </font>
    <font>
      <u/>
      <sz val="10"/>
      <color theme="10"/>
      <name val="Calibri"/>
      <family val="2"/>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2"/>
      <name val="Calibri"/>
      <family val="2"/>
      <scheme val="minor"/>
    </font>
    <font>
      <sz val="11"/>
      <name val="Calibri"/>
      <family val="2"/>
      <scheme val="minor"/>
    </font>
    <font>
      <b/>
      <sz val="11"/>
      <name val="Calibri"/>
      <family val="2"/>
      <scheme val="minor"/>
    </font>
    <font>
      <vertAlign val="superscript"/>
      <sz val="11"/>
      <color theme="1"/>
      <name val="Calibri"/>
      <family val="2"/>
      <scheme val="minor"/>
    </font>
    <font>
      <sz val="11"/>
      <name val="Calibri"/>
      <family val="2"/>
    </font>
    <font>
      <b/>
      <sz val="10"/>
      <name val="Calibri"/>
      <family val="2"/>
      <scheme val="minor"/>
    </font>
    <font>
      <sz val="10"/>
      <color theme="1"/>
      <name val="Arial"/>
      <family val="2"/>
    </font>
    <font>
      <b/>
      <sz val="16"/>
      <color theme="1"/>
      <name val="Arial"/>
      <family val="2"/>
    </font>
    <font>
      <u/>
      <sz val="10"/>
      <color theme="1"/>
      <name val="Arial"/>
      <family val="2"/>
    </font>
    <font>
      <u/>
      <sz val="10"/>
      <color theme="10"/>
      <name val="Arial"/>
      <family val="2"/>
    </font>
    <font>
      <b/>
      <sz val="10"/>
      <color theme="1"/>
      <name val="Arial"/>
      <family val="2"/>
    </font>
    <font>
      <sz val="8"/>
      <name val="Arial"/>
      <family val="2"/>
    </font>
    <font>
      <b/>
      <sz val="9"/>
      <color indexed="8"/>
      <name val="Calibri"/>
      <family val="2"/>
    </font>
    <font>
      <i/>
      <sz val="11"/>
      <color theme="1"/>
      <name val="Calibri"/>
      <family val="2"/>
      <scheme val="minor"/>
    </font>
    <font>
      <b/>
      <sz val="14"/>
      <color theme="1"/>
      <name val="Calibri"/>
      <family val="2"/>
      <scheme val="minor"/>
    </font>
    <font>
      <b/>
      <u/>
      <sz val="11"/>
      <color theme="1"/>
      <name val="Calibri"/>
      <family val="2"/>
      <scheme val="minor"/>
    </font>
    <font>
      <b/>
      <sz val="14"/>
      <color rgb="FFFFFFFF"/>
      <name val="Calibri"/>
      <family val="2"/>
    </font>
    <font>
      <sz val="11"/>
      <color theme="1"/>
      <name val="Calibri"/>
      <family val="2"/>
    </font>
    <font>
      <sz val="8"/>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b/>
      <i/>
      <sz val="11"/>
      <name val="Calibri"/>
      <family val="2"/>
      <scheme val="minor"/>
    </font>
    <font>
      <b/>
      <sz val="9"/>
      <color theme="1"/>
      <name val="Calibri"/>
      <family val="2"/>
      <scheme val="minor"/>
    </font>
    <font>
      <b/>
      <i/>
      <sz val="9"/>
      <color theme="1"/>
      <name val="Calibri"/>
      <family val="2"/>
      <scheme val="minor"/>
    </font>
    <font>
      <b/>
      <i/>
      <u/>
      <sz val="9"/>
      <color theme="1"/>
      <name val="Calibri"/>
      <family val="2"/>
      <scheme val="minor"/>
    </font>
    <font>
      <sz val="10"/>
      <color theme="0"/>
      <name val="Calibri"/>
      <family val="2"/>
    </font>
    <font>
      <b/>
      <sz val="18"/>
      <color theme="1"/>
      <name val="Calibri"/>
      <family val="2"/>
      <scheme val="minor"/>
    </font>
    <font>
      <sz val="24"/>
      <color theme="0"/>
      <name val="Calibri"/>
      <family val="2"/>
      <scheme val="minor"/>
    </font>
    <font>
      <sz val="16"/>
      <name val="Calibri"/>
      <family val="2"/>
    </font>
    <font>
      <sz val="10"/>
      <name val="Calibri"/>
      <family val="2"/>
    </font>
    <font>
      <sz val="16"/>
      <name val="Calibri"/>
      <family val="2"/>
      <scheme val="minor"/>
    </font>
    <font>
      <b/>
      <sz val="16"/>
      <name val="Calibri"/>
      <family val="2"/>
      <scheme val="minor"/>
    </font>
    <font>
      <sz val="20"/>
      <color rgb="FFFFFFFF"/>
      <name val="Calibri"/>
      <family val="2"/>
    </font>
    <font>
      <sz val="16"/>
      <color theme="1"/>
      <name val="Calibri"/>
      <family val="2"/>
      <scheme val="minor"/>
    </font>
    <font>
      <b/>
      <sz val="20"/>
      <color theme="0"/>
      <name val="Calibri"/>
      <family val="2"/>
      <scheme val="minor"/>
    </font>
    <font>
      <sz val="16"/>
      <color theme="0"/>
      <name val="Calibri"/>
      <family val="2"/>
      <scheme val="minor"/>
    </font>
    <font>
      <sz val="12"/>
      <color theme="1"/>
      <name val="Calibri"/>
      <family val="2"/>
      <scheme val="minor"/>
    </font>
    <font>
      <b/>
      <sz val="18"/>
      <color theme="0"/>
      <name val="Calibri"/>
      <family val="2"/>
      <scheme val="minor"/>
    </font>
    <font>
      <sz val="18"/>
      <color theme="0"/>
      <name val="Calibri"/>
      <family val="2"/>
      <scheme val="minor"/>
    </font>
  </fonts>
  <fills count="4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rgb="FFA7DF9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theme="2" tint="-0.499984740745262"/>
        <bgColor indexed="64"/>
      </patternFill>
    </fill>
    <fill>
      <patternFill patternType="solid">
        <fgColor theme="1"/>
        <bgColor indexed="64"/>
      </patternFill>
    </fill>
    <fill>
      <patternFill patternType="solid">
        <fgColor rgb="FFFFEC29"/>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rgb="FF0E675A"/>
        <bgColor indexed="64"/>
      </patternFill>
    </fill>
    <fill>
      <patternFill patternType="solid">
        <fgColor rgb="FF0E675A"/>
        <bgColor rgb="FF000000"/>
      </patternFill>
    </fill>
    <fill>
      <patternFill patternType="solid">
        <fgColor rgb="FFEEECE1"/>
        <bgColor indexed="64"/>
      </patternFill>
    </fill>
    <fill>
      <patternFill patternType="solid">
        <fgColor rgb="FFEEECE1"/>
        <bgColor rgb="FF000000"/>
      </patternFill>
    </fill>
    <fill>
      <patternFill patternType="solid">
        <fgColor rgb="FFDDD9C4"/>
        <bgColor indexed="64"/>
      </patternFill>
    </fill>
    <fill>
      <patternFill patternType="solid">
        <fgColor theme="2" tint="-0.249977111117893"/>
        <bgColor indexed="64"/>
      </patternFill>
    </fill>
  </fills>
  <borders count="125">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medium">
        <color indexed="64"/>
      </right>
      <top/>
      <bottom/>
      <diagonal/>
    </border>
    <border>
      <left/>
      <right/>
      <top/>
      <bottom style="medium">
        <color auto="1"/>
      </bottom>
      <diagonal/>
    </border>
    <border>
      <left/>
      <right/>
      <top/>
      <bottom style="dashed">
        <color rgb="FFBFBFBF"/>
      </bottom>
      <diagonal/>
    </border>
    <border>
      <left/>
      <right style="medium">
        <color indexed="64"/>
      </right>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dashed">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top style="thin">
        <color auto="1"/>
      </top>
      <bottom style="thin">
        <color indexed="64"/>
      </bottom>
      <diagonal/>
    </border>
    <border>
      <left/>
      <right/>
      <top style="thin">
        <color auto="1"/>
      </top>
      <bottom/>
      <diagonal/>
    </border>
    <border>
      <left/>
      <right/>
      <top/>
      <bottom style="thin">
        <color rgb="FFBFBFBF"/>
      </bottom>
      <diagonal/>
    </border>
    <border>
      <left/>
      <right/>
      <top/>
      <bottom style="double">
        <color auto="1"/>
      </bottom>
      <diagonal/>
    </border>
    <border>
      <left/>
      <right style="double">
        <color auto="1"/>
      </right>
      <top/>
      <bottom/>
      <diagonal/>
    </border>
    <border>
      <left style="thick">
        <color auto="1"/>
      </left>
      <right/>
      <top/>
      <bottom/>
      <diagonal/>
    </border>
    <border>
      <left style="thick">
        <color auto="1"/>
      </left>
      <right/>
      <top/>
      <bottom style="double">
        <color auto="1"/>
      </bottom>
      <diagonal/>
    </border>
    <border>
      <left style="thick">
        <color auto="1"/>
      </left>
      <right style="thin">
        <color auto="1"/>
      </right>
      <top/>
      <bottom/>
      <diagonal/>
    </border>
    <border>
      <left style="thick">
        <color auto="1"/>
      </left>
      <right style="double">
        <color auto="1"/>
      </right>
      <top/>
      <bottom/>
      <diagonal/>
    </border>
    <border>
      <left/>
      <right style="thick">
        <color auto="1"/>
      </right>
      <top/>
      <bottom/>
      <diagonal/>
    </border>
    <border>
      <left style="thin">
        <color indexed="64"/>
      </left>
      <right style="thick">
        <color auto="1"/>
      </right>
      <top style="medium">
        <color indexed="64"/>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double">
        <color auto="1"/>
      </right>
      <top/>
      <bottom style="double">
        <color auto="1"/>
      </bottom>
      <diagonal/>
    </border>
    <border>
      <left style="thick">
        <color auto="1"/>
      </left>
      <right style="double">
        <color auto="1"/>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medium">
        <color indexed="64"/>
      </top>
      <bottom style="dashed">
        <color rgb="FFBFBFBF"/>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indexed="64"/>
      </left>
      <right style="thick">
        <color auto="1"/>
      </right>
      <top style="medium">
        <color auto="1"/>
      </top>
      <bottom style="thick">
        <color auto="1"/>
      </bottom>
      <diagonal/>
    </border>
    <border>
      <left style="medium">
        <color indexed="64"/>
      </left>
      <right style="thin">
        <color indexed="64"/>
      </right>
      <top style="thin">
        <color indexed="64"/>
      </top>
      <bottom style="thick">
        <color auto="1"/>
      </bottom>
      <diagonal/>
    </border>
    <border>
      <left style="thick">
        <color auto="1"/>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auto="1"/>
      </right>
      <top style="medium">
        <color auto="1"/>
      </top>
      <bottom/>
      <diagonal/>
    </border>
    <border>
      <left style="thin">
        <color indexed="64"/>
      </left>
      <right/>
      <top style="medium">
        <color auto="1"/>
      </top>
      <bottom style="thin">
        <color indexed="64"/>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bottom style="thin">
        <color auto="1"/>
      </bottom>
      <diagonal/>
    </border>
    <border>
      <left/>
      <right style="thick">
        <color auto="1"/>
      </right>
      <top/>
      <bottom style="thin">
        <color auto="1"/>
      </bottom>
      <diagonal/>
    </border>
    <border>
      <left/>
      <right style="thick">
        <color auto="1"/>
      </right>
      <top style="thick">
        <color auto="1"/>
      </top>
      <bottom style="medium">
        <color auto="1"/>
      </bottom>
      <diagonal/>
    </border>
    <border>
      <left style="thick">
        <color auto="1"/>
      </left>
      <right style="medium">
        <color auto="1"/>
      </right>
      <top style="thin">
        <color auto="1"/>
      </top>
      <bottom style="thin">
        <color auto="1"/>
      </bottom>
      <diagonal/>
    </border>
    <border>
      <left style="thick">
        <color auto="1"/>
      </left>
      <right style="medium">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medium">
        <color indexed="64"/>
      </left>
      <right style="thin">
        <color auto="1"/>
      </right>
      <top style="double">
        <color auto="1"/>
      </top>
      <bottom style="thin">
        <color indexed="64"/>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ck">
        <color auto="1"/>
      </left>
      <right style="medium">
        <color auto="1"/>
      </right>
      <top style="thin">
        <color auto="1"/>
      </top>
      <bottom/>
      <diagonal/>
    </border>
    <border>
      <left style="thin">
        <color auto="1"/>
      </left>
      <right style="thick">
        <color auto="1"/>
      </right>
      <top style="thin">
        <color auto="1"/>
      </top>
      <bottom/>
      <diagonal/>
    </border>
    <border>
      <left style="thick">
        <color auto="1"/>
      </left>
      <right style="medium">
        <color auto="1"/>
      </right>
      <top style="medium">
        <color auto="1"/>
      </top>
      <bottom style="thick">
        <color auto="1"/>
      </bottom>
      <diagonal/>
    </border>
    <border>
      <left/>
      <right style="thin">
        <color auto="1"/>
      </right>
      <top style="medium">
        <color auto="1"/>
      </top>
      <bottom style="thick">
        <color auto="1"/>
      </bottom>
      <diagonal/>
    </border>
    <border>
      <left style="thick">
        <color auto="1"/>
      </left>
      <right/>
      <top style="thin">
        <color auto="1"/>
      </top>
      <bottom/>
      <diagonal/>
    </border>
    <border>
      <left style="medium">
        <color indexed="64"/>
      </left>
      <right style="thin">
        <color indexed="64"/>
      </right>
      <top style="thin">
        <color indexed="64"/>
      </top>
      <bottom/>
      <diagonal/>
    </border>
    <border>
      <left style="thick">
        <color auto="1"/>
      </left>
      <right/>
      <top style="thick">
        <color auto="1"/>
      </top>
      <bottom style="thick">
        <color auto="1"/>
      </bottom>
      <diagonal/>
    </border>
    <border>
      <left style="medium">
        <color indexed="64"/>
      </left>
      <right style="thin">
        <color indexed="64"/>
      </right>
      <top style="thick">
        <color auto="1"/>
      </top>
      <bottom style="thick">
        <color auto="1"/>
      </bottom>
      <diagonal/>
    </border>
    <border>
      <left style="thin">
        <color auto="1"/>
      </left>
      <right style="thick">
        <color auto="1"/>
      </right>
      <top style="thick">
        <color auto="1"/>
      </top>
      <bottom style="thick">
        <color auto="1"/>
      </bottom>
      <diagonal/>
    </border>
    <border>
      <left/>
      <right style="medium">
        <color indexed="64"/>
      </right>
      <top style="medium">
        <color auto="1"/>
      </top>
      <bottom style="thin">
        <color auto="1"/>
      </bottom>
      <diagonal/>
    </border>
    <border>
      <left style="thin">
        <color auto="1"/>
      </left>
      <right style="thin">
        <color auto="1"/>
      </right>
      <top style="thin">
        <color auto="1"/>
      </top>
      <bottom/>
      <diagonal/>
    </border>
    <border>
      <left style="thin">
        <color indexed="64"/>
      </left>
      <right style="thick">
        <color auto="1"/>
      </right>
      <top/>
      <bottom/>
      <diagonal/>
    </border>
    <border>
      <left style="medium">
        <color indexed="64"/>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medium">
        <color indexed="64"/>
      </left>
      <right style="thin">
        <color indexed="64"/>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thin">
        <color indexed="64"/>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ck">
        <color auto="1"/>
      </left>
      <right/>
      <top style="medium">
        <color auto="1"/>
      </top>
      <bottom style="thin">
        <color auto="1"/>
      </bottom>
      <diagonal/>
    </border>
    <border>
      <left/>
      <right style="thick">
        <color auto="1"/>
      </right>
      <top style="medium">
        <color auto="1"/>
      </top>
      <bottom style="thin">
        <color auto="1"/>
      </bottom>
      <diagonal/>
    </border>
    <border>
      <left style="thick">
        <color auto="1"/>
      </left>
      <right style="thin">
        <color auto="1"/>
      </right>
      <top style="thin">
        <color auto="1"/>
      </top>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right style="thin">
        <color indexed="64"/>
      </right>
      <top style="thick">
        <color auto="1"/>
      </top>
      <bottom/>
      <diagonal/>
    </border>
    <border>
      <left style="thick">
        <color auto="1"/>
      </left>
      <right style="double">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6" applyNumberFormat="0" applyFont="0" applyProtection="0">
      <alignment wrapText="1"/>
    </xf>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29" fillId="0" borderId="37" applyNumberFormat="0" applyProtection="0">
      <alignment wrapText="1"/>
    </xf>
  </cellStyleXfs>
  <cellXfs count="914">
    <xf numFmtId="0" fontId="0" fillId="0" borderId="0" xfId="0"/>
    <xf numFmtId="0" fontId="0" fillId="3" borderId="0" xfId="0" applyFill="1"/>
    <xf numFmtId="0" fontId="0" fillId="3" borderId="0" xfId="0" applyFill="1" applyAlignment="1">
      <alignment horizontal="right"/>
    </xf>
    <xf numFmtId="0" fontId="0" fillId="0" borderId="0" xfId="0" applyAlignment="1">
      <alignment horizontal="right"/>
    </xf>
    <xf numFmtId="0" fontId="4" fillId="0" borderId="0" xfId="0" applyFont="1" applyAlignment="1">
      <alignment horizontal="right"/>
    </xf>
    <xf numFmtId="0" fontId="3" fillId="0" borderId="0" xfId="0" applyFont="1"/>
    <xf numFmtId="0" fontId="3" fillId="0" borderId="0" xfId="0" applyFont="1" applyAlignment="1">
      <alignment horizontal="center" vertical="center"/>
    </xf>
    <xf numFmtId="4" fontId="0" fillId="0" borderId="0" xfId="0" applyNumberFormat="1"/>
    <xf numFmtId="0" fontId="3" fillId="0" borderId="0" xfId="0" applyFont="1" applyAlignment="1">
      <alignment horizontal="right"/>
    </xf>
    <xf numFmtId="3" fontId="0" fillId="0" borderId="0" xfId="0" applyNumberFormat="1"/>
    <xf numFmtId="8" fontId="0" fillId="0" borderId="0" xfId="0" applyNumberFormat="1"/>
    <xf numFmtId="8" fontId="0" fillId="0" borderId="0" xfId="0" applyNumberFormat="1" applyAlignment="1">
      <alignment horizontal="right"/>
    </xf>
    <xf numFmtId="167" fontId="0" fillId="0" borderId="0" xfId="0" applyNumberFormat="1"/>
    <xf numFmtId="3" fontId="0" fillId="0" borderId="0" xfId="0" applyNumberFormat="1" applyAlignment="1">
      <alignment horizontal="right"/>
    </xf>
    <xf numFmtId="165" fontId="0" fillId="0" borderId="0" xfId="1" applyNumberFormat="1" applyFont="1"/>
    <xf numFmtId="0" fontId="3" fillId="0" borderId="0" xfId="0" applyFont="1" applyAlignment="1">
      <alignment horizontal="left"/>
    </xf>
    <xf numFmtId="168" fontId="0" fillId="0" borderId="0" xfId="0" applyNumberFormat="1" applyAlignment="1">
      <alignment horizontal="right"/>
    </xf>
    <xf numFmtId="43" fontId="0" fillId="0" borderId="0" xfId="0" applyNumberFormat="1"/>
    <xf numFmtId="168" fontId="0" fillId="0" borderId="0" xfId="0" applyNumberFormat="1"/>
    <xf numFmtId="165" fontId="0" fillId="0" borderId="0" xfId="1" applyNumberFormat="1" applyFont="1" applyAlignment="1">
      <alignment horizontal="right"/>
    </xf>
    <xf numFmtId="165" fontId="0" fillId="0" borderId="0" xfId="0" applyNumberFormat="1"/>
    <xf numFmtId="169" fontId="0" fillId="0" borderId="0" xfId="1" applyNumberFormat="1" applyFont="1"/>
    <xf numFmtId="10" fontId="0" fillId="0" borderId="0" xfId="0" applyNumberFormat="1"/>
    <xf numFmtId="0" fontId="3" fillId="6" borderId="1" xfId="0" applyFont="1" applyFill="1" applyBorder="1"/>
    <xf numFmtId="44" fontId="0" fillId="6" borderId="5" xfId="2" applyFont="1" applyFill="1" applyBorder="1" applyAlignment="1">
      <alignment horizontal="right" wrapText="1"/>
    </xf>
    <xf numFmtId="44" fontId="0" fillId="8" borderId="1" xfId="0" applyNumberFormat="1" applyFill="1" applyBorder="1"/>
    <xf numFmtId="44" fontId="0" fillId="8" borderId="2" xfId="0" applyNumberFormat="1" applyFill="1" applyBorder="1"/>
    <xf numFmtId="44" fontId="0" fillId="8" borderId="3" xfId="0" applyNumberFormat="1" applyFill="1" applyBorder="1"/>
    <xf numFmtId="0" fontId="0" fillId="5" borderId="8" xfId="0" applyFill="1" applyBorder="1" applyAlignment="1">
      <alignment horizontal="center" wrapText="1"/>
    </xf>
    <xf numFmtId="44" fontId="0" fillId="5" borderId="0" xfId="0" applyNumberFormat="1" applyFill="1"/>
    <xf numFmtId="0" fontId="0" fillId="8" borderId="4" xfId="0" applyFill="1" applyBorder="1" applyAlignment="1">
      <alignment horizontal="right"/>
    </xf>
    <xf numFmtId="44" fontId="0" fillId="8" borderId="8" xfId="0" applyNumberFormat="1" applyFill="1" applyBorder="1"/>
    <xf numFmtId="44" fontId="0" fillId="8" borderId="0" xfId="0" applyNumberFormat="1" applyFill="1"/>
    <xf numFmtId="44" fontId="0" fillId="8" borderId="4" xfId="0" applyNumberFormat="1" applyFill="1" applyBorder="1"/>
    <xf numFmtId="0" fontId="0" fillId="3" borderId="4" xfId="0" applyFill="1" applyBorder="1" applyAlignment="1">
      <alignment horizontal="right"/>
    </xf>
    <xf numFmtId="164" fontId="0" fillId="0" borderId="8" xfId="2" applyNumberFormat="1" applyFont="1" applyBorder="1"/>
    <xf numFmtId="164" fontId="0" fillId="0" borderId="0" xfId="2" applyNumberFormat="1" applyFont="1"/>
    <xf numFmtId="164" fontId="0" fillId="0" borderId="4" xfId="2" applyNumberFormat="1" applyFont="1" applyBorder="1"/>
    <xf numFmtId="0" fontId="0" fillId="3" borderId="8" xfId="0" applyFill="1" applyBorder="1"/>
    <xf numFmtId="1" fontId="0" fillId="0" borderId="8" xfId="0" applyNumberFormat="1" applyBorder="1"/>
    <xf numFmtId="1" fontId="0" fillId="0" borderId="0" xfId="0" applyNumberFormat="1"/>
    <xf numFmtId="0" fontId="0" fillId="3" borderId="0" xfId="0" applyFill="1" applyAlignment="1">
      <alignment horizontal="center" wrapText="1"/>
    </xf>
    <xf numFmtId="164" fontId="0" fillId="0" borderId="8" xfId="0" applyNumberFormat="1" applyBorder="1"/>
    <xf numFmtId="164" fontId="0" fillId="0" borderId="0" xfId="0" applyNumberFormat="1"/>
    <xf numFmtId="164" fontId="0" fillId="0" borderId="4" xfId="0" applyNumberFormat="1" applyBorder="1"/>
    <xf numFmtId="0" fontId="0" fillId="3" borderId="9" xfId="0" applyFill="1" applyBorder="1"/>
    <xf numFmtId="0" fontId="0" fillId="3" borderId="5" xfId="0" applyFill="1" applyBorder="1"/>
    <xf numFmtId="0" fontId="0" fillId="3" borderId="7" xfId="0" applyFill="1" applyBorder="1" applyAlignment="1">
      <alignment horizontal="right"/>
    </xf>
    <xf numFmtId="165" fontId="0" fillId="0" borderId="9" xfId="0" applyNumberFormat="1" applyBorder="1"/>
    <xf numFmtId="165" fontId="0" fillId="0" borderId="5" xfId="0" applyNumberFormat="1" applyBorder="1"/>
    <xf numFmtId="165" fontId="0" fillId="0" borderId="7" xfId="0" applyNumberFormat="1" applyBorder="1"/>
    <xf numFmtId="0" fontId="3" fillId="0" borderId="1" xfId="0" applyFont="1" applyBorder="1"/>
    <xf numFmtId="0" fontId="0" fillId="8" borderId="8" xfId="0" applyFill="1" applyBorder="1" applyAlignment="1">
      <alignment horizontal="right"/>
    </xf>
    <xf numFmtId="165" fontId="0" fillId="0" borderId="8" xfId="0" applyNumberFormat="1" applyBorder="1"/>
    <xf numFmtId="165" fontId="0" fillId="0" borderId="4" xfId="0" applyNumberFormat="1" applyBorder="1"/>
    <xf numFmtId="1" fontId="0" fillId="0" borderId="4" xfId="0" applyNumberFormat="1" applyBorder="1"/>
    <xf numFmtId="44" fontId="0" fillId="0" borderId="9" xfId="2" applyFont="1" applyBorder="1"/>
    <xf numFmtId="44" fontId="0" fillId="0" borderId="5" xfId="2" applyFont="1" applyBorder="1"/>
    <xf numFmtId="44" fontId="0" fillId="0" borderId="7" xfId="2" applyFont="1" applyBorder="1"/>
    <xf numFmtId="0" fontId="0" fillId="9" borderId="8" xfId="0" applyFill="1" applyBorder="1" applyAlignment="1">
      <alignment horizontal="right"/>
    </xf>
    <xf numFmtId="164" fontId="0" fillId="0" borderId="9" xfId="2" applyNumberFormat="1" applyFont="1" applyBorder="1"/>
    <xf numFmtId="164" fontId="0" fillId="0" borderId="5" xfId="2" applyNumberFormat="1" applyFont="1" applyBorder="1"/>
    <xf numFmtId="164" fontId="0" fillId="0" borderId="7" xfId="2" applyNumberFormat="1" applyFont="1" applyBorder="1"/>
    <xf numFmtId="8" fontId="0" fillId="5" borderId="0" xfId="0" applyNumberFormat="1" applyFill="1"/>
    <xf numFmtId="6" fontId="0" fillId="0" borderId="8" xfId="0" applyNumberFormat="1" applyBorder="1"/>
    <xf numFmtId="0" fontId="0" fillId="8" borderId="0" xfId="0" applyFill="1"/>
    <xf numFmtId="44" fontId="0" fillId="8" borderId="8" xfId="2" applyFont="1" applyFill="1" applyBorder="1"/>
    <xf numFmtId="44" fontId="0" fillId="8" borderId="4" xfId="2" applyFont="1" applyFill="1" applyBorder="1"/>
    <xf numFmtId="44" fontId="0" fillId="0" borderId="8" xfId="0" applyNumberFormat="1" applyBorder="1"/>
    <xf numFmtId="44" fontId="0" fillId="0" borderId="0" xfId="0" applyNumberFormat="1"/>
    <xf numFmtId="44" fontId="0" fillId="0" borderId="4" xfId="0" applyNumberFormat="1" applyBorder="1"/>
    <xf numFmtId="0" fontId="0" fillId="0" borderId="8" xfId="0" applyBorder="1"/>
    <xf numFmtId="0" fontId="0" fillId="0" borderId="9" xfId="0" applyBorder="1"/>
    <xf numFmtId="0" fontId="0" fillId="0" borderId="5" xfId="0" applyBorder="1"/>
    <xf numFmtId="166" fontId="0" fillId="8" borderId="8" xfId="2" applyNumberFormat="1" applyFont="1" applyFill="1" applyBorder="1"/>
    <xf numFmtId="166" fontId="0" fillId="0" borderId="8" xfId="0" applyNumberFormat="1" applyBorder="1"/>
    <xf numFmtId="166" fontId="0" fillId="0" borderId="0" xfId="0" applyNumberFormat="1"/>
    <xf numFmtId="0" fontId="0" fillId="3" borderId="5" xfId="0" applyFill="1" applyBorder="1" applyAlignment="1">
      <alignment horizontal="right"/>
    </xf>
    <xf numFmtId="0" fontId="0" fillId="10" borderId="3" xfId="0" applyFill="1" applyBorder="1"/>
    <xf numFmtId="0" fontId="0" fillId="0" borderId="4" xfId="0" applyBorder="1" applyAlignment="1">
      <alignment horizontal="right"/>
    </xf>
    <xf numFmtId="44" fontId="0" fillId="0" borderId="1" xfId="0" applyNumberFormat="1" applyBorder="1"/>
    <xf numFmtId="44" fontId="0" fillId="0" borderId="2" xfId="0" applyNumberFormat="1" applyBorder="1"/>
    <xf numFmtId="44" fontId="0" fillId="0" borderId="3" xfId="0" applyNumberFormat="1" applyBorder="1"/>
    <xf numFmtId="0" fontId="0" fillId="11" borderId="8" xfId="0" applyFill="1" applyBorder="1"/>
    <xf numFmtId="0" fontId="5" fillId="12" borderId="1" xfId="0" applyFont="1" applyFill="1" applyBorder="1" applyAlignment="1">
      <alignment horizontal="center" vertical="center" wrapText="1"/>
    </xf>
    <xf numFmtId="170" fontId="5" fillId="12"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0" xfId="0" applyFont="1" applyFill="1" applyAlignment="1">
      <alignment horizontal="center" vertical="center" wrapText="1"/>
    </xf>
    <xf numFmtId="0" fontId="5" fillId="0" borderId="0" xfId="0" applyFont="1" applyAlignment="1">
      <alignment horizontal="center" vertical="center" wrapText="1"/>
    </xf>
    <xf numFmtId="164" fontId="5" fillId="0" borderId="0" xfId="2" applyNumberFormat="1" applyFont="1" applyAlignment="1">
      <alignment horizontal="center" vertical="center" wrapText="1"/>
    </xf>
    <xf numFmtId="0" fontId="4" fillId="0" borderId="11" xfId="0" applyFont="1" applyBorder="1" applyAlignment="1">
      <alignment wrapText="1"/>
    </xf>
    <xf numFmtId="171" fontId="4" fillId="2" borderId="11" xfId="2" applyNumberFormat="1" applyFont="1" applyFill="1" applyBorder="1" applyAlignment="1">
      <alignment wrapText="1"/>
    </xf>
    <xf numFmtId="165" fontId="4" fillId="2" borderId="11" xfId="1" applyNumberFormat="1" applyFont="1" applyFill="1" applyBorder="1" applyAlignment="1">
      <alignment wrapText="1"/>
    </xf>
    <xf numFmtId="0" fontId="8" fillId="0" borderId="11" xfId="0" applyFont="1" applyBorder="1" applyAlignment="1">
      <alignment horizontal="right" vertical="center" wrapText="1"/>
    </xf>
    <xf numFmtId="0" fontId="8" fillId="0" borderId="11" xfId="0" applyFont="1" applyBorder="1" applyAlignment="1">
      <alignment horizontal="right" vertical="center"/>
    </xf>
    <xf numFmtId="170" fontId="8" fillId="0" borderId="11" xfId="2" applyNumberFormat="1" applyFont="1" applyBorder="1" applyAlignment="1">
      <alignment horizontal="right"/>
    </xf>
    <xf numFmtId="2" fontId="8" fillId="13" borderId="11" xfId="0" applyNumberFormat="1" applyFont="1" applyFill="1" applyBorder="1" applyAlignment="1">
      <alignment horizontal="right" vertical="center"/>
    </xf>
    <xf numFmtId="165" fontId="8" fillId="13" borderId="11" xfId="1" applyNumberFormat="1" applyFont="1" applyFill="1" applyBorder="1" applyAlignment="1">
      <alignment horizontal="right" vertical="center"/>
    </xf>
    <xf numFmtId="172" fontId="8" fillId="0" borderId="11" xfId="0" applyNumberFormat="1" applyFont="1" applyBorder="1" applyAlignment="1">
      <alignment horizontal="right" vertical="center"/>
    </xf>
    <xf numFmtId="173" fontId="8" fillId="0" borderId="11" xfId="0" applyNumberFormat="1" applyFont="1" applyBorder="1" applyAlignment="1">
      <alignment horizontal="right" vertical="center"/>
    </xf>
    <xf numFmtId="170" fontId="4" fillId="0" borderId="11" xfId="2" applyNumberFormat="1" applyFont="1" applyBorder="1"/>
    <xf numFmtId="171" fontId="4" fillId="0" borderId="0" xfId="0" applyNumberFormat="1" applyFont="1"/>
    <xf numFmtId="171" fontId="4" fillId="5" borderId="0" xfId="0" applyNumberFormat="1" applyFont="1" applyFill="1"/>
    <xf numFmtId="174" fontId="4" fillId="0" borderId="0" xfId="0" applyNumberFormat="1" applyFont="1"/>
    <xf numFmtId="170" fontId="4" fillId="0" borderId="0" xfId="0" applyNumberFormat="1" applyFont="1"/>
    <xf numFmtId="175" fontId="4" fillId="0" borderId="0" xfId="1" applyNumberFormat="1" applyFont="1"/>
    <xf numFmtId="43" fontId="4" fillId="0" borderId="0" xfId="0" applyNumberFormat="1" applyFont="1"/>
    <xf numFmtId="176" fontId="4" fillId="0" borderId="0" xfId="0" applyNumberFormat="1" applyFont="1"/>
    <xf numFmtId="0" fontId="4" fillId="0" borderId="0" xfId="0" applyFont="1"/>
    <xf numFmtId="164" fontId="4" fillId="0" borderId="0" xfId="2" applyNumberFormat="1" applyFont="1"/>
    <xf numFmtId="164" fontId="4" fillId="0" borderId="0" xfId="0" applyNumberFormat="1" applyFont="1"/>
    <xf numFmtId="175" fontId="4" fillId="0" borderId="0" xfId="0" applyNumberFormat="1" applyFont="1"/>
    <xf numFmtId="1" fontId="4" fillId="0" borderId="0" xfId="0" applyNumberFormat="1" applyFont="1"/>
    <xf numFmtId="170" fontId="4" fillId="0" borderId="11" xfId="0" applyNumberFormat="1" applyFont="1" applyBorder="1"/>
    <xf numFmtId="0" fontId="4" fillId="0" borderId="11" xfId="0" applyFont="1" applyBorder="1"/>
    <xf numFmtId="44" fontId="4" fillId="0" borderId="0" xfId="0" applyNumberFormat="1" applyFont="1"/>
    <xf numFmtId="170" fontId="4" fillId="0" borderId="0" xfId="0" applyNumberFormat="1" applyFont="1" applyAlignment="1">
      <alignment horizontal="right"/>
    </xf>
    <xf numFmtId="0" fontId="8" fillId="0" borderId="0" xfId="0" applyFont="1"/>
    <xf numFmtId="170" fontId="4" fillId="0" borderId="0" xfId="2" applyNumberFormat="1" applyFont="1" applyAlignment="1">
      <alignment horizontal="right"/>
    </xf>
    <xf numFmtId="9" fontId="4" fillId="0" borderId="0" xfId="0" applyNumberFormat="1" applyFont="1"/>
    <xf numFmtId="171" fontId="4" fillId="0" borderId="0" xfId="2" applyNumberFormat="1" applyFont="1" applyAlignment="1">
      <alignment horizontal="right"/>
    </xf>
    <xf numFmtId="9" fontId="4" fillId="0" borderId="0" xfId="3" applyFont="1" applyAlignment="1">
      <alignment horizontal="right"/>
    </xf>
    <xf numFmtId="170" fontId="9" fillId="0" borderId="0" xfId="2" applyNumberFormat="1" applyFont="1" applyAlignment="1">
      <alignment horizontal="right" wrapText="1"/>
    </xf>
    <xf numFmtId="170" fontId="9" fillId="0" borderId="0" xfId="0" applyNumberFormat="1" applyFont="1" applyAlignment="1">
      <alignment horizontal="right" wrapText="1"/>
    </xf>
    <xf numFmtId="0" fontId="10" fillId="0" borderId="0" xfId="0" applyFont="1"/>
    <xf numFmtId="10" fontId="4" fillId="0" borderId="0" xfId="3" applyNumberFormat="1" applyFont="1" applyAlignment="1">
      <alignment horizontal="right"/>
    </xf>
    <xf numFmtId="0" fontId="4" fillId="0" borderId="0" xfId="0" applyFont="1" applyAlignment="1">
      <alignment wrapText="1"/>
    </xf>
    <xf numFmtId="0" fontId="12" fillId="0" borderId="0" xfId="5" applyFont="1" applyAlignment="1" applyProtection="1"/>
    <xf numFmtId="170" fontId="4" fillId="0" borderId="0" xfId="0" applyNumberFormat="1" applyFont="1" applyAlignment="1">
      <alignment horizontal="right" wrapText="1"/>
    </xf>
    <xf numFmtId="10" fontId="4" fillId="0" borderId="0" xfId="3" applyNumberFormat="1" applyFont="1" applyBorder="1" applyAlignment="1">
      <alignment horizontal="right"/>
    </xf>
    <xf numFmtId="170" fontId="4" fillId="0" borderId="0" xfId="0" applyNumberFormat="1" applyFont="1" applyBorder="1" applyAlignment="1">
      <alignment horizontal="right"/>
    </xf>
    <xf numFmtId="6" fontId="0" fillId="0" borderId="0" xfId="0" applyNumberFormat="1"/>
    <xf numFmtId="9" fontId="0" fillId="0" borderId="0" xfId="3" applyFont="1"/>
    <xf numFmtId="0" fontId="11" fillId="0" borderId="0" xfId="5" applyAlignment="1" applyProtection="1"/>
    <xf numFmtId="168" fontId="3" fillId="0" borderId="0" xfId="0" applyNumberFormat="1" applyFont="1"/>
    <xf numFmtId="6" fontId="3" fillId="0" borderId="0" xfId="0" applyNumberFormat="1" applyFont="1"/>
    <xf numFmtId="0" fontId="15" fillId="0" borderId="0" xfId="6"/>
    <xf numFmtId="2" fontId="0" fillId="0" borderId="0" xfId="0" applyNumberFormat="1"/>
    <xf numFmtId="44" fontId="0" fillId="0" borderId="0" xfId="2" applyFont="1"/>
    <xf numFmtId="10" fontId="0" fillId="0" borderId="0" xfId="3" applyNumberFormat="1" applyFont="1"/>
    <xf numFmtId="8" fontId="3" fillId="0" borderId="0" xfId="0" applyNumberFormat="1" applyFont="1"/>
    <xf numFmtId="170" fontId="0" fillId="14" borderId="0" xfId="0" applyNumberFormat="1" applyFill="1"/>
    <xf numFmtId="170" fontId="0" fillId="0" borderId="0" xfId="0" applyNumberFormat="1"/>
    <xf numFmtId="0" fontId="2" fillId="0" borderId="0" xfId="0" applyFont="1"/>
    <xf numFmtId="1" fontId="4" fillId="3" borderId="0" xfId="0" applyNumberFormat="1" applyFont="1" applyFill="1"/>
    <xf numFmtId="0" fontId="0" fillId="0" borderId="0" xfId="0" applyAlignment="1">
      <alignment horizontal="center"/>
    </xf>
    <xf numFmtId="0" fontId="5" fillId="15" borderId="0" xfId="0" applyFont="1" applyFill="1" applyAlignment="1">
      <alignment horizontal="center"/>
    </xf>
    <xf numFmtId="0" fontId="5" fillId="15" borderId="0" xfId="0" applyFont="1" applyFill="1" applyAlignment="1">
      <alignment horizontal="right"/>
    </xf>
    <xf numFmtId="177" fontId="4" fillId="15" borderId="0" xfId="0" applyNumberFormat="1" applyFont="1" applyFill="1"/>
    <xf numFmtId="165" fontId="16" fillId="15" borderId="12" xfId="1" applyNumberFormat="1" applyFont="1" applyFill="1" applyBorder="1"/>
    <xf numFmtId="0" fontId="16" fillId="0" borderId="0" xfId="0" applyFont="1"/>
    <xf numFmtId="165" fontId="16" fillId="16" borderId="16" xfId="1" applyNumberFormat="1" applyFont="1" applyFill="1" applyBorder="1"/>
    <xf numFmtId="0" fontId="16" fillId="15" borderId="1" xfId="0" applyFont="1" applyFill="1" applyBorder="1" applyAlignment="1">
      <alignment horizontal="center"/>
    </xf>
    <xf numFmtId="0" fontId="16" fillId="15" borderId="2" xfId="0" applyFont="1" applyFill="1" applyBorder="1" applyAlignment="1">
      <alignment horizontal="center"/>
    </xf>
    <xf numFmtId="0" fontId="16" fillId="15" borderId="3" xfId="0" applyFont="1" applyFill="1" applyBorder="1" applyAlignment="1">
      <alignment horizontal="center"/>
    </xf>
    <xf numFmtId="0" fontId="16" fillId="16" borderId="1" xfId="0" applyFont="1" applyFill="1" applyBorder="1" applyAlignment="1">
      <alignment horizontal="center"/>
    </xf>
    <xf numFmtId="0" fontId="16" fillId="16" borderId="2" xfId="0" applyFont="1" applyFill="1" applyBorder="1" applyAlignment="1">
      <alignment horizontal="center"/>
    </xf>
    <xf numFmtId="0" fontId="16" fillId="16" borderId="3" xfId="0" applyFont="1" applyFill="1" applyBorder="1" applyAlignment="1">
      <alignment horizontal="center"/>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7" fillId="16" borderId="3" xfId="0" applyFont="1" applyFill="1" applyBorder="1" applyAlignment="1">
      <alignment horizontal="center"/>
    </xf>
    <xf numFmtId="0" fontId="17" fillId="16" borderId="17" xfId="0" applyFont="1" applyFill="1" applyBorder="1" applyAlignment="1">
      <alignment horizontal="center"/>
    </xf>
    <xf numFmtId="0" fontId="17" fillId="16" borderId="0" xfId="0" applyFont="1" applyFill="1" applyAlignment="1">
      <alignment horizontal="center"/>
    </xf>
    <xf numFmtId="0" fontId="3" fillId="17" borderId="18" xfId="0" applyFont="1" applyFill="1" applyBorder="1" applyAlignment="1">
      <alignment horizontal="left"/>
    </xf>
    <xf numFmtId="0" fontId="3" fillId="17" borderId="19" xfId="0" applyFont="1" applyFill="1" applyBorder="1" applyAlignment="1">
      <alignment horizontal="left"/>
    </xf>
    <xf numFmtId="165" fontId="0" fillId="17" borderId="20" xfId="1" applyNumberFormat="1" applyFont="1" applyFill="1" applyBorder="1"/>
    <xf numFmtId="178" fontId="0" fillId="17" borderId="20" xfId="0" applyNumberFormat="1" applyFill="1" applyBorder="1"/>
    <xf numFmtId="178" fontId="0" fillId="17" borderId="20" xfId="1" applyNumberFormat="1" applyFont="1" applyFill="1" applyBorder="1"/>
    <xf numFmtId="165" fontId="18" fillId="17" borderId="20" xfId="1" applyNumberFormat="1" applyFont="1" applyFill="1" applyBorder="1"/>
    <xf numFmtId="178" fontId="18" fillId="17" borderId="20" xfId="1" applyNumberFormat="1" applyFont="1" applyFill="1" applyBorder="1"/>
    <xf numFmtId="165" fontId="18" fillId="17" borderId="0" xfId="1" applyNumberFormat="1" applyFont="1" applyFill="1"/>
    <xf numFmtId="178" fontId="18" fillId="17" borderId="0" xfId="1" applyNumberFormat="1" applyFont="1" applyFill="1"/>
    <xf numFmtId="177" fontId="5" fillId="17" borderId="0" xfId="0" applyNumberFormat="1" applyFont="1" applyFill="1"/>
    <xf numFmtId="2" fontId="3" fillId="17" borderId="0" xfId="0" applyNumberFormat="1" applyFont="1" applyFill="1"/>
    <xf numFmtId="43" fontId="0" fillId="17" borderId="0" xfId="0" applyNumberFormat="1" applyFill="1"/>
    <xf numFmtId="2" fontId="0" fillId="17" borderId="0" xfId="0" applyNumberFormat="1" applyFill="1"/>
    <xf numFmtId="0" fontId="0" fillId="17" borderId="0" xfId="0" applyFill="1"/>
    <xf numFmtId="0" fontId="19" fillId="17" borderId="18" xfId="0" applyFont="1" applyFill="1" applyBorder="1" applyAlignment="1">
      <alignment horizontal="left"/>
    </xf>
    <xf numFmtId="0" fontId="19" fillId="17" borderId="19" xfId="0" applyFont="1" applyFill="1" applyBorder="1" applyAlignment="1">
      <alignment horizontal="left"/>
    </xf>
    <xf numFmtId="178" fontId="18" fillId="17" borderId="20" xfId="0" applyNumberFormat="1" applyFont="1" applyFill="1" applyBorder="1"/>
    <xf numFmtId="0" fontId="18" fillId="17" borderId="0" xfId="0" applyFont="1" applyFill="1"/>
    <xf numFmtId="0" fontId="3" fillId="5" borderId="18" xfId="0" applyFont="1" applyFill="1" applyBorder="1" applyAlignment="1">
      <alignment horizontal="left"/>
    </xf>
    <xf numFmtId="0" fontId="3" fillId="16" borderId="19" xfId="0" applyFont="1" applyFill="1" applyBorder="1" applyAlignment="1">
      <alignment horizontal="left"/>
    </xf>
    <xf numFmtId="165" fontId="0" fillId="15" borderId="20" xfId="1" applyNumberFormat="1" applyFont="1" applyFill="1" applyBorder="1"/>
    <xf numFmtId="178" fontId="0" fillId="15" borderId="20" xfId="0" applyNumberFormat="1" applyFill="1" applyBorder="1"/>
    <xf numFmtId="165" fontId="0" fillId="16" borderId="20" xfId="1" applyNumberFormat="1" applyFont="1" applyFill="1" applyBorder="1"/>
    <xf numFmtId="178" fontId="0" fillId="16" borderId="20" xfId="1" applyNumberFormat="1" applyFont="1" applyFill="1" applyBorder="1"/>
    <xf numFmtId="165" fontId="18" fillId="16" borderId="20" xfId="1" applyNumberFormat="1" applyFont="1" applyFill="1" applyBorder="1"/>
    <xf numFmtId="178" fontId="18" fillId="16" borderId="20" xfId="1" applyNumberFormat="1" applyFont="1" applyFill="1" applyBorder="1"/>
    <xf numFmtId="165" fontId="18" fillId="16" borderId="0" xfId="1" applyNumberFormat="1" applyFont="1" applyFill="1"/>
    <xf numFmtId="178" fontId="18" fillId="16" borderId="0" xfId="1" applyNumberFormat="1" applyFont="1" applyFill="1"/>
    <xf numFmtId="177" fontId="5" fillId="5" borderId="0" xfId="0" applyNumberFormat="1" applyFont="1" applyFill="1"/>
    <xf numFmtId="2" fontId="3" fillId="5" borderId="0" xfId="0" applyNumberFormat="1" applyFont="1" applyFill="1"/>
    <xf numFmtId="2" fontId="0" fillId="2" borderId="0" xfId="0" applyNumberFormat="1" applyFill="1"/>
    <xf numFmtId="0" fontId="19" fillId="15" borderId="18" xfId="0" applyFont="1" applyFill="1" applyBorder="1" applyAlignment="1">
      <alignment horizontal="left"/>
    </xf>
    <xf numFmtId="0" fontId="19" fillId="16" borderId="19" xfId="0" applyFont="1" applyFill="1" applyBorder="1" applyAlignment="1">
      <alignment horizontal="left"/>
    </xf>
    <xf numFmtId="165" fontId="18" fillId="15" borderId="20" xfId="1" applyNumberFormat="1" applyFont="1" applyFill="1" applyBorder="1"/>
    <xf numFmtId="178" fontId="18" fillId="15" borderId="20" xfId="0" applyNumberFormat="1" applyFont="1" applyFill="1" applyBorder="1"/>
    <xf numFmtId="0" fontId="18" fillId="0" borderId="0" xfId="0" applyFont="1"/>
    <xf numFmtId="0" fontId="19" fillId="16" borderId="18" xfId="0" applyFont="1" applyFill="1" applyBorder="1" applyAlignment="1">
      <alignment horizontal="left"/>
    </xf>
    <xf numFmtId="0" fontId="19" fillId="5" borderId="18" xfId="0" applyFont="1" applyFill="1" applyBorder="1" applyAlignment="1">
      <alignment horizontal="left"/>
    </xf>
    <xf numFmtId="0" fontId="3" fillId="15" borderId="18" xfId="0" applyFont="1" applyFill="1" applyBorder="1" applyAlignment="1">
      <alignment horizontal="left"/>
    </xf>
    <xf numFmtId="37" fontId="0" fillId="16" borderId="20" xfId="1" applyNumberFormat="1" applyFont="1" applyFill="1" applyBorder="1"/>
    <xf numFmtId="165" fontId="2" fillId="0" borderId="0" xfId="1" applyNumberFormat="1" applyFont="1"/>
    <xf numFmtId="165" fontId="19" fillId="0" borderId="0" xfId="1" applyNumberFormat="1" applyFont="1"/>
    <xf numFmtId="179" fontId="19" fillId="0" borderId="0" xfId="1" applyNumberFormat="1" applyFont="1"/>
    <xf numFmtId="2" fontId="0" fillId="0" borderId="0" xfId="0" applyNumberFormat="1" applyAlignment="1">
      <alignment horizontal="right"/>
    </xf>
    <xf numFmtId="0" fontId="3" fillId="18" borderId="21" xfId="0" applyFont="1" applyFill="1" applyBorder="1" applyAlignment="1">
      <alignment horizontal="left"/>
    </xf>
    <xf numFmtId="0" fontId="3" fillId="18" borderId="22" xfId="0" applyFont="1" applyFill="1" applyBorder="1" applyAlignment="1">
      <alignment horizontal="left"/>
    </xf>
    <xf numFmtId="0" fontId="3" fillId="15" borderId="1" xfId="0" applyFont="1" applyFill="1" applyBorder="1" applyAlignment="1">
      <alignment horizontal="center"/>
    </xf>
    <xf numFmtId="0" fontId="3" fillId="15" borderId="2" xfId="0" applyFont="1" applyFill="1" applyBorder="1" applyAlignment="1">
      <alignment horizontal="center"/>
    </xf>
    <xf numFmtId="0" fontId="3" fillId="15" borderId="3" xfId="0" applyFont="1" applyFill="1" applyBorder="1" applyAlignment="1">
      <alignment horizontal="center"/>
    </xf>
    <xf numFmtId="0" fontId="3" fillId="16" borderId="1" xfId="0" applyFont="1" applyFill="1" applyBorder="1" applyAlignment="1">
      <alignment horizontal="center"/>
    </xf>
    <xf numFmtId="0" fontId="3" fillId="16" borderId="2" xfId="0" applyFont="1" applyFill="1" applyBorder="1" applyAlignment="1">
      <alignment horizontal="center"/>
    </xf>
    <xf numFmtId="0" fontId="3" fillId="16" borderId="3" xfId="0" applyFont="1" applyFill="1" applyBorder="1" applyAlignment="1">
      <alignment horizontal="center"/>
    </xf>
    <xf numFmtId="0" fontId="19" fillId="16" borderId="1" xfId="0" applyFont="1" applyFill="1" applyBorder="1" applyAlignment="1">
      <alignment horizontal="center"/>
    </xf>
    <xf numFmtId="0" fontId="19" fillId="16" borderId="2" xfId="0" applyFont="1" applyFill="1" applyBorder="1" applyAlignment="1">
      <alignment horizontal="center"/>
    </xf>
    <xf numFmtId="0" fontId="19" fillId="16" borderId="3" xfId="0" applyFont="1" applyFill="1" applyBorder="1" applyAlignment="1">
      <alignment horizontal="center"/>
    </xf>
    <xf numFmtId="0" fontId="19" fillId="16" borderId="0" xfId="0" applyFont="1" applyFill="1" applyAlignment="1">
      <alignment horizontal="center"/>
    </xf>
    <xf numFmtId="0" fontId="18" fillId="16" borderId="0" xfId="0" applyFont="1" applyFill="1" applyAlignment="1">
      <alignment horizontal="right"/>
    </xf>
    <xf numFmtId="0" fontId="3" fillId="18" borderId="23" xfId="0" applyFont="1" applyFill="1" applyBorder="1" applyAlignment="1">
      <alignment horizontal="center"/>
    </xf>
    <xf numFmtId="165" fontId="0" fillId="15" borderId="24" xfId="1" applyNumberFormat="1" applyFont="1" applyFill="1" applyBorder="1"/>
    <xf numFmtId="178" fontId="0" fillId="15" borderId="25" xfId="0" applyNumberFormat="1" applyFill="1" applyBorder="1"/>
    <xf numFmtId="165" fontId="18" fillId="16" borderId="18" xfId="1" applyNumberFormat="1" applyFont="1" applyFill="1" applyBorder="1"/>
    <xf numFmtId="165" fontId="18" fillId="16" borderId="26" xfId="1" applyNumberFormat="1" applyFont="1" applyFill="1" applyBorder="1"/>
    <xf numFmtId="178" fontId="18" fillId="16" borderId="25" xfId="0" applyNumberFormat="1" applyFont="1" applyFill="1" applyBorder="1"/>
    <xf numFmtId="165" fontId="0" fillId="16" borderId="18" xfId="1" applyNumberFormat="1" applyFont="1" applyFill="1" applyBorder="1"/>
    <xf numFmtId="165" fontId="0" fillId="16" borderId="26" xfId="1" applyNumberFormat="1" applyFont="1" applyFill="1" applyBorder="1"/>
    <xf numFmtId="178" fontId="0" fillId="16" borderId="25" xfId="0" applyNumberFormat="1" applyFill="1" applyBorder="1"/>
    <xf numFmtId="165" fontId="0" fillId="15" borderId="26" xfId="1" applyNumberFormat="1" applyFont="1" applyFill="1" applyBorder="1"/>
    <xf numFmtId="165" fontId="18" fillId="16" borderId="24" xfId="1" applyNumberFormat="1" applyFont="1" applyFill="1" applyBorder="1"/>
    <xf numFmtId="165" fontId="18" fillId="15" borderId="24" xfId="1" applyNumberFormat="1" applyFont="1" applyFill="1" applyBorder="1"/>
    <xf numFmtId="165" fontId="18" fillId="15" borderId="26" xfId="1" applyNumberFormat="1" applyFont="1" applyFill="1" applyBorder="1"/>
    <xf numFmtId="178" fontId="18" fillId="15" borderId="25" xfId="0" applyNumberFormat="1" applyFont="1" applyFill="1" applyBorder="1"/>
    <xf numFmtId="180" fontId="0" fillId="0" borderId="0" xfId="0" applyNumberFormat="1"/>
    <xf numFmtId="178" fontId="0" fillId="0" borderId="0" xfId="0" applyNumberFormat="1"/>
    <xf numFmtId="3" fontId="4" fillId="3" borderId="27" xfId="0" applyNumberFormat="1" applyFont="1" applyFill="1" applyBorder="1"/>
    <xf numFmtId="0" fontId="0" fillId="19" borderId="0" xfId="0" applyFill="1"/>
    <xf numFmtId="0" fontId="0" fillId="19" borderId="0" xfId="0" applyFill="1" applyAlignment="1">
      <alignment horizontal="right"/>
    </xf>
    <xf numFmtId="0" fontId="0" fillId="20" borderId="0" xfId="0" applyFill="1"/>
    <xf numFmtId="8" fontId="0" fillId="19" borderId="0" xfId="0" applyNumberFormat="1" applyFill="1"/>
    <xf numFmtId="8" fontId="0" fillId="3" borderId="0" xfId="0" applyNumberFormat="1" applyFill="1"/>
    <xf numFmtId="8" fontId="0" fillId="20" borderId="0" xfId="0" applyNumberFormat="1" applyFill="1"/>
    <xf numFmtId="44" fontId="0" fillId="20" borderId="0" xfId="0" applyNumberFormat="1" applyFill="1"/>
    <xf numFmtId="181" fontId="0" fillId="0" borderId="0" xfId="0" applyNumberFormat="1"/>
    <xf numFmtId="8" fontId="0" fillId="0" borderId="0" xfId="2" applyNumberFormat="1" applyFont="1"/>
    <xf numFmtId="44" fontId="0" fillId="19" borderId="0" xfId="0" applyNumberFormat="1" applyFill="1"/>
    <xf numFmtId="8" fontId="0" fillId="21" borderId="0" xfId="0" applyNumberFormat="1" applyFill="1"/>
    <xf numFmtId="0" fontId="21" fillId="0" borderId="0" xfId="5" applyFont="1" applyAlignment="1" applyProtection="1"/>
    <xf numFmtId="10" fontId="3" fillId="0" borderId="0" xfId="0" applyNumberFormat="1" applyFont="1" applyAlignment="1">
      <alignment horizontal="right"/>
    </xf>
    <xf numFmtId="0" fontId="4" fillId="0" borderId="27" xfId="0" applyFont="1" applyBorder="1" applyAlignment="1">
      <alignment horizontal="left" vertical="top"/>
    </xf>
    <xf numFmtId="0" fontId="4" fillId="0" borderId="27" xfId="0" applyFont="1" applyBorder="1"/>
    <xf numFmtId="0" fontId="4" fillId="0" borderId="28" xfId="0" quotePrefix="1" applyFont="1" applyBorder="1" applyAlignment="1">
      <alignment horizontal="right"/>
    </xf>
    <xf numFmtId="3" fontId="4" fillId="0" borderId="28" xfId="1" applyNumberFormat="1" applyFont="1" applyBorder="1" applyAlignment="1">
      <alignment horizontal="right"/>
    </xf>
    <xf numFmtId="171" fontId="4" fillId="0" borderId="28" xfId="2" applyNumberFormat="1" applyFont="1" applyBorder="1" applyAlignment="1">
      <alignment horizontal="right"/>
    </xf>
    <xf numFmtId="172" fontId="4" fillId="0" borderId="28" xfId="2" applyNumberFormat="1" applyFont="1" applyBorder="1" applyAlignment="1">
      <alignment horizontal="right"/>
    </xf>
    <xf numFmtId="164" fontId="4" fillId="0" borderId="0" xfId="2" applyNumberFormat="1" applyFont="1" applyAlignment="1">
      <alignment horizontal="right"/>
    </xf>
    <xf numFmtId="43" fontId="4" fillId="0" borderId="28" xfId="1" applyFont="1" applyBorder="1" applyAlignment="1">
      <alignment horizontal="right"/>
    </xf>
    <xf numFmtId="171" fontId="8" fillId="3" borderId="29" xfId="0" applyNumberFormat="1" applyFont="1" applyFill="1" applyBorder="1"/>
    <xf numFmtId="182" fontId="8" fillId="3" borderId="30" xfId="3" applyNumberFormat="1" applyFont="1" applyFill="1" applyBorder="1"/>
    <xf numFmtId="43" fontId="4" fillId="0" borderId="0" xfId="1" applyFont="1"/>
    <xf numFmtId="0" fontId="22" fillId="12" borderId="19" xfId="0" applyFont="1" applyFill="1" applyBorder="1"/>
    <xf numFmtId="171" fontId="22" fillId="12" borderId="31" xfId="2" applyNumberFormat="1" applyFont="1" applyFill="1" applyBorder="1" applyAlignment="1">
      <alignment horizontal="right"/>
    </xf>
    <xf numFmtId="0" fontId="4" fillId="0" borderId="32" xfId="0" applyFont="1" applyBorder="1"/>
    <xf numFmtId="183" fontId="4" fillId="0" borderId="33" xfId="2" applyNumberFormat="1" applyFont="1" applyBorder="1" applyAlignment="1">
      <alignment horizontal="right"/>
    </xf>
    <xf numFmtId="183" fontId="4" fillId="23" borderId="28" xfId="2" applyNumberFormat="1" applyFont="1" applyFill="1" applyBorder="1" applyAlignment="1">
      <alignment horizontal="right"/>
    </xf>
    <xf numFmtId="0" fontId="4" fillId="0" borderId="34" xfId="0" applyFont="1" applyBorder="1"/>
    <xf numFmtId="183" fontId="4" fillId="23" borderId="30" xfId="2" applyNumberFormat="1" applyFont="1" applyFill="1" applyBorder="1" applyAlignment="1">
      <alignment horizontal="right"/>
    </xf>
    <xf numFmtId="171" fontId="0" fillId="0" borderId="0" xfId="0" applyNumberFormat="1"/>
    <xf numFmtId="171" fontId="0" fillId="0" borderId="0" xfId="1" applyNumberFormat="1" applyFont="1"/>
    <xf numFmtId="165" fontId="4" fillId="0" borderId="28" xfId="1" applyNumberFormat="1" applyFont="1" applyBorder="1" applyAlignment="1">
      <alignment horizontal="right"/>
    </xf>
    <xf numFmtId="164" fontId="3" fillId="0" borderId="0" xfId="2" applyNumberFormat="1" applyFont="1"/>
    <xf numFmtId="0" fontId="0" fillId="0" borderId="0" xfId="0" applyAlignment="1">
      <alignment horizontal="left" indent="1"/>
    </xf>
    <xf numFmtId="164" fontId="1" fillId="0" borderId="0" xfId="2" applyNumberFormat="1"/>
    <xf numFmtId="184" fontId="1" fillId="0" borderId="0" xfId="1" applyNumberFormat="1"/>
    <xf numFmtId="175" fontId="0" fillId="0" borderId="0" xfId="0" applyNumberFormat="1"/>
    <xf numFmtId="43" fontId="1" fillId="0" borderId="0" xfId="1" applyNumberFormat="1"/>
    <xf numFmtId="44" fontId="4" fillId="0" borderId="0" xfId="2" applyFont="1"/>
    <xf numFmtId="166" fontId="4" fillId="0" borderId="0" xfId="2" applyNumberFormat="1" applyFont="1"/>
    <xf numFmtId="0" fontId="23" fillId="3" borderId="0" xfId="0" applyFont="1" applyFill="1" applyAlignment="1">
      <alignment horizontal="center"/>
    </xf>
    <xf numFmtId="0" fontId="23" fillId="3" borderId="0" xfId="1" applyNumberFormat="1" applyFont="1" applyFill="1" applyAlignment="1">
      <alignment horizontal="center"/>
    </xf>
    <xf numFmtId="0" fontId="23" fillId="0" borderId="0" xfId="0" applyFont="1" applyAlignment="1">
      <alignment horizontal="center"/>
    </xf>
    <xf numFmtId="0" fontId="25" fillId="3" borderId="0" xfId="0" applyFont="1" applyFill="1" applyAlignment="1">
      <alignment horizontal="center" vertical="center" wrapText="1"/>
    </xf>
    <xf numFmtId="0" fontId="25" fillId="3" borderId="0" xfId="1" applyNumberFormat="1" applyFont="1" applyFill="1" applyAlignment="1">
      <alignment horizontal="center" vertical="center" wrapText="1"/>
    </xf>
    <xf numFmtId="0" fontId="25" fillId="0" borderId="0" xfId="0" applyFont="1" applyAlignment="1">
      <alignment horizontal="center" vertical="center" wrapText="1"/>
    </xf>
    <xf numFmtId="0" fontId="23" fillId="3" borderId="0" xfId="0" applyFont="1" applyFill="1" applyAlignment="1">
      <alignment horizontal="center" vertical="center" wrapText="1"/>
    </xf>
    <xf numFmtId="0" fontId="23" fillId="16" borderId="0" xfId="0" applyFont="1" applyFill="1" applyAlignment="1">
      <alignment horizontal="center"/>
    </xf>
    <xf numFmtId="0" fontId="23" fillId="0" borderId="0" xfId="0" applyFont="1" applyAlignment="1">
      <alignment horizontal="center" vertical="center" wrapText="1"/>
    </xf>
    <xf numFmtId="0" fontId="26" fillId="0" borderId="0" xfId="6" applyFont="1" applyAlignment="1">
      <alignment horizontal="center"/>
    </xf>
    <xf numFmtId="0" fontId="23" fillId="22" borderId="0" xfId="0" applyFont="1" applyFill="1" applyAlignment="1">
      <alignment horizontal="center"/>
    </xf>
    <xf numFmtId="0" fontId="23" fillId="22" borderId="20" xfId="0" applyFont="1" applyFill="1" applyBorder="1" applyAlignment="1">
      <alignment horizontal="center"/>
    </xf>
    <xf numFmtId="165" fontId="23" fillId="22" borderId="20" xfId="1" applyNumberFormat="1" applyFont="1" applyFill="1" applyBorder="1" applyAlignment="1">
      <alignment horizontal="center"/>
    </xf>
    <xf numFmtId="0" fontId="23" fillId="22" borderId="20" xfId="1" applyNumberFormat="1" applyFont="1" applyFill="1" applyBorder="1" applyAlignment="1">
      <alignment horizontal="center"/>
    </xf>
    <xf numFmtId="186" fontId="23" fillId="22" borderId="20" xfId="0" applyNumberFormat="1" applyFont="1" applyFill="1" applyBorder="1" applyAlignment="1">
      <alignment horizontal="center"/>
    </xf>
    <xf numFmtId="1" fontId="23" fillId="22" borderId="20" xfId="1" applyNumberFormat="1" applyFont="1" applyFill="1" applyBorder="1" applyAlignment="1">
      <alignment horizontal="center"/>
    </xf>
    <xf numFmtId="0" fontId="26" fillId="22" borderId="0" xfId="6" applyFont="1" applyFill="1" applyAlignment="1">
      <alignment horizontal="center"/>
    </xf>
    <xf numFmtId="0" fontId="27" fillId="22" borderId="20" xfId="0" applyFont="1" applyFill="1" applyBorder="1" applyAlignment="1">
      <alignment horizontal="center"/>
    </xf>
    <xf numFmtId="165" fontId="23" fillId="22" borderId="0" xfId="1" applyNumberFormat="1" applyFont="1" applyFill="1" applyAlignment="1">
      <alignment horizontal="center"/>
    </xf>
    <xf numFmtId="0" fontId="23" fillId="22" borderId="0" xfId="1" applyNumberFormat="1" applyFont="1" applyFill="1" applyAlignment="1">
      <alignment horizontal="center"/>
    </xf>
    <xf numFmtId="1" fontId="23" fillId="22" borderId="0" xfId="0" applyNumberFormat="1" applyFont="1" applyFill="1" applyAlignment="1">
      <alignment horizontal="center"/>
    </xf>
    <xf numFmtId="0" fontId="23" fillId="0" borderId="20" xfId="0" applyFont="1" applyBorder="1" applyAlignment="1">
      <alignment horizontal="center"/>
    </xf>
    <xf numFmtId="0" fontId="23" fillId="4" borderId="20" xfId="0" applyFont="1" applyFill="1" applyBorder="1" applyAlignment="1">
      <alignment horizontal="center"/>
    </xf>
    <xf numFmtId="165" fontId="23" fillId="24" borderId="20" xfId="1" applyNumberFormat="1" applyFont="1" applyFill="1" applyBorder="1" applyAlignment="1">
      <alignment horizontal="center"/>
    </xf>
    <xf numFmtId="0" fontId="23" fillId="0" borderId="20" xfId="1" applyNumberFormat="1" applyFont="1" applyBorder="1" applyAlignment="1">
      <alignment horizontal="center"/>
    </xf>
    <xf numFmtId="2" fontId="23" fillId="25" borderId="20" xfId="0" applyNumberFormat="1" applyFont="1" applyFill="1" applyBorder="1" applyAlignment="1">
      <alignment horizontal="center"/>
    </xf>
    <xf numFmtId="2" fontId="23" fillId="26" borderId="20" xfId="0" applyNumberFormat="1" applyFont="1" applyFill="1" applyBorder="1" applyAlignment="1">
      <alignment horizontal="center"/>
    </xf>
    <xf numFmtId="1" fontId="23" fillId="27" borderId="20" xfId="1" applyNumberFormat="1" applyFont="1" applyFill="1" applyBorder="1" applyAlignment="1">
      <alignment horizontal="center"/>
    </xf>
    <xf numFmtId="0" fontId="27" fillId="0" borderId="20" xfId="0" applyFont="1" applyBorder="1" applyAlignment="1">
      <alignment horizontal="center"/>
    </xf>
    <xf numFmtId="0" fontId="23" fillId="23" borderId="20" xfId="0" applyFont="1" applyFill="1" applyBorder="1" applyAlignment="1">
      <alignment horizontal="center"/>
    </xf>
    <xf numFmtId="1" fontId="23" fillId="3" borderId="0" xfId="0" applyNumberFormat="1" applyFont="1" applyFill="1" applyAlignment="1">
      <alignment horizontal="center"/>
    </xf>
    <xf numFmtId="44" fontId="23" fillId="0" borderId="0" xfId="2" applyFont="1" applyAlignment="1">
      <alignment horizontal="center"/>
    </xf>
    <xf numFmtId="165" fontId="23" fillId="3" borderId="0" xfId="1" applyNumberFormat="1" applyFont="1" applyFill="1" applyAlignment="1">
      <alignment horizontal="center"/>
    </xf>
    <xf numFmtId="0" fontId="23" fillId="25" borderId="20" xfId="0" applyFont="1" applyFill="1" applyBorder="1" applyAlignment="1">
      <alignment horizontal="center"/>
    </xf>
    <xf numFmtId="186" fontId="23" fillId="26" borderId="20" xfId="0" applyNumberFormat="1" applyFont="1" applyFill="1" applyBorder="1" applyAlignment="1">
      <alignment horizontal="center"/>
    </xf>
    <xf numFmtId="185" fontId="23" fillId="0" borderId="0" xfId="0" applyNumberFormat="1" applyFont="1" applyAlignment="1">
      <alignment horizontal="center"/>
    </xf>
    <xf numFmtId="186" fontId="23" fillId="3" borderId="0" xfId="0" applyNumberFormat="1" applyFont="1" applyFill="1" applyAlignment="1">
      <alignment horizontal="center"/>
    </xf>
    <xf numFmtId="185" fontId="23" fillId="3" borderId="0" xfId="0" applyNumberFormat="1" applyFont="1" applyFill="1" applyAlignment="1">
      <alignment horizontal="center"/>
    </xf>
    <xf numFmtId="165" fontId="23" fillId="0" borderId="20" xfId="1" applyNumberFormat="1" applyFont="1" applyBorder="1" applyAlignment="1">
      <alignment horizontal="center"/>
    </xf>
    <xf numFmtId="186" fontId="23" fillId="0" borderId="20" xfId="0" applyNumberFormat="1" applyFont="1" applyBorder="1" applyAlignment="1">
      <alignment horizontal="center"/>
    </xf>
    <xf numFmtId="1" fontId="23" fillId="0" borderId="20" xfId="1" applyNumberFormat="1" applyFont="1" applyBorder="1" applyAlignment="1">
      <alignment horizontal="center"/>
    </xf>
    <xf numFmtId="1" fontId="23" fillId="0" borderId="0" xfId="0" applyNumberFormat="1" applyFont="1" applyAlignment="1">
      <alignment horizontal="center"/>
    </xf>
    <xf numFmtId="0" fontId="27" fillId="4" borderId="20" xfId="0" applyFont="1" applyFill="1" applyBorder="1" applyAlignment="1">
      <alignment horizontal="center"/>
    </xf>
    <xf numFmtId="0" fontId="23" fillId="26" borderId="20" xfId="0" applyFont="1" applyFill="1" applyBorder="1" applyAlignment="1">
      <alignment horizontal="center"/>
    </xf>
    <xf numFmtId="2" fontId="23" fillId="22" borderId="20" xfId="0" applyNumberFormat="1" applyFont="1" applyFill="1" applyBorder="1" applyAlignment="1">
      <alignment horizontal="center"/>
    </xf>
    <xf numFmtId="185" fontId="23" fillId="22" borderId="0" xfId="0" applyNumberFormat="1" applyFont="1" applyFill="1" applyAlignment="1">
      <alignment horizontal="center"/>
    </xf>
    <xf numFmtId="0" fontId="0" fillId="22" borderId="0" xfId="0" applyFill="1"/>
    <xf numFmtId="1" fontId="23" fillId="22" borderId="20" xfId="0" applyNumberFormat="1" applyFont="1" applyFill="1" applyBorder="1" applyAlignment="1">
      <alignment horizontal="center"/>
    </xf>
    <xf numFmtId="2" fontId="27" fillId="22" borderId="20" xfId="0" applyNumberFormat="1" applyFont="1" applyFill="1" applyBorder="1" applyAlignment="1">
      <alignment horizontal="center"/>
    </xf>
    <xf numFmtId="0" fontId="23" fillId="22" borderId="0" xfId="0" applyFont="1" applyFill="1" applyAlignment="1">
      <alignment horizontal="center" vertical="center" wrapText="1"/>
    </xf>
    <xf numFmtId="0" fontId="27" fillId="22" borderId="0" xfId="0" applyFont="1" applyFill="1" applyAlignment="1">
      <alignment horizontal="center"/>
    </xf>
    <xf numFmtId="2" fontId="23" fillId="22" borderId="0" xfId="0" applyNumberFormat="1" applyFont="1" applyFill="1" applyAlignment="1">
      <alignment horizontal="center"/>
    </xf>
    <xf numFmtId="186" fontId="23" fillId="22" borderId="0" xfId="0" applyNumberFormat="1" applyFont="1" applyFill="1" applyAlignment="1">
      <alignment horizontal="center"/>
    </xf>
    <xf numFmtId="1" fontId="23" fillId="22" borderId="0" xfId="1" applyNumberFormat="1" applyFont="1" applyFill="1" applyAlignment="1">
      <alignment horizontal="center"/>
    </xf>
    <xf numFmtId="0" fontId="25" fillId="3" borderId="0" xfId="6" applyFont="1" applyFill="1" applyAlignment="1">
      <alignment horizontal="left"/>
    </xf>
    <xf numFmtId="0" fontId="23" fillId="3" borderId="32" xfId="6" applyFont="1" applyFill="1" applyBorder="1" applyAlignment="1">
      <alignment horizontal="left"/>
    </xf>
    <xf numFmtId="0" fontId="25" fillId="3" borderId="36" xfId="6" applyFont="1" applyFill="1" applyBorder="1" applyAlignment="1">
      <alignment horizontal="left"/>
    </xf>
    <xf numFmtId="0" fontId="25" fillId="3" borderId="33" xfId="6" applyFont="1" applyFill="1" applyBorder="1" applyAlignment="1">
      <alignment horizontal="left"/>
    </xf>
    <xf numFmtId="0" fontId="23" fillId="3" borderId="27" xfId="0" applyFont="1" applyFill="1" applyBorder="1" applyAlignment="1">
      <alignment horizontal="right"/>
    </xf>
    <xf numFmtId="0" fontId="23" fillId="4" borderId="27" xfId="0" applyFont="1" applyFill="1" applyBorder="1" applyAlignment="1">
      <alignment horizontal="right"/>
    </xf>
    <xf numFmtId="0" fontId="23" fillId="24" borderId="27" xfId="0" applyFont="1" applyFill="1" applyBorder="1" applyAlignment="1">
      <alignment horizontal="right"/>
    </xf>
    <xf numFmtId="0" fontId="23" fillId="25" borderId="27" xfId="0" applyFont="1" applyFill="1" applyBorder="1" applyAlignment="1">
      <alignment horizontal="right"/>
    </xf>
    <xf numFmtId="0" fontId="23" fillId="26" borderId="27" xfId="0" applyFont="1" applyFill="1" applyBorder="1" applyAlignment="1">
      <alignment horizontal="right"/>
    </xf>
    <xf numFmtId="0" fontId="23" fillId="27" borderId="34" xfId="0" applyFont="1" applyFill="1" applyBorder="1" applyAlignment="1">
      <alignment horizontal="right"/>
    </xf>
    <xf numFmtId="0" fontId="23" fillId="0" borderId="0" xfId="1" applyNumberFormat="1" applyFont="1" applyAlignment="1">
      <alignment horizontal="center"/>
    </xf>
    <xf numFmtId="0" fontId="23" fillId="23" borderId="0" xfId="0" applyFont="1" applyFill="1" applyBorder="1" applyAlignment="1">
      <alignment horizontal="center"/>
    </xf>
    <xf numFmtId="2" fontId="23" fillId="4" borderId="20" xfId="0" applyNumberFormat="1" applyFont="1" applyFill="1" applyBorder="1" applyAlignment="1">
      <alignment horizontal="center"/>
    </xf>
    <xf numFmtId="180" fontId="4" fillId="0" borderId="28" xfId="1" applyNumberFormat="1" applyFont="1" applyBorder="1" applyAlignment="1">
      <alignment horizontal="right"/>
    </xf>
    <xf numFmtId="180" fontId="4" fillId="0" borderId="0" xfId="1" applyNumberFormat="1" applyFont="1"/>
    <xf numFmtId="179" fontId="4" fillId="0" borderId="0" xfId="1" applyNumberFormat="1" applyFont="1"/>
    <xf numFmtId="0" fontId="4" fillId="0" borderId="27" xfId="0" applyFont="1" applyFill="1" applyBorder="1"/>
    <xf numFmtId="183" fontId="0" fillId="0" borderId="0" xfId="0" applyNumberFormat="1"/>
    <xf numFmtId="173" fontId="4" fillId="0" borderId="0" xfId="0" applyNumberFormat="1" applyFont="1"/>
    <xf numFmtId="0" fontId="4" fillId="0" borderId="0" xfId="0" applyFont="1" applyBorder="1"/>
    <xf numFmtId="0" fontId="0" fillId="0" borderId="0" xfId="0" applyFont="1" applyAlignment="1">
      <alignment horizontal="right"/>
    </xf>
    <xf numFmtId="164" fontId="0" fillId="0" borderId="0" xfId="0" applyNumberFormat="1" applyFont="1"/>
    <xf numFmtId="171" fontId="0" fillId="0" borderId="0" xfId="0" applyNumberFormat="1" applyFont="1"/>
    <xf numFmtId="0" fontId="5" fillId="0" borderId="0" xfId="0" applyFont="1"/>
    <xf numFmtId="0" fontId="0" fillId="7" borderId="0" xfId="0" applyFill="1" applyBorder="1" applyAlignment="1">
      <alignment horizontal="right"/>
    </xf>
    <xf numFmtId="1" fontId="0" fillId="0" borderId="0" xfId="0" applyNumberFormat="1" applyAlignment="1">
      <alignment horizontal="right"/>
    </xf>
    <xf numFmtId="0" fontId="3" fillId="0" borderId="0" xfId="0" applyFont="1" applyAlignment="1">
      <alignment horizontal="left" indent="1"/>
    </xf>
    <xf numFmtId="187" fontId="0" fillId="0" borderId="0" xfId="0" applyNumberFormat="1"/>
    <xf numFmtId="0" fontId="22" fillId="12" borderId="0" xfId="0" applyFont="1" applyFill="1" applyBorder="1"/>
    <xf numFmtId="0" fontId="30" fillId="0" borderId="0" xfId="0" applyFont="1"/>
    <xf numFmtId="0" fontId="0" fillId="0" borderId="0" xfId="0" applyFont="1"/>
    <xf numFmtId="172" fontId="4" fillId="0" borderId="0" xfId="0" applyNumberFormat="1" applyFont="1"/>
    <xf numFmtId="0" fontId="31" fillId="0" borderId="0" xfId="0" applyFont="1"/>
    <xf numFmtId="0" fontId="0" fillId="16" borderId="20" xfId="0" applyFill="1" applyBorder="1"/>
    <xf numFmtId="0" fontId="0" fillId="16" borderId="20" xfId="0" applyFill="1" applyBorder="1" applyAlignment="1">
      <alignment horizontal="right"/>
    </xf>
    <xf numFmtId="6" fontId="0" fillId="16" borderId="20" xfId="0" applyNumberFormat="1" applyFill="1" applyBorder="1" applyAlignment="1">
      <alignment horizontal="right"/>
    </xf>
    <xf numFmtId="165" fontId="0" fillId="16" borderId="20" xfId="0" applyNumberFormat="1" applyFill="1" applyBorder="1" applyAlignment="1">
      <alignment horizontal="right"/>
    </xf>
    <xf numFmtId="188" fontId="0" fillId="16" borderId="20" xfId="0" applyNumberFormat="1" applyFill="1" applyBorder="1" applyAlignment="1">
      <alignment horizontal="right"/>
    </xf>
    <xf numFmtId="2" fontId="0" fillId="16" borderId="20" xfId="0" applyNumberFormat="1" applyFill="1" applyBorder="1" applyAlignment="1">
      <alignment horizontal="right"/>
    </xf>
    <xf numFmtId="8" fontId="0" fillId="16" borderId="20" xfId="0" applyNumberFormat="1" applyFill="1" applyBorder="1" applyAlignment="1">
      <alignment horizontal="right"/>
    </xf>
    <xf numFmtId="165" fontId="0" fillId="16" borderId="20" xfId="1" applyNumberFormat="1" applyFont="1" applyFill="1" applyBorder="1" applyAlignment="1">
      <alignment horizontal="right"/>
    </xf>
    <xf numFmtId="0" fontId="0" fillId="0" borderId="20" xfId="0" applyBorder="1"/>
    <xf numFmtId="0" fontId="32" fillId="0" borderId="20" xfId="0" applyFont="1" applyBorder="1" applyAlignment="1">
      <alignment horizontal="right"/>
    </xf>
    <xf numFmtId="0" fontId="0" fillId="0" borderId="20" xfId="0" applyBorder="1" applyAlignment="1">
      <alignment horizontal="right"/>
    </xf>
    <xf numFmtId="2" fontId="0" fillId="0" borderId="20" xfId="0" applyNumberFormat="1" applyBorder="1"/>
    <xf numFmtId="8" fontId="0" fillId="0" borderId="20" xfId="0" applyNumberFormat="1" applyBorder="1"/>
    <xf numFmtId="3" fontId="0" fillId="0" borderId="20" xfId="0" applyNumberFormat="1" applyBorder="1"/>
    <xf numFmtId="168" fontId="0" fillId="0" borderId="20" xfId="0" applyNumberFormat="1" applyBorder="1"/>
    <xf numFmtId="188" fontId="0" fillId="0" borderId="20" xfId="0" applyNumberFormat="1" applyBorder="1"/>
    <xf numFmtId="0" fontId="0" fillId="5" borderId="0" xfId="0" applyFill="1" applyAlignment="1">
      <alignment horizontal="center"/>
    </xf>
    <xf numFmtId="165" fontId="0" fillId="0" borderId="20" xfId="0" applyNumberFormat="1" applyBorder="1"/>
    <xf numFmtId="189" fontId="0" fillId="0" borderId="0" xfId="2" applyNumberFormat="1" applyFont="1"/>
    <xf numFmtId="0" fontId="0" fillId="8" borderId="0" xfId="0" applyFill="1" applyAlignment="1">
      <alignment horizontal="right"/>
    </xf>
    <xf numFmtId="186" fontId="0" fillId="0" borderId="8" xfId="0" applyNumberFormat="1" applyBorder="1"/>
    <xf numFmtId="0" fontId="0" fillId="0" borderId="0" xfId="0" applyFont="1" applyAlignment="1">
      <alignment horizontal="left"/>
    </xf>
    <xf numFmtId="180" fontId="4" fillId="0" borderId="0" xfId="0" applyNumberFormat="1" applyFont="1"/>
    <xf numFmtId="0" fontId="0" fillId="0" borderId="0" xfId="1" applyNumberFormat="1" applyFont="1"/>
    <xf numFmtId="190" fontId="0" fillId="0" borderId="0" xfId="3" applyNumberFormat="1" applyFont="1"/>
    <xf numFmtId="186" fontId="0" fillId="0" borderId="0" xfId="0" applyNumberFormat="1"/>
    <xf numFmtId="0" fontId="4" fillId="2" borderId="11" xfId="2" applyNumberFormat="1" applyFont="1" applyFill="1" applyBorder="1" applyAlignment="1">
      <alignment wrapText="1"/>
    </xf>
    <xf numFmtId="164" fontId="23" fillId="0" borderId="0" xfId="2" applyNumberFormat="1" applyFont="1" applyAlignment="1">
      <alignment horizontal="center"/>
    </xf>
    <xf numFmtId="0" fontId="23" fillId="23" borderId="0" xfId="0" applyFont="1" applyFill="1" applyAlignment="1">
      <alignment horizontal="center"/>
    </xf>
    <xf numFmtId="0" fontId="23" fillId="3" borderId="29" xfId="0" applyFont="1" applyFill="1" applyBorder="1" applyAlignment="1">
      <alignment horizontal="center" vertical="center" wrapText="1"/>
    </xf>
    <xf numFmtId="8" fontId="0" fillId="8" borderId="0" xfId="0" applyNumberFormat="1" applyFill="1" applyBorder="1"/>
    <xf numFmtId="8" fontId="0" fillId="5" borderId="0" xfId="0" applyNumberFormat="1" applyFill="1" applyBorder="1"/>
    <xf numFmtId="0" fontId="0" fillId="3" borderId="0" xfId="0" applyFill="1" applyBorder="1"/>
    <xf numFmtId="0" fontId="0" fillId="0" borderId="0" xfId="0" applyBorder="1"/>
    <xf numFmtId="0" fontId="3" fillId="0" borderId="9" xfId="0" applyFont="1" applyBorder="1"/>
    <xf numFmtId="0" fontId="3" fillId="3" borderId="8" xfId="0" applyFont="1" applyFill="1" applyBorder="1" applyAlignment="1">
      <alignment horizontal="left"/>
    </xf>
    <xf numFmtId="164" fontId="0" fillId="0" borderId="0" xfId="2" applyNumberFormat="1" applyFont="1" applyBorder="1"/>
    <xf numFmtId="0" fontId="0" fillId="8" borderId="0" xfId="0" applyFill="1" applyBorder="1" applyAlignment="1">
      <alignment horizontal="right"/>
    </xf>
    <xf numFmtId="0" fontId="0" fillId="3" borderId="0" xfId="0" applyFill="1" applyBorder="1" applyAlignment="1">
      <alignment horizontal="right"/>
    </xf>
    <xf numFmtId="44" fontId="0" fillId="8" borderId="0" xfId="2" applyFont="1" applyFill="1" applyBorder="1"/>
    <xf numFmtId="44" fontId="0" fillId="0" borderId="0" xfId="0" applyNumberFormat="1" applyBorder="1"/>
    <xf numFmtId="165" fontId="0" fillId="0" borderId="0" xfId="0" applyNumberFormat="1" applyBorder="1"/>
    <xf numFmtId="164" fontId="0" fillId="0" borderId="0" xfId="0" applyNumberFormat="1" applyBorder="1"/>
    <xf numFmtId="4" fontId="0" fillId="8" borderId="3" xfId="4" applyNumberFormat="1" applyFont="1" applyFill="1" applyBorder="1" applyAlignment="1">
      <alignment horizontal="right" wrapText="1"/>
    </xf>
    <xf numFmtId="0" fontId="23" fillId="28" borderId="0" xfId="0" applyFont="1" applyFill="1" applyAlignment="1">
      <alignment horizontal="center"/>
    </xf>
    <xf numFmtId="2" fontId="4" fillId="6" borderId="0" xfId="0" applyNumberFormat="1" applyFont="1" applyFill="1"/>
    <xf numFmtId="165" fontId="4" fillId="6" borderId="0" xfId="1" applyNumberFormat="1" applyFont="1" applyFill="1"/>
    <xf numFmtId="165" fontId="4" fillId="6" borderId="0" xfId="0" applyNumberFormat="1" applyFont="1" applyFill="1"/>
    <xf numFmtId="171" fontId="4" fillId="6" borderId="0" xfId="0" applyNumberFormat="1" applyFont="1" applyFill="1"/>
    <xf numFmtId="8" fontId="4" fillId="0" borderId="0" xfId="0" applyNumberFormat="1" applyFont="1"/>
    <xf numFmtId="6" fontId="4" fillId="0" borderId="0" xfId="0" applyNumberFormat="1" applyFont="1"/>
    <xf numFmtId="6" fontId="4" fillId="5" borderId="0" xfId="0" applyNumberFormat="1" applyFont="1" applyFill="1"/>
    <xf numFmtId="186" fontId="0" fillId="0" borderId="0" xfId="0" applyNumberFormat="1" applyBorder="1"/>
    <xf numFmtId="10" fontId="0" fillId="8" borderId="0" xfId="3" applyNumberFormat="1" applyFont="1" applyFill="1" applyBorder="1"/>
    <xf numFmtId="10" fontId="0" fillId="8" borderId="4" xfId="3" applyNumberFormat="1" applyFont="1" applyFill="1" applyBorder="1"/>
    <xf numFmtId="166" fontId="0" fillId="0" borderId="0" xfId="0" applyNumberFormat="1" applyBorder="1"/>
    <xf numFmtId="166" fontId="0" fillId="0" borderId="4" xfId="0" applyNumberFormat="1" applyBorder="1"/>
    <xf numFmtId="189" fontId="0" fillId="0" borderId="0" xfId="0" applyNumberFormat="1" applyBorder="1"/>
    <xf numFmtId="186" fontId="0" fillId="0" borderId="4" xfId="0" applyNumberFormat="1" applyBorder="1"/>
    <xf numFmtId="0" fontId="0" fillId="12" borderId="20" xfId="0" applyFill="1" applyBorder="1"/>
    <xf numFmtId="186" fontId="23" fillId="27" borderId="20" xfId="1" applyNumberFormat="1" applyFont="1" applyFill="1" applyBorder="1" applyAlignment="1">
      <alignment horizontal="center"/>
    </xf>
    <xf numFmtId="178" fontId="23" fillId="27" borderId="20" xfId="1" applyNumberFormat="1" applyFont="1" applyFill="1" applyBorder="1" applyAlignment="1">
      <alignment horizontal="center"/>
    </xf>
    <xf numFmtId="182" fontId="0" fillId="0" borderId="0" xfId="3" applyNumberFormat="1" applyFont="1"/>
    <xf numFmtId="0" fontId="3" fillId="0" borderId="0" xfId="0" applyFont="1" applyAlignment="1">
      <alignment horizontal="right" vertical="center"/>
    </xf>
    <xf numFmtId="170" fontId="0" fillId="0" borderId="0" xfId="3" applyNumberFormat="1" applyFont="1"/>
    <xf numFmtId="182" fontId="0" fillId="0" borderId="0" xfId="3" applyNumberFormat="1" applyFont="1" applyBorder="1"/>
    <xf numFmtId="0" fontId="23" fillId="29" borderId="0" xfId="0" applyFont="1" applyFill="1" applyAlignment="1">
      <alignment horizontal="center"/>
    </xf>
    <xf numFmtId="0" fontId="23" fillId="29" borderId="20" xfId="0" applyFont="1" applyFill="1" applyBorder="1" applyAlignment="1">
      <alignment horizontal="center"/>
    </xf>
    <xf numFmtId="165" fontId="23" fillId="29" borderId="20" xfId="1" applyNumberFormat="1" applyFont="1" applyFill="1" applyBorder="1" applyAlignment="1">
      <alignment horizontal="center"/>
    </xf>
    <xf numFmtId="0" fontId="23" fillId="29" borderId="20" xfId="1" applyNumberFormat="1" applyFont="1" applyFill="1" applyBorder="1" applyAlignment="1">
      <alignment horizontal="center"/>
    </xf>
    <xf numFmtId="186" fontId="23" fillId="29" borderId="20" xfId="0" applyNumberFormat="1" applyFont="1" applyFill="1" applyBorder="1" applyAlignment="1">
      <alignment horizontal="center"/>
    </xf>
    <xf numFmtId="1" fontId="23" fillId="29" borderId="20" xfId="1" applyNumberFormat="1" applyFont="1" applyFill="1" applyBorder="1" applyAlignment="1">
      <alignment horizontal="center"/>
    </xf>
    <xf numFmtId="0" fontId="27" fillId="29" borderId="20" xfId="0" applyFont="1" applyFill="1" applyBorder="1" applyAlignment="1">
      <alignment horizontal="center"/>
    </xf>
    <xf numFmtId="0" fontId="23" fillId="29" borderId="0" xfId="0" applyFont="1" applyFill="1" applyAlignment="1">
      <alignment horizontal="center" vertical="center" wrapText="1"/>
    </xf>
    <xf numFmtId="1" fontId="23" fillId="29" borderId="0" xfId="0" applyNumberFormat="1" applyFont="1" applyFill="1" applyAlignment="1">
      <alignment horizontal="center"/>
    </xf>
    <xf numFmtId="185" fontId="23" fillId="29" borderId="0" xfId="0" applyNumberFormat="1" applyFont="1" applyFill="1" applyAlignment="1">
      <alignment horizontal="center"/>
    </xf>
    <xf numFmtId="0" fontId="27" fillId="3" borderId="20" xfId="0" applyFont="1" applyFill="1" applyBorder="1" applyAlignment="1">
      <alignment horizontal="center"/>
    </xf>
    <xf numFmtId="0" fontId="23" fillId="3" borderId="20" xfId="0" applyFont="1" applyFill="1" applyBorder="1" applyAlignment="1">
      <alignment horizontal="center"/>
    </xf>
    <xf numFmtId="165" fontId="23" fillId="3" borderId="20" xfId="1" applyNumberFormat="1" applyFont="1" applyFill="1" applyBorder="1" applyAlignment="1">
      <alignment horizontal="center"/>
    </xf>
    <xf numFmtId="0" fontId="23" fillId="3" borderId="20" xfId="1" applyNumberFormat="1" applyFont="1" applyFill="1" applyBorder="1" applyAlignment="1">
      <alignment horizontal="center"/>
    </xf>
    <xf numFmtId="186" fontId="23" fillId="3" borderId="20" xfId="0" applyNumberFormat="1" applyFont="1" applyFill="1" applyBorder="1" applyAlignment="1">
      <alignment horizontal="center"/>
    </xf>
    <xf numFmtId="1" fontId="23" fillId="3" borderId="20" xfId="1" applyNumberFormat="1" applyFont="1" applyFill="1" applyBorder="1" applyAlignment="1">
      <alignment horizontal="center"/>
    </xf>
    <xf numFmtId="2" fontId="23" fillId="3" borderId="20" xfId="0" applyNumberFormat="1" applyFont="1" applyFill="1" applyBorder="1" applyAlignment="1">
      <alignment horizontal="center"/>
    </xf>
    <xf numFmtId="171" fontId="4" fillId="0" borderId="0" xfId="2" applyNumberFormat="1" applyFont="1" applyBorder="1" applyAlignment="1">
      <alignment horizontal="right"/>
    </xf>
    <xf numFmtId="9" fontId="4" fillId="0" borderId="0" xfId="3" applyFont="1" applyBorder="1"/>
    <xf numFmtId="9" fontId="4" fillId="0" borderId="0" xfId="0" applyNumberFormat="1" applyFont="1" applyBorder="1"/>
    <xf numFmtId="0" fontId="5" fillId="3" borderId="0" xfId="0" applyFont="1" applyFill="1" applyBorder="1" applyAlignment="1">
      <alignment horizontal="center" vertical="center"/>
    </xf>
    <xf numFmtId="170" fontId="5" fillId="3" borderId="0" xfId="0" applyNumberFormat="1" applyFont="1" applyFill="1" applyBorder="1" applyAlignment="1">
      <alignment horizontal="center" vertical="center"/>
    </xf>
    <xf numFmtId="170" fontId="5" fillId="3" borderId="0" xfId="0" applyNumberFormat="1" applyFont="1" applyFill="1" applyAlignment="1">
      <alignment horizontal="center" vertical="center"/>
    </xf>
    <xf numFmtId="0" fontId="4" fillId="3" borderId="0" xfId="0" applyFont="1" applyFill="1"/>
    <xf numFmtId="0" fontId="5" fillId="3" borderId="0" xfId="0" applyFont="1" applyFill="1" applyBorder="1" applyAlignment="1">
      <alignment horizontal="center" vertical="center" wrapText="1"/>
    </xf>
    <xf numFmtId="170" fontId="5" fillId="3" borderId="0"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9" fontId="0" fillId="0" borderId="0" xfId="0" applyNumberFormat="1"/>
    <xf numFmtId="0" fontId="0" fillId="0" borderId="0" xfId="0" applyFill="1" applyAlignment="1">
      <alignment wrapText="1"/>
    </xf>
    <xf numFmtId="0" fontId="0" fillId="0" borderId="0" xfId="0" applyAlignment="1">
      <alignment horizontal="right"/>
    </xf>
    <xf numFmtId="0" fontId="0" fillId="7" borderId="4" xfId="0" applyFill="1" applyBorder="1" applyAlignment="1">
      <alignment horizontal="right"/>
    </xf>
    <xf numFmtId="0" fontId="3" fillId="6" borderId="2" xfId="0" applyFont="1" applyFill="1" applyBorder="1" applyAlignment="1"/>
    <xf numFmtId="0" fontId="0" fillId="7" borderId="8" xfId="0" applyFill="1" applyBorder="1" applyAlignment="1">
      <alignment horizontal="right"/>
    </xf>
    <xf numFmtId="44" fontId="3" fillId="0" borderId="0" xfId="0" applyNumberFormat="1" applyFont="1"/>
    <xf numFmtId="0" fontId="6" fillId="3" borderId="39" xfId="0" applyFont="1" applyFill="1" applyBorder="1" applyAlignment="1">
      <alignment horizontal="left"/>
    </xf>
    <xf numFmtId="0" fontId="0" fillId="0" borderId="4" xfId="0" applyBorder="1"/>
    <xf numFmtId="0" fontId="0" fillId="0" borderId="0" xfId="0" applyBorder="1" applyAlignment="1">
      <alignment horizontal="right"/>
    </xf>
    <xf numFmtId="165" fontId="0" fillId="0" borderId="0" xfId="1" applyNumberFormat="1" applyFont="1" applyBorder="1"/>
    <xf numFmtId="166" fontId="0" fillId="0" borderId="0" xfId="2" applyNumberFormat="1" applyFont="1" applyBorder="1"/>
    <xf numFmtId="189" fontId="0" fillId="0" borderId="0" xfId="2" applyNumberFormat="1" applyFont="1" applyBorder="1"/>
    <xf numFmtId="189" fontId="0" fillId="0" borderId="4" xfId="2" applyNumberFormat="1" applyFont="1" applyBorder="1"/>
    <xf numFmtId="166" fontId="0" fillId="0" borderId="4" xfId="2" applyNumberFormat="1" applyFont="1" applyBorder="1"/>
    <xf numFmtId="0" fontId="0" fillId="0" borderId="8" xfId="0" applyFont="1" applyBorder="1"/>
    <xf numFmtId="1" fontId="0" fillId="0" borderId="0" xfId="0" applyNumberFormat="1" applyBorder="1"/>
    <xf numFmtId="0" fontId="0" fillId="0" borderId="9" xfId="0" applyFont="1" applyBorder="1"/>
    <xf numFmtId="164" fontId="0" fillId="0" borderId="5" xfId="0" applyNumberFormat="1" applyBorder="1"/>
    <xf numFmtId="0" fontId="0" fillId="0" borderId="7" xfId="0" applyBorder="1"/>
    <xf numFmtId="0" fontId="0" fillId="8" borderId="1" xfId="0" applyFill="1" applyBorder="1"/>
    <xf numFmtId="0" fontId="0" fillId="8" borderId="2" xfId="0" applyFill="1" applyBorder="1"/>
    <xf numFmtId="4" fontId="0" fillId="8" borderId="10" xfId="4" applyNumberFormat="1" applyFont="1" applyFill="1" applyBorder="1" applyAlignment="1">
      <alignment horizontal="right" wrapText="1"/>
    </xf>
    <xf numFmtId="0" fontId="0" fillId="8" borderId="3" xfId="0" applyFill="1" applyBorder="1"/>
    <xf numFmtId="44" fontId="0" fillId="7" borderId="0" xfId="2" applyFont="1" applyFill="1" applyBorder="1"/>
    <xf numFmtId="44" fontId="0" fillId="32" borderId="0" xfId="0" applyNumberFormat="1" applyFill="1" applyBorder="1"/>
    <xf numFmtId="44" fontId="0" fillId="10" borderId="0" xfId="2" applyFont="1" applyFill="1" applyBorder="1"/>
    <xf numFmtId="0" fontId="0" fillId="10" borderId="0" xfId="0" applyFill="1" applyBorder="1" applyAlignment="1">
      <alignment horizontal="right"/>
    </xf>
    <xf numFmtId="0" fontId="3" fillId="0" borderId="8" xfId="0" applyFont="1" applyBorder="1"/>
    <xf numFmtId="0" fontId="0" fillId="11" borderId="0" xfId="0" applyFill="1" applyBorder="1" applyAlignment="1">
      <alignment horizontal="right"/>
    </xf>
    <xf numFmtId="0" fontId="0" fillId="10" borderId="2" xfId="0" applyFill="1" applyBorder="1"/>
    <xf numFmtId="4" fontId="0" fillId="10" borderId="1" xfId="4" applyNumberFormat="1" applyFont="1" applyFill="1" applyBorder="1" applyAlignment="1">
      <alignment horizontal="right" wrapText="1"/>
    </xf>
    <xf numFmtId="44" fontId="0" fillId="10" borderId="8" xfId="2" applyFont="1" applyFill="1" applyBorder="1"/>
    <xf numFmtId="44" fontId="0" fillId="10" borderId="4" xfId="2" applyFont="1" applyFill="1" applyBorder="1"/>
    <xf numFmtId="44" fontId="0" fillId="32" borderId="8" xfId="0" applyNumberFormat="1" applyFill="1" applyBorder="1"/>
    <xf numFmtId="44" fontId="0" fillId="32" borderId="4" xfId="0" applyNumberFormat="1" applyFill="1" applyBorder="1"/>
    <xf numFmtId="0" fontId="0" fillId="10" borderId="2" xfId="0" applyFill="1" applyBorder="1" applyAlignment="1">
      <alignment horizontal="right"/>
    </xf>
    <xf numFmtId="0" fontId="28" fillId="7" borderId="2" xfId="0" applyFont="1" applyFill="1" applyBorder="1"/>
    <xf numFmtId="0" fontId="0" fillId="7" borderId="53" xfId="4" applyFont="1" applyFill="1" applyBorder="1">
      <alignment wrapText="1"/>
    </xf>
    <xf numFmtId="0" fontId="29" fillId="7" borderId="37" xfId="7" applyFill="1" applyBorder="1">
      <alignment wrapText="1"/>
    </xf>
    <xf numFmtId="8" fontId="0" fillId="0" borderId="4" xfId="0" applyNumberFormat="1" applyBorder="1" applyAlignment="1">
      <alignment horizontal="right"/>
    </xf>
    <xf numFmtId="0" fontId="0" fillId="0" borderId="4" xfId="0" applyFill="1" applyBorder="1" applyAlignment="1">
      <alignment horizontal="right"/>
    </xf>
    <xf numFmtId="0" fontId="0" fillId="0" borderId="7" xfId="0" applyFill="1" applyBorder="1" applyAlignment="1">
      <alignment horizontal="right"/>
    </xf>
    <xf numFmtId="0" fontId="0" fillId="7" borderId="1" xfId="0" applyFill="1" applyBorder="1"/>
    <xf numFmtId="0" fontId="0" fillId="7" borderId="2" xfId="0" applyFill="1" applyBorder="1"/>
    <xf numFmtId="44" fontId="0" fillId="7" borderId="8" xfId="2" applyFont="1" applyFill="1" applyBorder="1"/>
    <xf numFmtId="44" fontId="0" fillId="7" borderId="4" xfId="2" applyFont="1" applyFill="1" applyBorder="1"/>
    <xf numFmtId="44" fontId="0" fillId="8" borderId="0" xfId="0" applyNumberFormat="1" applyFill="1" applyBorder="1"/>
    <xf numFmtId="166" fontId="0" fillId="8" borderId="0" xfId="0" applyNumberFormat="1" applyFill="1" applyBorder="1"/>
    <xf numFmtId="9" fontId="0" fillId="3" borderId="0" xfId="3" applyFont="1" applyFill="1" applyBorder="1"/>
    <xf numFmtId="0" fontId="3" fillId="33" borderId="2" xfId="0" applyFont="1" applyFill="1" applyBorder="1"/>
    <xf numFmtId="0" fontId="3" fillId="33" borderId="3" xfId="0" applyFont="1" applyFill="1" applyBorder="1"/>
    <xf numFmtId="0" fontId="0" fillId="6" borderId="5" xfId="0" applyFill="1" applyBorder="1" applyAlignment="1">
      <alignment horizontal="right"/>
    </xf>
    <xf numFmtId="4" fontId="0" fillId="6" borderId="1" xfId="4" applyNumberFormat="1" applyFont="1" applyFill="1" applyBorder="1" applyAlignment="1">
      <alignment horizontal="right" wrapText="1"/>
    </xf>
    <xf numFmtId="2" fontId="0" fillId="6" borderId="2" xfId="0" applyNumberFormat="1" applyFill="1" applyBorder="1"/>
    <xf numFmtId="2" fontId="0" fillId="6" borderId="3" xfId="0" applyNumberFormat="1" applyFill="1" applyBorder="1"/>
    <xf numFmtId="165" fontId="0" fillId="0" borderId="8" xfId="1" applyNumberFormat="1" applyFont="1" applyBorder="1"/>
    <xf numFmtId="165" fontId="0" fillId="0" borderId="4" xfId="1" applyNumberFormat="1" applyFont="1" applyBorder="1"/>
    <xf numFmtId="44" fontId="0" fillId="6" borderId="9" xfId="2" applyFont="1" applyFill="1" applyBorder="1" applyAlignment="1">
      <alignment horizontal="right" wrapText="1"/>
    </xf>
    <xf numFmtId="44" fontId="0" fillId="6" borderId="7" xfId="2" applyFont="1" applyFill="1" applyBorder="1" applyAlignment="1">
      <alignment horizontal="right" wrapText="1"/>
    </xf>
    <xf numFmtId="0" fontId="0" fillId="5" borderId="8" xfId="0" applyFill="1" applyBorder="1"/>
    <xf numFmtId="0" fontId="0" fillId="3" borderId="8" xfId="0" applyFill="1" applyBorder="1" applyAlignment="1">
      <alignment horizontal="center" wrapText="1"/>
    </xf>
    <xf numFmtId="8" fontId="0" fillId="3" borderId="0" xfId="0" applyNumberFormat="1" applyFill="1" applyBorder="1"/>
    <xf numFmtId="8" fontId="0" fillId="19" borderId="0" xfId="0" applyNumberFormat="1" applyFill="1" applyBorder="1"/>
    <xf numFmtId="166" fontId="0" fillId="34" borderId="0" xfId="2" applyNumberFormat="1" applyFont="1" applyFill="1" applyAlignment="1">
      <alignment horizontal="right"/>
    </xf>
    <xf numFmtId="166" fontId="0" fillId="34" borderId="0" xfId="0" applyNumberFormat="1" applyFill="1" applyAlignment="1">
      <alignment horizontal="right"/>
    </xf>
    <xf numFmtId="8" fontId="0" fillId="34" borderId="0" xfId="0" applyNumberFormat="1" applyFill="1" applyBorder="1" applyAlignment="1">
      <alignment horizontal="right"/>
    </xf>
    <xf numFmtId="8" fontId="0" fillId="34" borderId="0" xfId="0" applyNumberFormat="1" applyFill="1"/>
    <xf numFmtId="8" fontId="0" fillId="34" borderId="4" xfId="0" applyNumberFormat="1" applyFill="1" applyBorder="1"/>
    <xf numFmtId="0" fontId="31" fillId="7" borderId="8" xfId="0" applyFont="1" applyFill="1" applyBorder="1"/>
    <xf numFmtId="0" fontId="4" fillId="0" borderId="54" xfId="0" applyFont="1" applyBorder="1"/>
    <xf numFmtId="164" fontId="4" fillId="0" borderId="20" xfId="0" applyNumberFormat="1" applyFont="1" applyBorder="1"/>
    <xf numFmtId="164" fontId="0" fillId="0" borderId="20" xfId="2" applyNumberFormat="1" applyFont="1" applyBorder="1"/>
    <xf numFmtId="164" fontId="0" fillId="0" borderId="20" xfId="0" applyNumberFormat="1" applyBorder="1"/>
    <xf numFmtId="6" fontId="0" fillId="0" borderId="20" xfId="0" applyNumberFormat="1" applyBorder="1"/>
    <xf numFmtId="164" fontId="0" fillId="0" borderId="55" xfId="0" applyNumberFormat="1" applyBorder="1"/>
    <xf numFmtId="1" fontId="0" fillId="0" borderId="18" xfId="0" applyNumberFormat="1" applyBorder="1"/>
    <xf numFmtId="0" fontId="3" fillId="4" borderId="20" xfId="0" applyFont="1" applyFill="1" applyBorder="1" applyAlignment="1">
      <alignment horizontal="center" wrapText="1"/>
    </xf>
    <xf numFmtId="164" fontId="3" fillId="0" borderId="19" xfId="0" applyNumberFormat="1" applyFont="1" applyBorder="1"/>
    <xf numFmtId="0" fontId="5" fillId="0" borderId="56" xfId="0" applyFont="1" applyBorder="1"/>
    <xf numFmtId="164" fontId="3" fillId="10" borderId="55" xfId="0" applyNumberFormat="1" applyFont="1" applyFill="1" applyBorder="1"/>
    <xf numFmtId="0" fontId="3" fillId="4" borderId="19" xfId="0" applyFont="1" applyFill="1" applyBorder="1" applyAlignment="1">
      <alignment horizontal="center" wrapText="1"/>
    </xf>
    <xf numFmtId="0" fontId="5" fillId="26" borderId="18" xfId="0" applyFont="1" applyFill="1" applyBorder="1" applyAlignment="1">
      <alignment horizontal="center" wrapText="1"/>
    </xf>
    <xf numFmtId="0" fontId="5" fillId="26" borderId="20" xfId="0" applyFont="1" applyFill="1" applyBorder="1" applyAlignment="1">
      <alignment horizontal="center" wrapText="1"/>
    </xf>
    <xf numFmtId="0" fontId="44" fillId="0" borderId="0" xfId="0" applyFont="1" applyFill="1" applyBorder="1" applyAlignment="1">
      <alignment horizontal="center"/>
    </xf>
    <xf numFmtId="0" fontId="0" fillId="0" borderId="47" xfId="0" applyBorder="1" applyAlignment="1">
      <alignment wrapText="1"/>
    </xf>
    <xf numFmtId="0" fontId="0" fillId="0" borderId="0" xfId="0" applyBorder="1" applyAlignment="1">
      <alignment wrapText="1"/>
    </xf>
    <xf numFmtId="0" fontId="3" fillId="4" borderId="54" xfId="0" applyFont="1" applyFill="1" applyBorder="1" applyAlignment="1">
      <alignment horizontal="center" wrapText="1"/>
    </xf>
    <xf numFmtId="0" fontId="3" fillId="4" borderId="55" xfId="0" applyFont="1" applyFill="1" applyBorder="1" applyAlignment="1">
      <alignment horizontal="center" wrapText="1"/>
    </xf>
    <xf numFmtId="164" fontId="0" fillId="0" borderId="54" xfId="0" applyNumberFormat="1" applyFont="1" applyBorder="1"/>
    <xf numFmtId="164" fontId="3" fillId="0" borderId="56" xfId="0" applyNumberFormat="1" applyFont="1" applyBorder="1"/>
    <xf numFmtId="164" fontId="3" fillId="30" borderId="58" xfId="0" applyNumberFormat="1" applyFont="1" applyFill="1" applyBorder="1"/>
    <xf numFmtId="164" fontId="3" fillId="4" borderId="19" xfId="0" applyNumberFormat="1" applyFont="1" applyFill="1" applyBorder="1"/>
    <xf numFmtId="164" fontId="0" fillId="4" borderId="55" xfId="0" applyNumberFormat="1" applyFill="1" applyBorder="1"/>
    <xf numFmtId="164" fontId="0" fillId="0" borderId="55" xfId="0" applyNumberFormat="1" applyFont="1" applyBorder="1" applyAlignment="1">
      <alignment horizontal="right"/>
    </xf>
    <xf numFmtId="164" fontId="0" fillId="0" borderId="58" xfId="0" applyNumberFormat="1" applyBorder="1"/>
    <xf numFmtId="164" fontId="0" fillId="0" borderId="31" xfId="0" applyNumberFormat="1" applyFont="1" applyBorder="1" applyAlignment="1">
      <alignment horizontal="right"/>
    </xf>
    <xf numFmtId="0" fontId="31" fillId="0" borderId="74" xfId="0" applyFont="1" applyBorder="1" applyAlignment="1"/>
    <xf numFmtId="0" fontId="3" fillId="0" borderId="75" xfId="0" applyFont="1" applyBorder="1"/>
    <xf numFmtId="0" fontId="31" fillId="0" borderId="30" xfId="0" applyFont="1" applyBorder="1" applyAlignment="1">
      <alignment horizontal="center" wrapText="1"/>
    </xf>
    <xf numFmtId="0" fontId="31" fillId="0" borderId="60" xfId="0" applyFont="1" applyBorder="1" applyAlignment="1">
      <alignment horizontal="center" wrapText="1"/>
    </xf>
    <xf numFmtId="0" fontId="4" fillId="0" borderId="75" xfId="0" applyFont="1" applyBorder="1"/>
    <xf numFmtId="0" fontId="31" fillId="0" borderId="30" xfId="0" applyFont="1" applyBorder="1" applyAlignment="1">
      <alignment horizontal="center"/>
    </xf>
    <xf numFmtId="0" fontId="31" fillId="0" borderId="60" xfId="0" applyFont="1" applyBorder="1" applyAlignment="1">
      <alignment horizontal="center"/>
    </xf>
    <xf numFmtId="0" fontId="3" fillId="0" borderId="59" xfId="0" applyFont="1" applyBorder="1"/>
    <xf numFmtId="0" fontId="31" fillId="0" borderId="81" xfId="0" applyFont="1" applyBorder="1" applyAlignment="1">
      <alignment horizontal="center"/>
    </xf>
    <xf numFmtId="164" fontId="0" fillId="0" borderId="18" xfId="0" applyNumberFormat="1" applyFont="1" applyBorder="1"/>
    <xf numFmtId="0" fontId="31" fillId="0" borderId="71" xfId="0" applyFont="1" applyBorder="1" applyAlignment="1"/>
    <xf numFmtId="0" fontId="3" fillId="0" borderId="79" xfId="0" applyFont="1" applyBorder="1" applyAlignment="1"/>
    <xf numFmtId="0" fontId="31" fillId="0" borderId="85" xfId="0" applyFont="1" applyBorder="1" applyAlignment="1"/>
    <xf numFmtId="164" fontId="0" fillId="0" borderId="33" xfId="0" applyNumberFormat="1" applyFont="1" applyBorder="1" applyAlignment="1">
      <alignment horizontal="right"/>
    </xf>
    <xf numFmtId="164" fontId="0" fillId="0" borderId="86" xfId="0" applyNumberFormat="1" applyFont="1" applyBorder="1" applyAlignment="1">
      <alignment horizontal="right"/>
    </xf>
    <xf numFmtId="164" fontId="0" fillId="0" borderId="86" xfId="0" applyNumberFormat="1" applyBorder="1"/>
    <xf numFmtId="0" fontId="3" fillId="0" borderId="89" xfId="0" applyFont="1" applyBorder="1" applyAlignment="1"/>
    <xf numFmtId="164" fontId="0" fillId="0" borderId="90" xfId="0" applyNumberFormat="1" applyFont="1" applyBorder="1"/>
    <xf numFmtId="0" fontId="31" fillId="4" borderId="87" xfId="0" applyFont="1" applyFill="1" applyBorder="1" applyAlignment="1"/>
    <xf numFmtId="164" fontId="3" fillId="4" borderId="88" xfId="0" applyNumberFormat="1" applyFont="1" applyFill="1" applyBorder="1" applyAlignment="1">
      <alignment horizontal="right"/>
    </xf>
    <xf numFmtId="164" fontId="3" fillId="4" borderId="61" xfId="0" applyNumberFormat="1" applyFont="1" applyFill="1" applyBorder="1" applyAlignment="1">
      <alignment horizontal="right"/>
    </xf>
    <xf numFmtId="164" fontId="3" fillId="4" borderId="61" xfId="0" applyNumberFormat="1" applyFont="1" applyFill="1" applyBorder="1"/>
    <xf numFmtId="0" fontId="3" fillId="4" borderId="91" xfId="0" applyFont="1" applyFill="1" applyBorder="1" applyAlignment="1"/>
    <xf numFmtId="164" fontId="3" fillId="4" borderId="92" xfId="0" applyNumberFormat="1" applyFont="1" applyFill="1" applyBorder="1"/>
    <xf numFmtId="164" fontId="3" fillId="4" borderId="93" xfId="0" applyNumberFormat="1" applyFont="1" applyFill="1" applyBorder="1"/>
    <xf numFmtId="0" fontId="3" fillId="4" borderId="80" xfId="0" applyFont="1" applyFill="1" applyBorder="1" applyAlignment="1"/>
    <xf numFmtId="164" fontId="3" fillId="4" borderId="62" xfId="0" applyNumberFormat="1" applyFont="1" applyFill="1" applyBorder="1"/>
    <xf numFmtId="164" fontId="3" fillId="4" borderId="58" xfId="0" applyNumberFormat="1" applyFont="1" applyFill="1" applyBorder="1"/>
    <xf numFmtId="0" fontId="3" fillId="10" borderId="59" xfId="0" applyFont="1" applyFill="1" applyBorder="1" applyAlignment="1">
      <alignment horizontal="center" vertical="center" wrapText="1"/>
    </xf>
    <xf numFmtId="0" fontId="5" fillId="0" borderId="98" xfId="0" applyFont="1" applyBorder="1"/>
    <xf numFmtId="0" fontId="3" fillId="30" borderId="102" xfId="0" applyFont="1" applyFill="1" applyBorder="1"/>
    <xf numFmtId="0" fontId="4" fillId="0" borderId="103" xfId="0" applyFont="1" applyBorder="1"/>
    <xf numFmtId="164" fontId="0" fillId="0" borderId="104" xfId="2" applyNumberFormat="1" applyFont="1" applyBorder="1"/>
    <xf numFmtId="164" fontId="3" fillId="0" borderId="105" xfId="0" applyNumberFormat="1" applyFont="1" applyBorder="1"/>
    <xf numFmtId="1" fontId="0" fillId="0" borderId="106" xfId="0" applyNumberFormat="1" applyBorder="1"/>
    <xf numFmtId="6" fontId="0" fillId="0" borderId="104" xfId="0" applyNumberFormat="1" applyBorder="1"/>
    <xf numFmtId="164" fontId="3" fillId="10" borderId="107" xfId="0" applyNumberFormat="1" applyFont="1" applyFill="1" applyBorder="1"/>
    <xf numFmtId="164" fontId="3" fillId="4" borderId="100" xfId="0" applyNumberFormat="1" applyFont="1" applyFill="1" applyBorder="1"/>
    <xf numFmtId="1" fontId="0" fillId="3" borderId="101" xfId="0" applyNumberFormat="1" applyFont="1" applyFill="1" applyBorder="1"/>
    <xf numFmtId="164" fontId="0" fillId="3" borderId="99" xfId="0" applyNumberFormat="1" applyFont="1" applyFill="1" applyBorder="1"/>
    <xf numFmtId="0" fontId="0" fillId="30" borderId="102" xfId="0" applyFill="1" applyBorder="1"/>
    <xf numFmtId="164" fontId="3" fillId="4" borderId="105" xfId="0" applyNumberFormat="1" applyFont="1" applyFill="1" applyBorder="1"/>
    <xf numFmtId="164" fontId="3" fillId="4" borderId="99" xfId="0" applyNumberFormat="1" applyFont="1" applyFill="1" applyBorder="1"/>
    <xf numFmtId="1" fontId="3" fillId="26" borderId="101" xfId="0" applyNumberFormat="1" applyFont="1" applyFill="1" applyBorder="1"/>
    <xf numFmtId="164" fontId="3" fillId="26" borderId="99" xfId="0" applyNumberFormat="1" applyFont="1" applyFill="1" applyBorder="1"/>
    <xf numFmtId="164" fontId="0" fillId="0" borderId="57" xfId="0" applyNumberFormat="1" applyBorder="1"/>
    <xf numFmtId="0" fontId="3" fillId="10" borderId="63"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0" fillId="0" borderId="47" xfId="0" applyBorder="1"/>
    <xf numFmtId="164" fontId="3" fillId="4" borderId="56" xfId="0" applyNumberFormat="1" applyFont="1" applyFill="1" applyBorder="1"/>
    <xf numFmtId="0" fontId="31" fillId="0" borderId="0" xfId="0" applyFont="1" applyFill="1" applyBorder="1" applyAlignment="1"/>
    <xf numFmtId="164" fontId="3" fillId="0" borderId="0" xfId="0" applyNumberFormat="1" applyFont="1" applyFill="1" applyBorder="1" applyAlignment="1">
      <alignment horizontal="right"/>
    </xf>
    <xf numFmtId="164" fontId="3" fillId="0" borderId="0" xfId="0" applyNumberFormat="1" applyFont="1" applyFill="1" applyBorder="1"/>
    <xf numFmtId="0" fontId="31" fillId="0" borderId="17" xfId="0" applyFont="1" applyBorder="1" applyAlignment="1">
      <alignment horizontal="center" wrapText="1"/>
    </xf>
    <xf numFmtId="0" fontId="5" fillId="0" borderId="54" xfId="0" applyFont="1" applyBorder="1"/>
    <xf numFmtId="164" fontId="3" fillId="0" borderId="0" xfId="0" applyNumberFormat="1" applyFont="1" applyBorder="1"/>
    <xf numFmtId="0" fontId="15" fillId="3" borderId="0" xfId="6" applyFill="1" applyBorder="1"/>
    <xf numFmtId="0" fontId="0" fillId="3" borderId="0" xfId="0" applyFill="1" applyBorder="1" applyAlignment="1">
      <alignment horizontal="left"/>
    </xf>
    <xf numFmtId="0" fontId="3" fillId="5" borderId="0" xfId="0" applyFont="1" applyFill="1" applyBorder="1" applyAlignment="1">
      <alignment horizontal="center"/>
    </xf>
    <xf numFmtId="178" fontId="0" fillId="3" borderId="0" xfId="0" applyNumberFormat="1" applyFill="1" applyBorder="1" applyAlignment="1">
      <alignment horizontal="left"/>
    </xf>
    <xf numFmtId="0" fontId="0" fillId="22" borderId="0" xfId="0" applyFill="1" applyBorder="1" applyAlignment="1">
      <alignment horizontal="left"/>
    </xf>
    <xf numFmtId="178" fontId="0" fillId="22" borderId="0" xfId="0" applyNumberFormat="1" applyFill="1" applyBorder="1" applyAlignment="1">
      <alignment horizontal="left"/>
    </xf>
    <xf numFmtId="0" fontId="0" fillId="22" borderId="0" xfId="0" applyFill="1" applyBorder="1"/>
    <xf numFmtId="0" fontId="0" fillId="0" borderId="0" xfId="0" applyAlignment="1">
      <alignment horizontal="center"/>
    </xf>
    <xf numFmtId="0" fontId="0" fillId="0" borderId="0" xfId="0" applyBorder="1" applyAlignment="1">
      <alignment horizontal="center"/>
    </xf>
    <xf numFmtId="0" fontId="0" fillId="0" borderId="0" xfId="0" applyBorder="1"/>
    <xf numFmtId="0" fontId="43" fillId="0" borderId="0" xfId="0" applyFont="1" applyFill="1" applyBorder="1" applyAlignment="1">
      <alignment horizontal="left" vertical="top" wrapText="1"/>
    </xf>
    <xf numFmtId="0" fontId="33" fillId="0" borderId="0" xfId="0" applyFont="1" applyFill="1" applyBorder="1" applyAlignment="1">
      <alignment horizontal="center" vertical="center" wrapText="1"/>
    </xf>
    <xf numFmtId="0" fontId="3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48" fillId="0" borderId="0" xfId="0" applyFont="1"/>
    <xf numFmtId="0" fontId="48" fillId="0" borderId="0" xfId="0" applyFont="1" applyFill="1" applyAlignment="1">
      <alignment horizontal="left" vertical="top" wrapText="1"/>
    </xf>
    <xf numFmtId="0" fontId="48" fillId="0" borderId="0" xfId="0" applyFont="1" applyAlignment="1">
      <alignment horizontal="left" vertical="top" wrapText="1"/>
    </xf>
    <xf numFmtId="0" fontId="51" fillId="0" borderId="0" xfId="0" applyFont="1"/>
    <xf numFmtId="164" fontId="0" fillId="0" borderId="0" xfId="0" applyNumberFormat="1" applyBorder="1"/>
    <xf numFmtId="0" fontId="0" fillId="0" borderId="0" xfId="0" applyBorder="1"/>
    <xf numFmtId="0" fontId="3" fillId="0" borderId="0" xfId="0" applyFont="1" applyBorder="1" applyAlignment="1">
      <alignment horizontal="center" wrapText="1"/>
    </xf>
    <xf numFmtId="0" fontId="5" fillId="0" borderId="0" xfId="0" applyFont="1" applyBorder="1"/>
    <xf numFmtId="0" fontId="16" fillId="0" borderId="12" xfId="0" applyFont="1" applyBorder="1" applyAlignment="1">
      <alignment horizontal="center" wrapText="1"/>
    </xf>
    <xf numFmtId="0" fontId="16" fillId="0" borderId="118" xfId="0" applyFont="1" applyBorder="1" applyAlignment="1">
      <alignment horizontal="center" wrapText="1"/>
    </xf>
    <xf numFmtId="0" fontId="16" fillId="0" borderId="119" xfId="0" applyFont="1" applyBorder="1"/>
    <xf numFmtId="0" fontId="16" fillId="0" borderId="121" xfId="0" applyFont="1" applyBorder="1"/>
    <xf numFmtId="164" fontId="54" fillId="0" borderId="20" xfId="0" applyNumberFormat="1" applyFont="1" applyBorder="1"/>
    <xf numFmtId="0" fontId="54" fillId="0" borderId="64" xfId="0" applyFont="1" applyBorder="1"/>
    <xf numFmtId="164" fontId="54" fillId="0" borderId="18" xfId="0" applyNumberFormat="1" applyFont="1" applyBorder="1"/>
    <xf numFmtId="164" fontId="54" fillId="0" borderId="120" xfId="0" applyNumberFormat="1" applyFont="1" applyBorder="1"/>
    <xf numFmtId="164" fontId="54" fillId="0" borderId="106" xfId="0" applyNumberFormat="1" applyFont="1" applyBorder="1"/>
    <xf numFmtId="164" fontId="54" fillId="0" borderId="122" xfId="0" applyNumberFormat="1" applyFont="1" applyBorder="1"/>
    <xf numFmtId="0" fontId="0" fillId="0" borderId="12" xfId="0" applyBorder="1"/>
    <xf numFmtId="0" fontId="54" fillId="0" borderId="123" xfId="0" applyFont="1" applyBorder="1"/>
    <xf numFmtId="0" fontId="54" fillId="0" borderId="118" xfId="0" applyFont="1" applyBorder="1"/>
    <xf numFmtId="0" fontId="16" fillId="0" borderId="18" xfId="0" applyFont="1" applyBorder="1"/>
    <xf numFmtId="0" fontId="16" fillId="0" borderId="106" xfId="0" applyFont="1" applyBorder="1"/>
    <xf numFmtId="0" fontId="54" fillId="0" borderId="0" xfId="0" applyFont="1" applyBorder="1"/>
    <xf numFmtId="0" fontId="16" fillId="0" borderId="0" xfId="0" applyFont="1" applyBorder="1"/>
    <xf numFmtId="164" fontId="54" fillId="0" borderId="0" xfId="0" applyNumberFormat="1" applyFont="1" applyBorder="1"/>
    <xf numFmtId="0" fontId="55" fillId="3" borderId="0" xfId="0" applyFont="1" applyFill="1" applyBorder="1" applyAlignment="1"/>
    <xf numFmtId="0" fontId="37" fillId="3" borderId="0" xfId="0" applyFont="1" applyFill="1" applyBorder="1" applyAlignment="1"/>
    <xf numFmtId="0" fontId="3" fillId="3" borderId="0" xfId="0" applyFont="1" applyFill="1" applyBorder="1" applyAlignment="1">
      <alignment horizontal="center" wrapText="1"/>
    </xf>
    <xf numFmtId="0" fontId="5" fillId="3" borderId="0" xfId="0" applyFont="1" applyFill="1" applyBorder="1"/>
    <xf numFmtId="164" fontId="0" fillId="3" borderId="0" xfId="0" applyNumberFormat="1" applyFill="1" applyBorder="1"/>
    <xf numFmtId="0" fontId="31" fillId="0" borderId="0" xfId="0" applyFont="1" applyBorder="1" applyAlignment="1">
      <alignment horizontal="center"/>
    </xf>
    <xf numFmtId="0" fontId="31" fillId="3" borderId="0" xfId="0" applyFont="1" applyFill="1" applyBorder="1" applyAlignment="1">
      <alignment horizontal="center"/>
    </xf>
    <xf numFmtId="164" fontId="0" fillId="3" borderId="0" xfId="0" applyNumberFormat="1" applyFont="1" applyFill="1" applyBorder="1"/>
    <xf numFmtId="0" fontId="4" fillId="40" borderId="20" xfId="0" applyFont="1" applyFill="1" applyBorder="1"/>
    <xf numFmtId="0" fontId="4" fillId="40" borderId="104" xfId="0" applyFont="1" applyFill="1" applyBorder="1"/>
    <xf numFmtId="164" fontId="0" fillId="40" borderId="99" xfId="0" applyNumberFormat="1" applyFont="1" applyFill="1" applyBorder="1"/>
    <xf numFmtId="164" fontId="3" fillId="40" borderId="99" xfId="0" applyNumberFormat="1" applyFont="1" applyFill="1" applyBorder="1"/>
    <xf numFmtId="0" fontId="0" fillId="0" borderId="0" xfId="0" applyProtection="1"/>
    <xf numFmtId="0" fontId="0" fillId="0" borderId="0" xfId="0" applyFont="1" applyFill="1" applyProtection="1"/>
    <xf numFmtId="0" fontId="0" fillId="0" borderId="0" xfId="0" applyFont="1" applyProtection="1"/>
    <xf numFmtId="0" fontId="6" fillId="0" borderId="40" xfId="0" applyFont="1" applyBorder="1" applyAlignment="1" applyProtection="1">
      <alignment horizontal="right" vertical="center" wrapText="1"/>
    </xf>
    <xf numFmtId="0" fontId="0" fillId="29" borderId="44" xfId="0" applyFont="1" applyFill="1" applyBorder="1" applyProtection="1"/>
    <xf numFmtId="0" fontId="0" fillId="29" borderId="28" xfId="0" applyFont="1" applyFill="1" applyBorder="1" applyProtection="1"/>
    <xf numFmtId="0" fontId="3" fillId="9" borderId="49" xfId="0" applyFont="1" applyFill="1" applyBorder="1" applyAlignment="1" applyProtection="1">
      <alignment horizontal="center" vertical="center" wrapText="1"/>
    </xf>
    <xf numFmtId="0" fontId="38" fillId="9" borderId="38" xfId="0" applyFont="1" applyFill="1" applyBorder="1" applyAlignment="1" applyProtection="1">
      <alignment horizontal="center" wrapText="1"/>
    </xf>
    <xf numFmtId="0" fontId="39" fillId="9" borderId="45" xfId="0" applyFont="1" applyFill="1" applyBorder="1" applyAlignment="1" applyProtection="1">
      <alignment horizontal="center" wrapText="1"/>
    </xf>
    <xf numFmtId="0" fontId="16" fillId="9" borderId="41" xfId="0" applyFont="1" applyFill="1" applyBorder="1" applyAlignment="1" applyProtection="1">
      <alignment horizontal="center" vertical="center" wrapText="1"/>
    </xf>
    <xf numFmtId="0" fontId="0" fillId="0" borderId="0" xfId="0" applyFill="1" applyAlignment="1" applyProtection="1">
      <alignment wrapText="1"/>
    </xf>
    <xf numFmtId="0" fontId="40" fillId="9" borderId="43" xfId="0" applyFont="1" applyFill="1" applyBorder="1" applyAlignment="1" applyProtection="1">
      <alignment horizontal="right"/>
    </xf>
    <xf numFmtId="5" fontId="18" fillId="5" borderId="44" xfId="2" applyNumberFormat="1" applyFont="1" applyFill="1" applyBorder="1" applyProtection="1"/>
    <xf numFmtId="0" fontId="40" fillId="9" borderId="42" xfId="0" applyFont="1" applyFill="1" applyBorder="1" applyAlignment="1" applyProtection="1">
      <alignment horizontal="right"/>
    </xf>
    <xf numFmtId="164" fontId="1" fillId="5" borderId="44" xfId="2" applyNumberFormat="1" applyFont="1" applyFill="1" applyBorder="1" applyProtection="1"/>
    <xf numFmtId="164" fontId="0" fillId="29" borderId="44" xfId="2" applyNumberFormat="1" applyFont="1" applyFill="1" applyBorder="1" applyProtection="1"/>
    <xf numFmtId="0" fontId="40" fillId="9" borderId="40" xfId="0" applyFont="1" applyFill="1" applyBorder="1" applyAlignment="1" applyProtection="1">
      <alignment horizontal="right"/>
    </xf>
    <xf numFmtId="0" fontId="0" fillId="0" borderId="40" xfId="0" applyFont="1" applyBorder="1" applyProtection="1"/>
    <xf numFmtId="0" fontId="0" fillId="0" borderId="0" xfId="0" applyFont="1" applyBorder="1" applyProtection="1"/>
    <xf numFmtId="0" fontId="0" fillId="0" borderId="44" xfId="0" applyFont="1" applyBorder="1" applyProtection="1"/>
    <xf numFmtId="0" fontId="3" fillId="9" borderId="49" xfId="0" applyFont="1" applyFill="1" applyBorder="1" applyAlignment="1" applyProtection="1">
      <alignment horizontal="right" wrapText="1"/>
    </xf>
    <xf numFmtId="0" fontId="3" fillId="9" borderId="41" xfId="0" applyFont="1" applyFill="1" applyBorder="1" applyAlignment="1" applyProtection="1">
      <alignment wrapText="1"/>
    </xf>
    <xf numFmtId="0" fontId="3" fillId="9" borderId="43" xfId="0" applyFont="1" applyFill="1" applyBorder="1" applyAlignment="1" applyProtection="1">
      <alignment horizontal="right"/>
    </xf>
    <xf numFmtId="171" fontId="1" fillId="5" borderId="44" xfId="2" applyNumberFormat="1" applyFont="1" applyFill="1" applyBorder="1" applyProtection="1"/>
    <xf numFmtId="0" fontId="0" fillId="0" borderId="36" xfId="0" applyFont="1" applyBorder="1" applyProtection="1"/>
    <xf numFmtId="0" fontId="0" fillId="0" borderId="0" xfId="0" applyBorder="1" applyProtection="1"/>
    <xf numFmtId="0" fontId="39" fillId="9" borderId="124" xfId="0" applyFont="1" applyFill="1" applyBorder="1" applyAlignment="1" applyProtection="1">
      <alignment horizontal="center" wrapText="1"/>
    </xf>
    <xf numFmtId="0" fontId="3" fillId="29" borderId="0" xfId="0" applyFont="1" applyFill="1" applyBorder="1" applyAlignment="1" applyProtection="1">
      <alignment wrapText="1"/>
    </xf>
    <xf numFmtId="0" fontId="38" fillId="29" borderId="0" xfId="0" applyFont="1" applyFill="1" applyBorder="1" applyAlignment="1" applyProtection="1">
      <alignment horizontal="center" wrapText="1"/>
    </xf>
    <xf numFmtId="0" fontId="39" fillId="29" borderId="0" xfId="0" applyFont="1" applyFill="1" applyBorder="1" applyAlignment="1" applyProtection="1">
      <alignment horizontal="center" wrapText="1"/>
    </xf>
    <xf numFmtId="165" fontId="0" fillId="29" borderId="0" xfId="1" applyNumberFormat="1" applyFont="1" applyFill="1" applyBorder="1" applyProtection="1"/>
    <xf numFmtId="0" fontId="40" fillId="29" borderId="0" xfId="0" applyFont="1" applyFill="1" applyBorder="1" applyAlignment="1" applyProtection="1">
      <alignment horizontal="right"/>
    </xf>
    <xf numFmtId="0" fontId="0" fillId="29" borderId="0" xfId="0" applyFont="1" applyFill="1" applyBorder="1" applyProtection="1"/>
    <xf numFmtId="165" fontId="0" fillId="29" borderId="0" xfId="0" applyNumberFormat="1" applyFont="1" applyFill="1" applyBorder="1" applyProtection="1"/>
    <xf numFmtId="10" fontId="0" fillId="5" borderId="0" xfId="0" applyNumberFormat="1" applyFont="1" applyFill="1" applyBorder="1" applyProtection="1"/>
    <xf numFmtId="10" fontId="0" fillId="29" borderId="0" xfId="0" applyNumberFormat="1" applyFont="1" applyFill="1" applyBorder="1" applyProtection="1"/>
    <xf numFmtId="0" fontId="0" fillId="3" borderId="0" xfId="0" applyFill="1" applyBorder="1" applyProtection="1"/>
    <xf numFmtId="170" fontId="0" fillId="5" borderId="44" xfId="2" applyNumberFormat="1" applyFont="1" applyFill="1" applyBorder="1" applyProtection="1"/>
    <xf numFmtId="44" fontId="0" fillId="5" borderId="44" xfId="2" applyFont="1" applyFill="1" applyBorder="1" applyProtection="1"/>
    <xf numFmtId="178" fontId="0" fillId="5" borderId="44" xfId="0" applyNumberFormat="1" applyFill="1" applyBorder="1" applyProtection="1"/>
    <xf numFmtId="0" fontId="40" fillId="9" borderId="43" xfId="0" applyFont="1" applyFill="1" applyBorder="1" applyAlignment="1" applyProtection="1">
      <alignment horizontal="right" wrapText="1"/>
    </xf>
    <xf numFmtId="189" fontId="0" fillId="5" borderId="44" xfId="2" applyNumberFormat="1" applyFont="1" applyFill="1" applyBorder="1" applyProtection="1"/>
    <xf numFmtId="44" fontId="0" fillId="5" borderId="44" xfId="2" applyNumberFormat="1" applyFont="1" applyFill="1" applyBorder="1" applyProtection="1"/>
    <xf numFmtId="0" fontId="40" fillId="9" borderId="50" xfId="0" applyFont="1" applyFill="1" applyBorder="1" applyAlignment="1" applyProtection="1">
      <alignment horizontal="right"/>
    </xf>
    <xf numFmtId="170" fontId="0" fillId="5" borderId="52" xfId="2" applyNumberFormat="1" applyFont="1" applyFill="1" applyBorder="1" applyProtection="1"/>
    <xf numFmtId="166" fontId="0" fillId="5" borderId="44" xfId="2" applyNumberFormat="1" applyFont="1" applyFill="1" applyBorder="1" applyProtection="1"/>
    <xf numFmtId="0" fontId="6" fillId="0" borderId="0" xfId="0" applyFont="1" applyAlignment="1" applyProtection="1">
      <alignment horizontal="right"/>
    </xf>
    <xf numFmtId="0" fontId="0" fillId="3" borderId="0" xfId="0" applyFill="1" applyAlignment="1" applyProtection="1">
      <alignment horizontal="right"/>
    </xf>
    <xf numFmtId="0" fontId="0" fillId="29" borderId="44" xfId="0" applyFill="1" applyBorder="1" applyProtection="1"/>
    <xf numFmtId="0" fontId="4" fillId="0" borderId="0" xfId="0" applyFont="1" applyAlignment="1" applyProtection="1">
      <alignment horizontal="right"/>
    </xf>
    <xf numFmtId="0" fontId="40" fillId="17" borderId="116" xfId="0" applyFont="1" applyFill="1" applyBorder="1" applyAlignment="1" applyProtection="1">
      <alignment horizontal="right" wrapText="1"/>
    </xf>
    <xf numFmtId="6" fontId="0" fillId="3" borderId="0" xfId="0" applyNumberFormat="1" applyFill="1" applyProtection="1"/>
    <xf numFmtId="6" fontId="0" fillId="5" borderId="31" xfId="0" applyNumberFormat="1" applyFill="1" applyBorder="1" applyProtection="1"/>
    <xf numFmtId="0" fontId="0" fillId="4" borderId="0" xfId="0" applyFill="1" applyProtection="1"/>
    <xf numFmtId="0" fontId="40" fillId="3" borderId="0" xfId="0" applyFont="1" applyFill="1" applyBorder="1" applyAlignment="1" applyProtection="1">
      <alignment horizontal="left"/>
    </xf>
    <xf numFmtId="0" fontId="19" fillId="23" borderId="0" xfId="0" applyFont="1" applyFill="1" applyBorder="1" applyAlignment="1" applyProtection="1">
      <alignment horizontal="center" vertical="center"/>
      <protection locked="0"/>
    </xf>
    <xf numFmtId="164" fontId="3" fillId="6" borderId="0" xfId="0" applyNumberFormat="1" applyFont="1" applyFill="1" applyBorder="1" applyProtection="1">
      <protection locked="0"/>
    </xf>
    <xf numFmtId="164" fontId="19" fillId="23" borderId="0" xfId="0" applyNumberFormat="1" applyFont="1" applyFill="1" applyBorder="1" applyAlignment="1" applyProtection="1">
      <alignment horizontal="right"/>
      <protection locked="0"/>
    </xf>
    <xf numFmtId="9" fontId="19" fillId="23" borderId="0" xfId="0" applyNumberFormat="1" applyFont="1" applyFill="1" applyBorder="1" applyAlignment="1" applyProtection="1">
      <alignment horizontal="right"/>
      <protection locked="0"/>
    </xf>
    <xf numFmtId="164" fontId="3" fillId="15" borderId="0" xfId="0" applyNumberFormat="1" applyFont="1" applyFill="1" applyBorder="1" applyProtection="1">
      <protection locked="0"/>
    </xf>
    <xf numFmtId="0" fontId="3" fillId="6" borderId="0" xfId="0" applyFont="1" applyFill="1" applyBorder="1" applyProtection="1">
      <protection locked="0"/>
    </xf>
    <xf numFmtId="44" fontId="3" fillId="6" borderId="0" xfId="0" applyNumberFormat="1" applyFont="1" applyFill="1" applyBorder="1" applyProtection="1">
      <protection locked="0"/>
    </xf>
    <xf numFmtId="166" fontId="3" fillId="6" borderId="0" xfId="0" applyNumberFormat="1" applyFont="1" applyFill="1" applyBorder="1" applyProtection="1">
      <protection locked="0"/>
    </xf>
    <xf numFmtId="0" fontId="40" fillId="23" borderId="117" xfId="0" applyFont="1" applyFill="1" applyBorder="1" applyProtection="1">
      <protection locked="0"/>
    </xf>
    <xf numFmtId="0" fontId="3" fillId="23" borderId="0" xfId="0" applyFont="1" applyFill="1" applyBorder="1" applyAlignment="1" applyProtection="1">
      <alignment horizontal="right"/>
      <protection locked="0"/>
    </xf>
    <xf numFmtId="170" fontId="19" fillId="6" borderId="0" xfId="0" applyNumberFormat="1" applyFont="1" applyFill="1" applyBorder="1" applyProtection="1">
      <protection locked="0"/>
    </xf>
    <xf numFmtId="178" fontId="19" fillId="6" borderId="0" xfId="0" applyNumberFormat="1" applyFont="1" applyFill="1" applyBorder="1" applyProtection="1">
      <protection locked="0"/>
    </xf>
    <xf numFmtId="170" fontId="19" fillId="6" borderId="0" xfId="2" applyNumberFormat="1" applyFont="1" applyFill="1" applyBorder="1" applyProtection="1">
      <protection locked="0"/>
    </xf>
    <xf numFmtId="170" fontId="19" fillId="6" borderId="51" xfId="0" applyNumberFormat="1" applyFont="1" applyFill="1" applyBorder="1" applyProtection="1">
      <protection locked="0"/>
    </xf>
    <xf numFmtId="165" fontId="19" fillId="6" borderId="0" xfId="1" applyNumberFormat="1" applyFont="1" applyFill="1" applyBorder="1" applyProtection="1">
      <protection locked="0"/>
    </xf>
    <xf numFmtId="165" fontId="19" fillId="6" borderId="0" xfId="0" applyNumberFormat="1" applyFont="1" applyFill="1" applyBorder="1" applyProtection="1">
      <protection locked="0"/>
    </xf>
    <xf numFmtId="10" fontId="19" fillId="6" borderId="0" xfId="0" applyNumberFormat="1" applyFont="1" applyFill="1" applyBorder="1" applyProtection="1">
      <protection locked="0"/>
    </xf>
    <xf numFmtId="171" fontId="19" fillId="6" borderId="0" xfId="0" applyNumberFormat="1" applyFont="1" applyFill="1" applyBorder="1" applyProtection="1">
      <protection locked="0"/>
    </xf>
    <xf numFmtId="5" fontId="19" fillId="31" borderId="0" xfId="0" applyNumberFormat="1" applyFont="1" applyFill="1" applyBorder="1" applyProtection="1">
      <protection locked="0"/>
    </xf>
    <xf numFmtId="9" fontId="19" fillId="23" borderId="0" xfId="3" applyFont="1" applyFill="1" applyBorder="1" applyAlignment="1" applyProtection="1">
      <alignment horizontal="right"/>
      <protection locked="0"/>
    </xf>
    <xf numFmtId="164" fontId="19" fillId="15" borderId="0" xfId="0" applyNumberFormat="1" applyFont="1" applyFill="1" applyBorder="1" applyAlignment="1" applyProtection="1">
      <alignment horizontal="right"/>
      <protection locked="0"/>
    </xf>
    <xf numFmtId="164" fontId="19" fillId="6" borderId="0" xfId="0" applyNumberFormat="1" applyFont="1" applyFill="1" applyBorder="1" applyAlignment="1" applyProtection="1">
      <alignment horizontal="right"/>
      <protection locked="0"/>
    </xf>
    <xf numFmtId="0" fontId="19" fillId="6" borderId="0" xfId="0" applyFont="1" applyFill="1" applyBorder="1" applyProtection="1">
      <protection locked="0"/>
    </xf>
    <xf numFmtId="3" fontId="19" fillId="15" borderId="0" xfId="0" applyNumberFormat="1" applyFont="1" applyFill="1" applyBorder="1" applyProtection="1">
      <protection locked="0"/>
    </xf>
    <xf numFmtId="0" fontId="49" fillId="0" borderId="19" xfId="0" applyFont="1" applyFill="1" applyBorder="1" applyAlignment="1">
      <alignment wrapText="1"/>
    </xf>
    <xf numFmtId="0" fontId="48" fillId="0" borderId="35" xfId="0" applyFont="1" applyFill="1" applyBorder="1" applyAlignment="1"/>
    <xf numFmtId="0" fontId="48" fillId="0" borderId="31" xfId="0" applyFont="1" applyFill="1" applyBorder="1" applyAlignment="1"/>
    <xf numFmtId="0" fontId="46" fillId="38" borderId="0" xfId="0" applyFont="1" applyFill="1" applyBorder="1" applyAlignment="1">
      <alignment horizontal="left" vertical="top" wrapText="1"/>
    </xf>
    <xf numFmtId="0" fontId="47" fillId="38" borderId="0" xfId="0" applyFont="1" applyFill="1" applyBorder="1" applyAlignment="1">
      <alignment horizontal="left" vertical="top" wrapText="1"/>
    </xf>
    <xf numFmtId="0" fontId="50" fillId="36" borderId="0" xfId="0" applyFont="1" applyFill="1" applyAlignment="1">
      <alignment horizontal="center" vertical="center" wrapText="1"/>
    </xf>
    <xf numFmtId="0" fontId="46"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52" fillId="35" borderId="19" xfId="0" applyFont="1" applyFill="1" applyBorder="1" applyAlignment="1">
      <alignment horizontal="left" wrapText="1"/>
    </xf>
    <xf numFmtId="0" fontId="49" fillId="35" borderId="35" xfId="0" applyFont="1" applyFill="1" applyBorder="1" applyAlignment="1">
      <alignment horizontal="left" wrapText="1"/>
    </xf>
    <xf numFmtId="0" fontId="49" fillId="35" borderId="31" xfId="0" applyFont="1" applyFill="1" applyBorder="1" applyAlignment="1">
      <alignment horizontal="left" wrapText="1"/>
    </xf>
    <xf numFmtId="0" fontId="49" fillId="39" borderId="19" xfId="0" applyFont="1" applyFill="1" applyBorder="1" applyAlignment="1">
      <alignment horizontal="left" wrapText="1"/>
    </xf>
    <xf numFmtId="0" fontId="49" fillId="39" borderId="35" xfId="0" applyFont="1" applyFill="1" applyBorder="1" applyAlignment="1">
      <alignment horizontal="left" wrapText="1"/>
    </xf>
    <xf numFmtId="0" fontId="49" fillId="39" borderId="31" xfId="0" applyFont="1" applyFill="1" applyBorder="1" applyAlignment="1">
      <alignment horizontal="left" wrapText="1"/>
    </xf>
    <xf numFmtId="0" fontId="49" fillId="39" borderId="0" xfId="0" applyFont="1" applyFill="1" applyAlignment="1">
      <alignment horizontal="left" wrapText="1"/>
    </xf>
    <xf numFmtId="0" fontId="45" fillId="35" borderId="0" xfId="0" applyFont="1" applyFill="1" applyAlignment="1">
      <alignment horizontal="center" vertical="center"/>
    </xf>
    <xf numFmtId="0" fontId="45" fillId="35" borderId="0" xfId="0" applyFont="1" applyFill="1" applyBorder="1" applyAlignment="1">
      <alignment horizontal="center" vertical="center"/>
    </xf>
    <xf numFmtId="0" fontId="48" fillId="37" borderId="0" xfId="0" applyFont="1" applyFill="1" applyBorder="1" applyAlignment="1">
      <alignment horizontal="left" vertical="top" wrapText="1"/>
    </xf>
    <xf numFmtId="0" fontId="45" fillId="37" borderId="0" xfId="0" applyFont="1" applyFill="1" applyBorder="1" applyAlignment="1">
      <alignment horizontal="left" vertical="top" wrapText="1"/>
    </xf>
    <xf numFmtId="0" fontId="49" fillId="37" borderId="0" xfId="0" applyFont="1" applyFill="1" applyBorder="1" applyAlignment="1">
      <alignment horizontal="center" vertical="center"/>
    </xf>
    <xf numFmtId="0" fontId="45" fillId="37" borderId="0" xfId="0" applyFont="1" applyFill="1" applyBorder="1" applyAlignment="1">
      <alignment horizontal="center" vertical="center"/>
    </xf>
    <xf numFmtId="0" fontId="49" fillId="0" borderId="113" xfId="0" applyFont="1" applyFill="1" applyBorder="1" applyAlignment="1">
      <alignment horizontal="left" wrapText="1"/>
    </xf>
    <xf numFmtId="0" fontId="49" fillId="0" borderId="114" xfId="0" applyFont="1" applyFill="1" applyBorder="1" applyAlignment="1">
      <alignment horizontal="left" wrapText="1"/>
    </xf>
    <xf numFmtId="0" fontId="49" fillId="0" borderId="31" xfId="0" applyFont="1" applyFill="1" applyBorder="1" applyAlignment="1">
      <alignment horizontal="left" wrapText="1"/>
    </xf>
    <xf numFmtId="0" fontId="49" fillId="0" borderId="19" xfId="0" applyFont="1" applyFill="1" applyBorder="1" applyAlignment="1">
      <alignment horizontal="left" wrapText="1"/>
    </xf>
    <xf numFmtId="0" fontId="49" fillId="0" borderId="35" xfId="0" applyFont="1" applyFill="1" applyBorder="1" applyAlignment="1">
      <alignment horizontal="left" wrapText="1"/>
    </xf>
    <xf numFmtId="0" fontId="45" fillId="35" borderId="0" xfId="0" applyFont="1" applyFill="1" applyAlignment="1" applyProtection="1">
      <alignment horizontal="center" vertical="center"/>
    </xf>
    <xf numFmtId="0" fontId="4" fillId="0" borderId="19" xfId="0" applyFont="1" applyBorder="1" applyAlignment="1" applyProtection="1">
      <alignment horizontal="right"/>
    </xf>
    <xf numFmtId="0" fontId="0" fillId="0" borderId="35" xfId="0" applyBorder="1" applyAlignment="1" applyProtection="1">
      <alignment horizontal="right"/>
    </xf>
    <xf numFmtId="0" fontId="36" fillId="35" borderId="40" xfId="0" applyFont="1" applyFill="1" applyBorder="1" applyAlignment="1" applyProtection="1"/>
    <xf numFmtId="0" fontId="0" fillId="35" borderId="0" xfId="0" applyFont="1" applyFill="1" applyBorder="1" applyAlignment="1" applyProtection="1"/>
    <xf numFmtId="0" fontId="0" fillId="35" borderId="44" xfId="0" applyFont="1" applyFill="1" applyBorder="1" applyAlignment="1" applyProtection="1"/>
    <xf numFmtId="0" fontId="0" fillId="35" borderId="0" xfId="0" applyFill="1" applyBorder="1" applyAlignment="1" applyProtection="1"/>
    <xf numFmtId="0" fontId="0" fillId="35" borderId="44" xfId="0" applyFill="1" applyBorder="1" applyAlignment="1" applyProtection="1"/>
    <xf numFmtId="0" fontId="54"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3" fillId="3" borderId="0" xfId="0" applyFont="1" applyFill="1" applyAlignment="1" applyProtection="1">
      <alignment horizontal="center"/>
    </xf>
    <xf numFmtId="0" fontId="0" fillId="0" borderId="0" xfId="0" applyFont="1" applyAlignment="1" applyProtection="1">
      <alignment horizontal="center"/>
    </xf>
    <xf numFmtId="0" fontId="3" fillId="0" borderId="0" xfId="0" applyFont="1" applyAlignment="1" applyProtection="1">
      <alignment horizontal="center"/>
    </xf>
    <xf numFmtId="0" fontId="36" fillId="35" borderId="46" xfId="0" applyFont="1" applyFill="1" applyBorder="1" applyAlignment="1" applyProtection="1"/>
    <xf numFmtId="0" fontId="0" fillId="35" borderId="47" xfId="0" applyFont="1" applyFill="1" applyBorder="1" applyAlignment="1" applyProtection="1"/>
    <xf numFmtId="0" fontId="0" fillId="35" borderId="48" xfId="0" applyFont="1" applyFill="1" applyBorder="1" applyAlignment="1" applyProtection="1"/>
    <xf numFmtId="0" fontId="0" fillId="35" borderId="115" xfId="0" applyFont="1" applyFill="1" applyBorder="1" applyAlignment="1" applyProtection="1"/>
    <xf numFmtId="0" fontId="55" fillId="35" borderId="0" xfId="0" applyFont="1" applyFill="1" applyBorder="1" applyAlignment="1">
      <alignment horizontal="center" wrapText="1"/>
    </xf>
    <xf numFmtId="0" fontId="55" fillId="35" borderId="0" xfId="0" applyFont="1" applyFill="1" applyAlignment="1">
      <alignment horizontal="center" wrapText="1"/>
    </xf>
    <xf numFmtId="0" fontId="37" fillId="35" borderId="0" xfId="0" applyFont="1" applyFill="1" applyAlignment="1">
      <alignment horizontal="center" wrapText="1"/>
    </xf>
    <xf numFmtId="0" fontId="55" fillId="35" borderId="76" xfId="0" applyFont="1" applyFill="1" applyBorder="1" applyAlignment="1">
      <alignment horizontal="center"/>
    </xf>
    <xf numFmtId="0" fontId="55" fillId="35" borderId="77" xfId="0" applyFont="1" applyFill="1" applyBorder="1" applyAlignment="1">
      <alignment horizontal="center"/>
    </xf>
    <xf numFmtId="0" fontId="55" fillId="35" borderId="78" xfId="0" applyFont="1" applyFill="1" applyBorder="1" applyAlignment="1">
      <alignment horizontal="center"/>
    </xf>
    <xf numFmtId="0" fontId="55" fillId="3" borderId="0" xfId="0" applyFont="1" applyFill="1" applyBorder="1" applyAlignment="1">
      <alignment horizontal="center"/>
    </xf>
    <xf numFmtId="0" fontId="55" fillId="35" borderId="69" xfId="0" applyFont="1" applyFill="1" applyBorder="1" applyAlignment="1">
      <alignment horizontal="center"/>
    </xf>
    <xf numFmtId="0" fontId="37" fillId="35" borderId="73" xfId="0" applyFont="1" applyFill="1" applyBorder="1" applyAlignment="1">
      <alignment horizontal="center"/>
    </xf>
    <xf numFmtId="0" fontId="31" fillId="7" borderId="71" xfId="0" applyFont="1" applyFill="1" applyBorder="1" applyAlignment="1">
      <alignment horizontal="center"/>
    </xf>
    <xf numFmtId="0" fontId="31" fillId="7" borderId="72" xfId="0" applyFont="1" applyFill="1" applyBorder="1" applyAlignment="1">
      <alignment horizontal="center"/>
    </xf>
    <xf numFmtId="0" fontId="56" fillId="35" borderId="77" xfId="0" applyFont="1" applyFill="1" applyBorder="1" applyAlignment="1">
      <alignment horizontal="center"/>
    </xf>
    <xf numFmtId="0" fontId="56" fillId="35" borderId="78" xfId="0" applyFont="1" applyFill="1" applyBorder="1" applyAlignment="1">
      <alignment horizontal="center"/>
    </xf>
    <xf numFmtId="0" fontId="55" fillId="35" borderId="82" xfId="0" applyFont="1" applyFill="1" applyBorder="1" applyAlignment="1">
      <alignment horizontal="center"/>
    </xf>
    <xf numFmtId="0" fontId="55" fillId="35" borderId="83" xfId="0" applyFont="1" applyFill="1" applyBorder="1" applyAlignment="1">
      <alignment horizontal="center"/>
    </xf>
    <xf numFmtId="0" fontId="55" fillId="35" borderId="84" xfId="0" applyFont="1" applyFill="1" applyBorder="1" applyAlignment="1">
      <alignment horizontal="center"/>
    </xf>
    <xf numFmtId="166" fontId="0" fillId="0" borderId="0" xfId="2" applyNumberFormat="1" applyFont="1" applyBorder="1"/>
    <xf numFmtId="164" fontId="0" fillId="0" borderId="0" xfId="2" applyNumberFormat="1" applyFont="1" applyBorder="1"/>
    <xf numFmtId="164" fontId="0" fillId="0" borderId="0" xfId="0" applyNumberFormat="1" applyBorder="1"/>
    <xf numFmtId="0" fontId="0" fillId="0" borderId="0" xfId="0" applyBorder="1"/>
    <xf numFmtId="0" fontId="0" fillId="0" borderId="4" xfId="0" applyBorder="1"/>
    <xf numFmtId="44" fontId="0" fillId="0" borderId="0" xfId="2" applyFont="1" applyBorder="1"/>
    <xf numFmtId="44" fontId="0" fillId="0" borderId="4" xfId="2" applyFont="1" applyBorder="1"/>
    <xf numFmtId="164" fontId="0" fillId="0" borderId="4" xfId="0" applyNumberFormat="1" applyBorder="1"/>
    <xf numFmtId="44" fontId="0" fillId="0" borderId="0" xfId="0" applyNumberFormat="1" applyBorder="1"/>
    <xf numFmtId="44" fontId="0" fillId="0" borderId="4" xfId="0" applyNumberFormat="1" applyBorder="1"/>
    <xf numFmtId="0" fontId="55" fillId="35" borderId="70" xfId="0" applyFont="1" applyFill="1" applyBorder="1" applyAlignment="1">
      <alignment horizontal="center"/>
    </xf>
    <xf numFmtId="0" fontId="55" fillId="35" borderId="73" xfId="0" applyFont="1" applyFill="1" applyBorder="1" applyAlignment="1">
      <alignment horizontal="center"/>
    </xf>
    <xf numFmtId="0" fontId="5" fillId="10" borderId="67" xfId="0" applyFont="1" applyFill="1" applyBorder="1" applyAlignment="1">
      <alignment horizontal="center" wrapText="1"/>
    </xf>
    <xf numFmtId="0" fontId="5" fillId="10" borderId="60" xfId="0" applyFont="1" applyFill="1" applyBorder="1" applyAlignment="1">
      <alignment horizontal="center" wrapText="1"/>
    </xf>
    <xf numFmtId="164" fontId="0" fillId="0" borderId="4" xfId="2" applyNumberFormat="1" applyFont="1" applyBorder="1"/>
    <xf numFmtId="0" fontId="55" fillId="35" borderId="0" xfId="0" applyFont="1" applyFill="1" applyBorder="1" applyAlignment="1">
      <alignment horizontal="center" vertical="center"/>
    </xf>
    <xf numFmtId="165" fontId="0" fillId="0" borderId="0" xfId="1" applyNumberFormat="1" applyFont="1" applyBorder="1"/>
    <xf numFmtId="165" fontId="0" fillId="0" borderId="0" xfId="0" applyNumberFormat="1" applyBorder="1"/>
    <xf numFmtId="43" fontId="0" fillId="0" borderId="0" xfId="0" applyNumberFormat="1" applyBorder="1"/>
    <xf numFmtId="0" fontId="0" fillId="0" borderId="0"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31" fillId="7" borderId="0" xfId="0" applyFont="1" applyFill="1" applyBorder="1" applyAlignment="1">
      <alignment horizontal="center"/>
    </xf>
    <xf numFmtId="0" fontId="31" fillId="7" borderId="4" xfId="0" applyFont="1" applyFill="1" applyBorder="1" applyAlignment="1">
      <alignment horizontal="center"/>
    </xf>
    <xf numFmtId="0" fontId="31" fillId="7" borderId="8" xfId="0" applyFont="1" applyFill="1" applyBorder="1"/>
    <xf numFmtId="0" fontId="31" fillId="7" borderId="0" xfId="0" applyFont="1" applyFill="1" applyBorder="1"/>
    <xf numFmtId="0" fontId="31" fillId="7" borderId="4" xfId="0" applyFont="1" applyFill="1" applyBorder="1"/>
    <xf numFmtId="0" fontId="3" fillId="10" borderId="63" xfId="0" applyFont="1" applyFill="1" applyBorder="1" applyAlignment="1">
      <alignment horizontal="center" vertical="center" wrapText="1"/>
    </xf>
    <xf numFmtId="0" fontId="3" fillId="10" borderId="59" xfId="0" applyFont="1" applyFill="1" applyBorder="1" applyAlignment="1">
      <alignment horizontal="center" vertical="center" wrapText="1"/>
    </xf>
    <xf numFmtId="0" fontId="31" fillId="7" borderId="68" xfId="0" applyFont="1" applyFill="1" applyBorder="1" applyAlignment="1">
      <alignment horizontal="center"/>
    </xf>
    <xf numFmtId="0" fontId="31" fillId="7" borderId="65" xfId="0" applyFont="1" applyFill="1" applyBorder="1" applyAlignment="1">
      <alignment horizontal="center"/>
    </xf>
    <xf numFmtId="0" fontId="31" fillId="7" borderId="66" xfId="0" applyFont="1" applyFill="1" applyBorder="1" applyAlignment="1">
      <alignment horizontal="center"/>
    </xf>
    <xf numFmtId="171" fontId="31" fillId="20" borderId="64" xfId="0" applyNumberFormat="1" applyFont="1" applyFill="1" applyBorder="1" applyAlignment="1">
      <alignment horizontal="center" wrapText="1"/>
    </xf>
    <xf numFmtId="171" fontId="31" fillId="20" borderId="65" xfId="0" applyNumberFormat="1" applyFont="1" applyFill="1" applyBorder="1" applyAlignment="1">
      <alignment horizontal="center" wrapText="1"/>
    </xf>
    <xf numFmtId="171" fontId="31" fillId="20" borderId="66" xfId="0" applyNumberFormat="1" applyFont="1" applyFill="1" applyBorder="1" applyAlignment="1">
      <alignment horizontal="center" wrapText="1"/>
    </xf>
    <xf numFmtId="0" fontId="31" fillId="7" borderId="110" xfId="0" applyFont="1" applyFill="1" applyBorder="1" applyAlignment="1">
      <alignment horizontal="center"/>
    </xf>
    <xf numFmtId="0" fontId="31" fillId="7" borderId="111" xfId="0" applyFont="1" applyFill="1" applyBorder="1" applyAlignment="1">
      <alignment horizontal="center"/>
    </xf>
    <xf numFmtId="0" fontId="3" fillId="4" borderId="112" xfId="0" applyFont="1" applyFill="1" applyBorder="1" applyAlignment="1">
      <alignment horizontal="center" wrapText="1"/>
    </xf>
    <xf numFmtId="0" fontId="3" fillId="4" borderId="59" xfId="0" applyFont="1" applyFill="1" applyBorder="1" applyAlignment="1">
      <alignment horizontal="center" wrapText="1"/>
    </xf>
    <xf numFmtId="0" fontId="3" fillId="4" borderId="86" xfId="0" applyFont="1" applyFill="1" applyBorder="1" applyAlignment="1">
      <alignment horizontal="center" wrapText="1"/>
    </xf>
    <xf numFmtId="0" fontId="3" fillId="4" borderId="60" xfId="0" applyFont="1" applyFill="1" applyBorder="1" applyAlignment="1">
      <alignment horizontal="center" wrapText="1"/>
    </xf>
    <xf numFmtId="0" fontId="31" fillId="7" borderId="94" xfId="0" applyFont="1" applyFill="1" applyBorder="1" applyAlignment="1">
      <alignment horizontal="center"/>
    </xf>
    <xf numFmtId="0" fontId="5" fillId="10" borderId="96" xfId="0" applyFont="1" applyFill="1" applyBorder="1" applyAlignment="1">
      <alignment horizontal="center" wrapText="1"/>
    </xf>
    <xf numFmtId="0" fontId="5" fillId="26" borderId="90" xfId="0" applyFont="1" applyFill="1" applyBorder="1" applyAlignment="1">
      <alignment horizontal="center" wrapText="1"/>
    </xf>
    <xf numFmtId="0" fontId="5" fillId="26" borderId="97" xfId="0" applyFont="1" applyFill="1" applyBorder="1" applyAlignment="1">
      <alignment horizontal="center" wrapText="1"/>
    </xf>
    <xf numFmtId="0" fontId="5" fillId="26" borderId="95" xfId="0" applyFont="1" applyFill="1" applyBorder="1" applyAlignment="1">
      <alignment horizontal="center" wrapText="1"/>
    </xf>
    <xf numFmtId="0" fontId="5" fillId="26" borderId="17" xfId="0" applyFont="1" applyFill="1" applyBorder="1" applyAlignment="1">
      <alignment horizontal="center" wrapText="1"/>
    </xf>
    <xf numFmtId="0" fontId="3" fillId="4" borderId="95" xfId="0" applyFont="1" applyFill="1" applyBorder="1" applyAlignment="1">
      <alignment horizontal="center" wrapText="1"/>
    </xf>
    <xf numFmtId="0" fontId="3" fillId="4" borderId="17" xfId="0" applyFont="1" applyFill="1" applyBorder="1" applyAlignment="1">
      <alignment horizontal="center" wrapText="1"/>
    </xf>
    <xf numFmtId="0" fontId="3" fillId="4" borderId="108" xfId="0" applyFont="1" applyFill="1" applyBorder="1" applyAlignment="1">
      <alignment horizontal="center" wrapText="1"/>
    </xf>
    <xf numFmtId="0" fontId="3" fillId="4" borderId="109" xfId="0" applyFont="1" applyFill="1" applyBorder="1" applyAlignment="1">
      <alignment horizontal="center" wrapText="1"/>
    </xf>
    <xf numFmtId="0" fontId="53" fillId="35" borderId="0" xfId="0" applyFont="1" applyFill="1" applyAlignment="1">
      <alignment horizontal="center" vertical="center"/>
    </xf>
    <xf numFmtId="0" fontId="0" fillId="8" borderId="2" xfId="0" applyFill="1" applyBorder="1" applyAlignment="1">
      <alignment horizontal="right"/>
    </xf>
    <xf numFmtId="0" fontId="0" fillId="10" borderId="0" xfId="0" applyFill="1" applyBorder="1" applyAlignment="1">
      <alignment horizontal="center"/>
    </xf>
    <xf numFmtId="0" fontId="3" fillId="6" borderId="8" xfId="0" applyFont="1" applyFill="1" applyBorder="1" applyAlignment="1">
      <alignment horizontal="center" wrapText="1"/>
    </xf>
    <xf numFmtId="0" fontId="3" fillId="6" borderId="0" xfId="0" applyFont="1" applyFill="1" applyBorder="1" applyAlignment="1">
      <alignment horizontal="center" wrapText="1"/>
    </xf>
    <xf numFmtId="0" fontId="3" fillId="6" borderId="9" xfId="0" applyFont="1" applyFill="1" applyBorder="1" applyAlignment="1">
      <alignment horizontal="center" wrapText="1"/>
    </xf>
    <xf numFmtId="0" fontId="3" fillId="6" borderId="5" xfId="0" applyFont="1" applyFill="1" applyBorder="1" applyAlignment="1">
      <alignment horizontal="center" wrapText="1"/>
    </xf>
    <xf numFmtId="0" fontId="0" fillId="8" borderId="3" xfId="0" applyFill="1" applyBorder="1" applyAlignment="1">
      <alignment horizontal="right"/>
    </xf>
    <xf numFmtId="0" fontId="0" fillId="6" borderId="3" xfId="0" applyFill="1" applyBorder="1" applyAlignment="1">
      <alignment horizontal="center" wrapText="1"/>
    </xf>
    <xf numFmtId="0" fontId="0" fillId="6" borderId="0" xfId="0" applyFill="1" applyBorder="1" applyAlignment="1">
      <alignment horizontal="center" wrapText="1"/>
    </xf>
    <xf numFmtId="0" fontId="3" fillId="16" borderId="1" xfId="0" applyFont="1" applyFill="1" applyBorder="1" applyAlignment="1">
      <alignment horizontal="center"/>
    </xf>
    <xf numFmtId="0" fontId="3" fillId="16" borderId="2" xfId="0" applyFont="1" applyFill="1" applyBorder="1" applyAlignment="1">
      <alignment horizontal="center"/>
    </xf>
    <xf numFmtId="0" fontId="3" fillId="16" borderId="3" xfId="0" applyFont="1" applyFill="1" applyBorder="1" applyAlignment="1">
      <alignment horizontal="center"/>
    </xf>
    <xf numFmtId="0" fontId="3" fillId="15" borderId="1" xfId="0" applyFont="1" applyFill="1" applyBorder="1" applyAlignment="1">
      <alignment horizontal="center"/>
    </xf>
    <xf numFmtId="0" fontId="3" fillId="15" borderId="2" xfId="0" applyFont="1" applyFill="1" applyBorder="1" applyAlignment="1">
      <alignment horizontal="center"/>
    </xf>
    <xf numFmtId="0" fontId="3" fillId="15" borderId="3" xfId="0" applyFont="1" applyFill="1" applyBorder="1" applyAlignment="1">
      <alignment horizontal="center"/>
    </xf>
    <xf numFmtId="0" fontId="16" fillId="15" borderId="1" xfId="0" applyFont="1" applyFill="1" applyBorder="1" applyAlignment="1">
      <alignment horizontal="center"/>
    </xf>
    <xf numFmtId="0" fontId="16" fillId="15" borderId="2" xfId="0" applyFont="1" applyFill="1" applyBorder="1" applyAlignment="1">
      <alignment horizontal="center"/>
    </xf>
    <xf numFmtId="0" fontId="16" fillId="15" borderId="3" xfId="0" applyFont="1" applyFill="1" applyBorder="1" applyAlignment="1">
      <alignment horizontal="center"/>
    </xf>
    <xf numFmtId="0" fontId="16" fillId="16" borderId="1" xfId="0" applyFont="1" applyFill="1" applyBorder="1" applyAlignment="1">
      <alignment horizontal="center"/>
    </xf>
    <xf numFmtId="0" fontId="16" fillId="16" borderId="2" xfId="0" applyFont="1" applyFill="1" applyBorder="1" applyAlignment="1">
      <alignment horizontal="center"/>
    </xf>
    <xf numFmtId="0" fontId="16" fillId="16" borderId="3" xfId="0" applyFont="1" applyFill="1" applyBorder="1" applyAlignment="1">
      <alignment horizontal="center"/>
    </xf>
    <xf numFmtId="0" fontId="19" fillId="16" borderId="1" xfId="0" applyFont="1" applyFill="1" applyBorder="1" applyAlignment="1">
      <alignment horizontal="center"/>
    </xf>
    <xf numFmtId="0" fontId="19" fillId="16" borderId="2" xfId="0" applyFont="1" applyFill="1" applyBorder="1" applyAlignment="1">
      <alignment horizontal="center"/>
    </xf>
    <xf numFmtId="0" fontId="19" fillId="16" borderId="3" xfId="0" applyFont="1" applyFill="1" applyBorder="1" applyAlignment="1">
      <alignment horizontal="center"/>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7" fillId="16" borderId="3" xfId="0" applyFont="1" applyFill="1" applyBorder="1" applyAlignment="1">
      <alignment horizontal="center"/>
    </xf>
    <xf numFmtId="0" fontId="3" fillId="16" borderId="13" xfId="1" applyNumberFormat="1" applyFont="1" applyFill="1" applyBorder="1" applyAlignment="1">
      <alignment horizontal="center"/>
    </xf>
    <xf numFmtId="0" fontId="3" fillId="16" borderId="14" xfId="1" applyNumberFormat="1" applyFont="1" applyFill="1" applyBorder="1" applyAlignment="1">
      <alignment horizontal="center"/>
    </xf>
    <xf numFmtId="0" fontId="3" fillId="16" borderId="15" xfId="1" applyNumberFormat="1" applyFont="1" applyFill="1" applyBorder="1" applyAlignment="1">
      <alignment horizontal="center"/>
    </xf>
    <xf numFmtId="0" fontId="0" fillId="0" borderId="0" xfId="0" applyAlignment="1">
      <alignment horizontal="center" wrapText="1"/>
    </xf>
    <xf numFmtId="8" fontId="0" fillId="0" borderId="0" xfId="0" applyNumberFormat="1" applyAlignment="1">
      <alignment horizontal="center" wrapText="1"/>
    </xf>
    <xf numFmtId="0" fontId="23" fillId="29" borderId="20" xfId="0" applyFont="1" applyFill="1" applyBorder="1" applyAlignment="1">
      <alignment horizontal="center" vertical="center" wrapText="1"/>
    </xf>
    <xf numFmtId="0" fontId="24" fillId="3" borderId="0" xfId="0" applyFont="1" applyFill="1" applyAlignment="1">
      <alignment horizontal="center"/>
    </xf>
    <xf numFmtId="0" fontId="23" fillId="16" borderId="0" xfId="0" applyFont="1" applyFill="1" applyAlignment="1">
      <alignment horizontal="center" vertical="center"/>
    </xf>
    <xf numFmtId="0" fontId="23" fillId="16" borderId="0" xfId="1" applyNumberFormat="1" applyFont="1" applyFill="1" applyAlignment="1">
      <alignment horizontal="center" vertical="center"/>
    </xf>
    <xf numFmtId="0" fontId="23" fillId="16" borderId="0" xfId="0" applyFont="1" applyFill="1" applyAlignment="1">
      <alignment horizontal="center" vertical="center" wrapText="1"/>
    </xf>
    <xf numFmtId="0" fontId="23" fillId="22" borderId="20"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3" borderId="0" xfId="0" applyFont="1" applyFill="1" applyAlignment="1">
      <alignment horizontal="center" vertical="center" wrapText="1"/>
    </xf>
    <xf numFmtId="0" fontId="23" fillId="3" borderId="29" xfId="0" applyFont="1" applyFill="1" applyBorder="1" applyAlignment="1">
      <alignment horizontal="center" vertical="center" wrapText="1"/>
    </xf>
    <xf numFmtId="0" fontId="23" fillId="3" borderId="0" xfId="0" applyFont="1" applyFill="1" applyAlignment="1">
      <alignment horizontal="left"/>
    </xf>
    <xf numFmtId="0" fontId="23" fillId="3" borderId="28" xfId="0" applyFont="1" applyFill="1" applyBorder="1" applyAlignment="1">
      <alignment horizontal="left"/>
    </xf>
    <xf numFmtId="0" fontId="23" fillId="3" borderId="19" xfId="0" applyFont="1" applyFill="1" applyBorder="1" applyAlignment="1">
      <alignment horizontal="left" vertical="top" wrapText="1"/>
    </xf>
    <xf numFmtId="0" fontId="23" fillId="3" borderId="35" xfId="0" applyFont="1" applyFill="1" applyBorder="1" applyAlignment="1">
      <alignment horizontal="left" vertical="top" wrapText="1"/>
    </xf>
    <xf numFmtId="0" fontId="23" fillId="3" borderId="31" xfId="0" applyFont="1" applyFill="1" applyBorder="1" applyAlignment="1">
      <alignment horizontal="left" vertical="top" wrapText="1"/>
    </xf>
    <xf numFmtId="0" fontId="15" fillId="3" borderId="34" xfId="6" applyFill="1" applyBorder="1" applyAlignment="1">
      <alignment horizontal="left"/>
    </xf>
    <xf numFmtId="0" fontId="15" fillId="3" borderId="29" xfId="6" applyFill="1" applyBorder="1" applyAlignment="1">
      <alignment horizontal="left"/>
    </xf>
    <xf numFmtId="0" fontId="15" fillId="3" borderId="30" xfId="6" applyFill="1" applyBorder="1" applyAlignment="1">
      <alignment horizontal="left"/>
    </xf>
    <xf numFmtId="0" fontId="23" fillId="27" borderId="29" xfId="0" applyFont="1" applyFill="1" applyBorder="1" applyAlignment="1">
      <alignment horizontal="left"/>
    </xf>
    <xf numFmtId="0" fontId="23" fillId="27" borderId="30" xfId="0" applyFont="1" applyFill="1" applyBorder="1" applyAlignment="1">
      <alignment horizontal="left"/>
    </xf>
    <xf numFmtId="0" fontId="23" fillId="4" borderId="0" xfId="0" applyFont="1" applyFill="1" applyAlignment="1">
      <alignment horizontal="left"/>
    </xf>
    <xf numFmtId="0" fontId="23" fillId="4" borderId="28" xfId="0" applyFont="1" applyFill="1" applyBorder="1" applyAlignment="1">
      <alignment horizontal="left"/>
    </xf>
    <xf numFmtId="0" fontId="23" fillId="24" borderId="0" xfId="0" applyFont="1" applyFill="1" applyAlignment="1">
      <alignment horizontal="left"/>
    </xf>
    <xf numFmtId="0" fontId="23" fillId="24" borderId="28" xfId="0" applyFont="1" applyFill="1" applyBorder="1" applyAlignment="1">
      <alignment horizontal="left"/>
    </xf>
    <xf numFmtId="0" fontId="23" fillId="25" borderId="0" xfId="0" applyFont="1" applyFill="1" applyAlignment="1">
      <alignment horizontal="left"/>
    </xf>
    <xf numFmtId="0" fontId="23" fillId="25" borderId="28" xfId="0" applyFont="1" applyFill="1" applyBorder="1" applyAlignment="1">
      <alignment horizontal="left"/>
    </xf>
    <xf numFmtId="0" fontId="23" fillId="26" borderId="0" xfId="0" applyFont="1" applyFill="1" applyAlignment="1">
      <alignment horizontal="left"/>
    </xf>
    <xf numFmtId="0" fontId="23" fillId="26" borderId="28" xfId="0" applyFont="1" applyFill="1" applyBorder="1" applyAlignment="1">
      <alignment horizontal="left"/>
    </xf>
  </cellXfs>
  <cellStyles count="8">
    <cellStyle name="Body: normal cell" xfId="4" xr:uid="{7C7739B3-404F-4019-A0C4-34AA763BDB7A}"/>
    <cellStyle name="Comma" xfId="1" builtinId="3"/>
    <cellStyle name="Currency" xfId="2" builtinId="4"/>
    <cellStyle name="Hyperlink" xfId="5" builtinId="8"/>
    <cellStyle name="Hyperlink 2" xfId="6" xr:uid="{54FDE44C-1337-4B5C-BBBD-F01E6F60D5DF}"/>
    <cellStyle name="Normal" xfId="0" builtinId="0"/>
    <cellStyle name="Parent row" xfId="7" xr:uid="{56226A93-A744-4AFF-A608-7768A7F7B6A7}"/>
    <cellStyle name="Percent" xfId="3" builtinId="5"/>
  </cellStyles>
  <dxfs count="1">
    <dxf>
      <fill>
        <patternFill>
          <bgColor theme="9" tint="0.39994506668294322"/>
        </patternFill>
      </fill>
    </dxf>
  </dxfs>
  <tableStyles count="0" defaultTableStyle="TableStyleMedium2" defaultPivotStyle="PivotStyleLight16"/>
  <colors>
    <mruColors>
      <color rgb="FF0E675A"/>
      <color rgb="FFDDD9C4"/>
      <color rgb="FFEEECE1"/>
      <color rgb="FFF0EEE4"/>
      <color rgb="FFFFEC29"/>
      <color rgb="FFF3E3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Fuel and Maintenance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Summary!$B$99</c:f>
              <c:strCache>
                <c:ptCount val="1"/>
                <c:pt idx="0">
                  <c:v>Diesel (B5)</c:v>
                </c:pt>
              </c:strCache>
            </c:strRef>
          </c:tx>
          <c:spPr>
            <a:ln w="28575" cap="rnd">
              <a:solidFill>
                <a:schemeClr val="accent1"/>
              </a:solidFill>
              <a:round/>
            </a:ln>
            <a:effectLst/>
          </c:spPr>
          <c:marker>
            <c:symbol val="none"/>
          </c:marker>
          <c:cat>
            <c:strRef>
              <c:f>Summary!$A$100:$A$114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Summary!$B$100:$B$114</c:f>
              <c:numCache>
                <c:formatCode>_("$"* #,##0_);_("$"* \(#,##0\);_("$"* "-"??_);_(@_)</c:formatCode>
                <c:ptCount val="15"/>
                <c:pt idx="0">
                  <c:v>60924.108581795808</c:v>
                </c:pt>
                <c:pt idx="1">
                  <c:v>63223.427054183609</c:v>
                </c:pt>
                <c:pt idx="2">
                  <c:v>66804.598052115092</c:v>
                </c:pt>
                <c:pt idx="3">
                  <c:v>69235.209350100995</c:v>
                </c:pt>
                <c:pt idx="4">
                  <c:v>71580.968379367216</c:v>
                </c:pt>
                <c:pt idx="5">
                  <c:v>73995.577567223052</c:v>
                </c:pt>
                <c:pt idx="6">
                  <c:v>76471.850597818338</c:v>
                </c:pt>
                <c:pt idx="7">
                  <c:v>79051.455957345592</c:v>
                </c:pt>
                <c:pt idx="8">
                  <c:v>81456.582661628461</c:v>
                </c:pt>
                <c:pt idx="9">
                  <c:v>84821.923226885454</c:v>
                </c:pt>
                <c:pt idx="10">
                  <c:v>87389.220859019042</c:v>
                </c:pt>
                <c:pt idx="11">
                  <c:v>90072.684798490867</c:v>
                </c:pt>
                <c:pt idx="12">
                  <c:v>92495.035899937837</c:v>
                </c:pt>
                <c:pt idx="13">
                  <c:v>94879.711910533748</c:v>
                </c:pt>
                <c:pt idx="14">
                  <c:v>97359.631708638655</c:v>
                </c:pt>
              </c:numCache>
            </c:numRef>
          </c:val>
          <c:smooth val="0"/>
          <c:extLst>
            <c:ext xmlns:c16="http://schemas.microsoft.com/office/drawing/2014/chart" uri="{C3380CC4-5D6E-409C-BE32-E72D297353CC}">
              <c16:uniqueId val="{00000000-0393-4980-AA3C-E07AA1049FB0}"/>
            </c:ext>
          </c:extLst>
        </c:ser>
        <c:ser>
          <c:idx val="1"/>
          <c:order val="1"/>
          <c:tx>
            <c:strRef>
              <c:f>Summary!$C$99</c:f>
              <c:strCache>
                <c:ptCount val="1"/>
                <c:pt idx="0">
                  <c:v>Battery Electric</c:v>
                </c:pt>
              </c:strCache>
            </c:strRef>
          </c:tx>
          <c:spPr>
            <a:ln w="28575" cap="rnd">
              <a:solidFill>
                <a:schemeClr val="accent2"/>
              </a:solidFill>
              <a:round/>
            </a:ln>
            <a:effectLst/>
          </c:spPr>
          <c:marker>
            <c:symbol val="none"/>
          </c:marker>
          <c:cat>
            <c:strRef>
              <c:f>Summary!$A$100:$A$114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Summary!$C$100:$C$114</c:f>
              <c:numCache>
                <c:formatCode>_("$"* #,##0_);_("$"* \(#,##0\);_("$"* "-"??_);_(@_)</c:formatCode>
                <c:ptCount val="15"/>
                <c:pt idx="0">
                  <c:v>19292.407703492048</c:v>
                </c:pt>
                <c:pt idx="1">
                  <c:v>20372.985988896333</c:v>
                </c:pt>
                <c:pt idx="2">
                  <c:v>21550.076154611535</c:v>
                </c:pt>
                <c:pt idx="3">
                  <c:v>22870.227630187506</c:v>
                </c:pt>
                <c:pt idx="4">
                  <c:v>24679.265540724267</c:v>
                </c:pt>
                <c:pt idx="5">
                  <c:v>26048.627446282404</c:v>
                </c:pt>
                <c:pt idx="6">
                  <c:v>27413.682222075164</c:v>
                </c:pt>
                <c:pt idx="7">
                  <c:v>28822.148403103143</c:v>
                </c:pt>
                <c:pt idx="8">
                  <c:v>30289.954313220962</c:v>
                </c:pt>
                <c:pt idx="9">
                  <c:v>31676.347260198552</c:v>
                </c:pt>
                <c:pt idx="10">
                  <c:v>33200.140340726444</c:v>
                </c:pt>
                <c:pt idx="11">
                  <c:v>34655.28246084696</c:v>
                </c:pt>
                <c:pt idx="12">
                  <c:v>36264.352291103292</c:v>
                </c:pt>
                <c:pt idx="13">
                  <c:v>37805.042283866402</c:v>
                </c:pt>
                <c:pt idx="14">
                  <c:v>39278.832859685193</c:v>
                </c:pt>
              </c:numCache>
            </c:numRef>
          </c:val>
          <c:smooth val="0"/>
          <c:extLst>
            <c:ext xmlns:c16="http://schemas.microsoft.com/office/drawing/2014/chart" uri="{C3380CC4-5D6E-409C-BE32-E72D297353CC}">
              <c16:uniqueId val="{00000001-0393-4980-AA3C-E07AA1049FB0}"/>
            </c:ext>
          </c:extLst>
        </c:ser>
        <c:dLbls>
          <c:showLegendKey val="0"/>
          <c:showVal val="0"/>
          <c:showCatName val="0"/>
          <c:showSerName val="0"/>
          <c:showPercent val="0"/>
          <c:showBubbleSize val="0"/>
        </c:dLbls>
        <c:smooth val="0"/>
        <c:axId val="890050608"/>
        <c:axId val="890357552"/>
      </c:lineChart>
      <c:catAx>
        <c:axId val="89005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57552"/>
        <c:crosses val="autoZero"/>
        <c:auto val="1"/>
        <c:lblAlgn val="ctr"/>
        <c:lblOffset val="100"/>
        <c:noMultiLvlLbl val="0"/>
      </c:catAx>
      <c:valAx>
        <c:axId val="8903575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05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15 Year Cumulative GHG Emissions Reductions (MT CO2e) by Fuel Type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dLbl>
              <c:idx val="8"/>
              <c:layout>
                <c:manualLayout>
                  <c:x val="0"/>
                  <c:y val="5.92009462942692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B-4ABC-AAB6-0B33FA8AEE8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Footprint'!$B$19:$B$27</c:f>
              <c:strCache>
                <c:ptCount val="9"/>
                <c:pt idx="0">
                  <c:v>Diesel B5 </c:v>
                </c:pt>
                <c:pt idx="1">
                  <c:v>B20</c:v>
                </c:pt>
                <c:pt idx="2">
                  <c:v>R20</c:v>
                </c:pt>
                <c:pt idx="3">
                  <c:v>R99</c:v>
                </c:pt>
                <c:pt idx="4">
                  <c:v>LPG</c:v>
                </c:pt>
                <c:pt idx="5">
                  <c:v>Battery Electric</c:v>
                </c:pt>
                <c:pt idx="6">
                  <c:v>CNG</c:v>
                </c:pt>
                <c:pt idx="7">
                  <c:v>RNG</c:v>
                </c:pt>
                <c:pt idx="8">
                  <c:v>Gasoline</c:v>
                </c:pt>
              </c:strCache>
            </c:strRef>
          </c:cat>
          <c:val>
            <c:numRef>
              <c:f>'Fleet Carbon Footprint'!$E$19:$E$27</c:f>
              <c:numCache>
                <c:formatCode>0</c:formatCode>
                <c:ptCount val="9"/>
                <c:pt idx="0" formatCode="General">
                  <c:v>0</c:v>
                </c:pt>
                <c:pt idx="1">
                  <c:v>208.03633438665611</c:v>
                </c:pt>
                <c:pt idx="2">
                  <c:v>247.23158579283768</c:v>
                </c:pt>
                <c:pt idx="3">
                  <c:v>1318.3172059502226</c:v>
                </c:pt>
                <c:pt idx="4">
                  <c:v>249.78220641843131</c:v>
                </c:pt>
                <c:pt idx="5">
                  <c:v>2153.6408715463972</c:v>
                </c:pt>
                <c:pt idx="6">
                  <c:v>171.22371478857508</c:v>
                </c:pt>
                <c:pt idx="7">
                  <c:v>1387.4917783573921</c:v>
                </c:pt>
                <c:pt idx="8">
                  <c:v>110.53979223631859</c:v>
                </c:pt>
              </c:numCache>
            </c:numRef>
          </c:val>
          <c:extLst>
            <c:ext xmlns:c16="http://schemas.microsoft.com/office/drawing/2014/chart" uri="{C3380CC4-5D6E-409C-BE32-E72D297353CC}">
              <c16:uniqueId val="{00000000-6499-4FB0-83D2-11F1F1EB95BB}"/>
            </c:ext>
          </c:extLst>
        </c:ser>
        <c:dLbls>
          <c:dLblPos val="inEnd"/>
          <c:showLegendKey val="0"/>
          <c:showVal val="1"/>
          <c:showCatName val="0"/>
          <c:showSerName val="0"/>
          <c:showPercent val="0"/>
          <c:showBubbleSize val="0"/>
        </c:dLbls>
        <c:gapWidth val="41"/>
        <c:axId val="775775695"/>
        <c:axId val="685196879"/>
      </c:barChart>
      <c:catAx>
        <c:axId val="77577569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85196879"/>
        <c:crosses val="autoZero"/>
        <c:auto val="1"/>
        <c:lblAlgn val="ctr"/>
        <c:lblOffset val="100"/>
        <c:noMultiLvlLbl val="0"/>
      </c:catAx>
      <c:valAx>
        <c:axId val="685196879"/>
        <c:scaling>
          <c:orientation val="minMax"/>
        </c:scaling>
        <c:delete val="1"/>
        <c:axPos val="l"/>
        <c:numFmt formatCode="General" sourceLinked="1"/>
        <c:majorTickMark val="none"/>
        <c:minorTickMark val="none"/>
        <c:tickLblPos val="nextTo"/>
        <c:crossAx val="775775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Annual GHG Emissions (MT CO2e) by Fuel Type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Footprint'!$B$5:$B$13</c:f>
              <c:strCache>
                <c:ptCount val="9"/>
                <c:pt idx="0">
                  <c:v>Diesel B5 </c:v>
                </c:pt>
                <c:pt idx="1">
                  <c:v>B20</c:v>
                </c:pt>
                <c:pt idx="2">
                  <c:v>R20</c:v>
                </c:pt>
                <c:pt idx="3">
                  <c:v>R99</c:v>
                </c:pt>
                <c:pt idx="4">
                  <c:v>LPG</c:v>
                </c:pt>
                <c:pt idx="5">
                  <c:v>Electric</c:v>
                </c:pt>
                <c:pt idx="6">
                  <c:v>CNG</c:v>
                </c:pt>
                <c:pt idx="7">
                  <c:v>RNG</c:v>
                </c:pt>
                <c:pt idx="8">
                  <c:v>Gasoline</c:v>
                </c:pt>
              </c:strCache>
            </c:strRef>
          </c:cat>
          <c:val>
            <c:numRef>
              <c:f>'Fleet Carbon Footprint'!$C$5:$C$13</c:f>
              <c:numCache>
                <c:formatCode>0</c:formatCode>
                <c:ptCount val="9"/>
                <c:pt idx="0">
                  <c:v>145.47468310371238</c:v>
                </c:pt>
                <c:pt idx="1">
                  <c:v>131.60559414460198</c:v>
                </c:pt>
                <c:pt idx="2">
                  <c:v>128.99257738418987</c:v>
                </c:pt>
                <c:pt idx="3">
                  <c:v>57.586869373697546</c:v>
                </c:pt>
                <c:pt idx="4">
                  <c:v>128.8225360091503</c:v>
                </c:pt>
                <c:pt idx="5">
                  <c:v>1.8986250006192509</c:v>
                </c:pt>
                <c:pt idx="6">
                  <c:v>134.05976878447404</c:v>
                </c:pt>
                <c:pt idx="7">
                  <c:v>52.975231213219573</c:v>
                </c:pt>
                <c:pt idx="8">
                  <c:v>138.10536362129113</c:v>
                </c:pt>
              </c:numCache>
            </c:numRef>
          </c:val>
          <c:extLst>
            <c:ext xmlns:c16="http://schemas.microsoft.com/office/drawing/2014/chart" uri="{C3380CC4-5D6E-409C-BE32-E72D297353CC}">
              <c16:uniqueId val="{00000000-9D0F-42DD-80E3-3C1EFC515C87}"/>
            </c:ext>
          </c:extLst>
        </c:ser>
        <c:dLbls>
          <c:dLblPos val="inEnd"/>
          <c:showLegendKey val="0"/>
          <c:showVal val="1"/>
          <c:showCatName val="0"/>
          <c:showSerName val="0"/>
          <c:showPercent val="0"/>
          <c:showBubbleSize val="0"/>
        </c:dLbls>
        <c:gapWidth val="41"/>
        <c:axId val="613334431"/>
        <c:axId val="419624863"/>
      </c:barChart>
      <c:catAx>
        <c:axId val="61333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419624863"/>
        <c:crosses val="autoZero"/>
        <c:auto val="1"/>
        <c:lblAlgn val="ctr"/>
        <c:lblOffset val="100"/>
        <c:noMultiLvlLbl val="0"/>
      </c:catAx>
      <c:valAx>
        <c:axId val="419624863"/>
        <c:scaling>
          <c:orientation val="minMax"/>
        </c:scaling>
        <c:delete val="1"/>
        <c:axPos val="l"/>
        <c:numFmt formatCode="0" sourceLinked="1"/>
        <c:majorTickMark val="none"/>
        <c:minorTickMark val="none"/>
        <c:tickLblPos val="nextTo"/>
        <c:crossAx val="61333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by Fuel Type and Major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'Bus 1 Calc'!$A$113</c:f>
              <c:strCache>
                <c:ptCount val="1"/>
                <c:pt idx="0">
                  <c:v>Fixed Costs (Bus) </c:v>
                </c:pt>
              </c:strCache>
            </c:strRef>
          </c:tx>
          <c:spPr>
            <a:solidFill>
              <a:schemeClr val="accent1"/>
            </a:solidFill>
            <a:ln>
              <a:noFill/>
            </a:ln>
            <a:effectLst/>
            <a:sp3d/>
          </c:spPr>
          <c:invertIfNegative val="0"/>
          <c:cat>
            <c:strRef>
              <c:extLst>
                <c:ext xmlns:c15="http://schemas.microsoft.com/office/drawing/2012/chart" uri="{02D57815-91ED-43cb-92C2-25804820EDAC}">
                  <c15:fullRef>
                    <c15:sqref>'Bus 1 Calc'!$B$112:$J$112</c15:sqref>
                  </c15:fullRef>
                </c:ext>
              </c:extLst>
              <c:f>('Bus 1 Calc'!$B$112,'Bus 1 Calc'!$F$112:$G$112,'Bus 1 Calc'!$I$112:$J$112)</c:f>
              <c:strCache>
                <c:ptCount val="5"/>
                <c:pt idx="0">
                  <c:v>Diesel B5</c:v>
                </c:pt>
                <c:pt idx="1">
                  <c:v>LPG-Propane</c:v>
                </c:pt>
                <c:pt idx="2">
                  <c:v>Electric</c:v>
                </c:pt>
                <c:pt idx="3">
                  <c:v>RNG</c:v>
                </c:pt>
                <c:pt idx="4">
                  <c:v>Gasoline</c:v>
                </c:pt>
              </c:strCache>
            </c:strRef>
          </c:cat>
          <c:val>
            <c:numRef>
              <c:extLst>
                <c:ext xmlns:c15="http://schemas.microsoft.com/office/drawing/2012/chart" uri="{02D57815-91ED-43cb-92C2-25804820EDAC}">
                  <c15:fullRef>
                    <c15:sqref>'Bus 1 Calc'!$B$113:$J$113</c15:sqref>
                  </c15:fullRef>
                </c:ext>
              </c:extLst>
              <c:f>('Bus 1 Calc'!$B$113,'Bus 1 Calc'!$F$113:$G$113,'Bus 1 Calc'!$I$113:$J$113)</c:f>
              <c:numCache>
                <c:formatCode>_("$"* #,##0_);_("$"* \(#,##0\);_("$"* "-"??_);_(@_)</c:formatCode>
                <c:ptCount val="5"/>
                <c:pt idx="0">
                  <c:v>456250</c:v>
                </c:pt>
                <c:pt idx="1">
                  <c:v>500500</c:v>
                </c:pt>
                <c:pt idx="2">
                  <c:v>1761250</c:v>
                </c:pt>
                <c:pt idx="3">
                  <c:v>850000</c:v>
                </c:pt>
                <c:pt idx="4">
                  <c:v>448750</c:v>
                </c:pt>
              </c:numCache>
            </c:numRef>
          </c:val>
          <c:extLst>
            <c:ext xmlns:c16="http://schemas.microsoft.com/office/drawing/2014/chart" uri="{C3380CC4-5D6E-409C-BE32-E72D297353CC}">
              <c16:uniqueId val="{00000000-4385-458D-82BD-80294DA858B5}"/>
            </c:ext>
          </c:extLst>
        </c:ser>
        <c:ser>
          <c:idx val="1"/>
          <c:order val="1"/>
          <c:tx>
            <c:strRef>
              <c:f>'Bus 1 Calc'!$A$115</c:f>
              <c:strCache>
                <c:ptCount val="1"/>
                <c:pt idx="0">
                  <c:v>Fuel Costs</c:v>
                </c:pt>
              </c:strCache>
            </c:strRef>
          </c:tx>
          <c:spPr>
            <a:solidFill>
              <a:schemeClr val="accent2"/>
            </a:solidFill>
            <a:ln>
              <a:noFill/>
            </a:ln>
            <a:effectLst/>
            <a:sp3d/>
          </c:spPr>
          <c:invertIfNegative val="0"/>
          <c:cat>
            <c:strRef>
              <c:extLst>
                <c:ext xmlns:c15="http://schemas.microsoft.com/office/drawing/2012/chart" uri="{02D57815-91ED-43cb-92C2-25804820EDAC}">
                  <c15:fullRef>
                    <c15:sqref>'Bus 1 Calc'!$B$112:$J$112</c15:sqref>
                  </c15:fullRef>
                </c:ext>
              </c:extLst>
              <c:f>('Bus 1 Calc'!$B$112,'Bus 1 Calc'!$F$112:$G$112,'Bus 1 Calc'!$I$112:$J$112)</c:f>
              <c:strCache>
                <c:ptCount val="5"/>
                <c:pt idx="0">
                  <c:v>Diesel B5</c:v>
                </c:pt>
                <c:pt idx="1">
                  <c:v>LPG-Propane</c:v>
                </c:pt>
                <c:pt idx="2">
                  <c:v>Electric</c:v>
                </c:pt>
                <c:pt idx="3">
                  <c:v>RNG</c:v>
                </c:pt>
                <c:pt idx="4">
                  <c:v>Gasoline</c:v>
                </c:pt>
              </c:strCache>
            </c:strRef>
          </c:cat>
          <c:val>
            <c:numRef>
              <c:extLst>
                <c:ext xmlns:c15="http://schemas.microsoft.com/office/drawing/2012/chart" uri="{02D57815-91ED-43cb-92C2-25804820EDAC}">
                  <c15:fullRef>
                    <c15:sqref>'Bus 1 Calc'!$B$115:$J$115</c15:sqref>
                  </c15:fullRef>
                </c:ext>
              </c:extLst>
              <c:f>('Bus 1 Calc'!$B$115,'Bus 1 Calc'!$F$115:$G$115,'Bus 1 Calc'!$I$115:$J$115)</c:f>
              <c:numCache>
                <c:formatCode>_("$"* #,##0_);_("$"* \(#,##0\);_("$"* "-"??_);_(@_)</c:formatCode>
                <c:ptCount val="5"/>
                <c:pt idx="0">
                  <c:v>538167.31848691287</c:v>
                </c:pt>
                <c:pt idx="1">
                  <c:v>452895.88533516909</c:v>
                </c:pt>
                <c:pt idx="2">
                  <c:v>283185.84715448052</c:v>
                </c:pt>
                <c:pt idx="3">
                  <c:v>89883.452860169476</c:v>
                </c:pt>
                <c:pt idx="4">
                  <c:v>472994.09298511362</c:v>
                </c:pt>
              </c:numCache>
            </c:numRef>
          </c:val>
          <c:extLst>
            <c:ext xmlns:c16="http://schemas.microsoft.com/office/drawing/2014/chart" uri="{C3380CC4-5D6E-409C-BE32-E72D297353CC}">
              <c16:uniqueId val="{00000001-4385-458D-82BD-80294DA858B5}"/>
            </c:ext>
          </c:extLst>
        </c:ser>
        <c:ser>
          <c:idx val="2"/>
          <c:order val="2"/>
          <c:tx>
            <c:strRef>
              <c:f>'Bus 1 Calc'!$A$116</c:f>
              <c:strCache>
                <c:ptCount val="1"/>
                <c:pt idx="0">
                  <c:v>Maintenance Costs</c:v>
                </c:pt>
              </c:strCache>
            </c:strRef>
          </c:tx>
          <c:spPr>
            <a:solidFill>
              <a:schemeClr val="accent3"/>
            </a:solidFill>
            <a:ln>
              <a:noFill/>
            </a:ln>
            <a:effectLst/>
            <a:sp3d/>
          </c:spPr>
          <c:invertIfNegative val="0"/>
          <c:cat>
            <c:strRef>
              <c:extLst>
                <c:ext xmlns:c15="http://schemas.microsoft.com/office/drawing/2012/chart" uri="{02D57815-91ED-43cb-92C2-25804820EDAC}">
                  <c15:fullRef>
                    <c15:sqref>'Bus 1 Calc'!$B$112:$J$112</c15:sqref>
                  </c15:fullRef>
                </c:ext>
              </c:extLst>
              <c:f>('Bus 1 Calc'!$B$112,'Bus 1 Calc'!$F$112:$G$112,'Bus 1 Calc'!$I$112:$J$112)</c:f>
              <c:strCache>
                <c:ptCount val="5"/>
                <c:pt idx="0">
                  <c:v>Diesel B5</c:v>
                </c:pt>
                <c:pt idx="1">
                  <c:v>LPG-Propane</c:v>
                </c:pt>
                <c:pt idx="2">
                  <c:v>Electric</c:v>
                </c:pt>
                <c:pt idx="3">
                  <c:v>RNG</c:v>
                </c:pt>
                <c:pt idx="4">
                  <c:v>Gasoline</c:v>
                </c:pt>
              </c:strCache>
            </c:strRef>
          </c:cat>
          <c:val>
            <c:numRef>
              <c:extLst>
                <c:ext xmlns:c15="http://schemas.microsoft.com/office/drawing/2012/chart" uri="{02D57815-91ED-43cb-92C2-25804820EDAC}">
                  <c15:fullRef>
                    <c15:sqref>'Bus 1 Calc'!$B$116:$J$116</c15:sqref>
                  </c15:fullRef>
                </c:ext>
              </c:extLst>
              <c:f>('Bus 1 Calc'!$B$116,'Bus 1 Calc'!$F$116:$G$116,'Bus 1 Calc'!$I$116:$J$116)</c:f>
              <c:numCache>
                <c:formatCode>_("$"* #,##0_);_("$"* \(#,##0\);_("$"* "-"??_);_(@_)</c:formatCode>
                <c:ptCount val="5"/>
                <c:pt idx="0">
                  <c:v>651594.66811817093</c:v>
                </c:pt>
                <c:pt idx="1">
                  <c:v>476381.17736714549</c:v>
                </c:pt>
                <c:pt idx="2">
                  <c:v>575443.6803212649</c:v>
                </c:pt>
                <c:pt idx="3">
                  <c:v>782363.66435641481</c:v>
                </c:pt>
                <c:pt idx="4">
                  <c:v>480653.65429420496</c:v>
                </c:pt>
              </c:numCache>
            </c:numRef>
          </c:val>
          <c:extLst>
            <c:ext xmlns:c16="http://schemas.microsoft.com/office/drawing/2014/chart" uri="{C3380CC4-5D6E-409C-BE32-E72D297353CC}">
              <c16:uniqueId val="{00000002-4385-458D-82BD-80294DA858B5}"/>
            </c:ext>
          </c:extLst>
        </c:ser>
        <c:ser>
          <c:idx val="3"/>
          <c:order val="3"/>
          <c:tx>
            <c:strRef>
              <c:f>'Bus 1 Calc'!$A$117</c:f>
              <c:strCache>
                <c:ptCount val="1"/>
                <c:pt idx="0">
                  <c:v>Social Costs</c:v>
                </c:pt>
              </c:strCache>
            </c:strRef>
          </c:tx>
          <c:spPr>
            <a:solidFill>
              <a:schemeClr val="accent4"/>
            </a:solidFill>
            <a:ln>
              <a:noFill/>
            </a:ln>
            <a:effectLst/>
            <a:sp3d/>
          </c:spPr>
          <c:invertIfNegative val="0"/>
          <c:cat>
            <c:strRef>
              <c:extLst>
                <c:ext xmlns:c15="http://schemas.microsoft.com/office/drawing/2012/chart" uri="{02D57815-91ED-43cb-92C2-25804820EDAC}">
                  <c15:fullRef>
                    <c15:sqref>'Bus 1 Calc'!$B$112:$J$112</c15:sqref>
                  </c15:fullRef>
                </c:ext>
              </c:extLst>
              <c:f>('Bus 1 Calc'!$B$112,'Bus 1 Calc'!$F$112:$G$112,'Bus 1 Calc'!$I$112:$J$112)</c:f>
              <c:strCache>
                <c:ptCount val="5"/>
                <c:pt idx="0">
                  <c:v>Diesel B5</c:v>
                </c:pt>
                <c:pt idx="1">
                  <c:v>LPG-Propane</c:v>
                </c:pt>
                <c:pt idx="2">
                  <c:v>Electric</c:v>
                </c:pt>
                <c:pt idx="3">
                  <c:v>RNG</c:v>
                </c:pt>
                <c:pt idx="4">
                  <c:v>Gasoline</c:v>
                </c:pt>
              </c:strCache>
            </c:strRef>
          </c:cat>
          <c:val>
            <c:numRef>
              <c:extLst>
                <c:ext xmlns:c15="http://schemas.microsoft.com/office/drawing/2012/chart" uri="{02D57815-91ED-43cb-92C2-25804820EDAC}">
                  <c15:fullRef>
                    <c15:sqref>'Bus 1 Calc'!$B$117:$J$117</c15:sqref>
                  </c15:fullRef>
                </c:ext>
              </c:extLst>
              <c:f>('Bus 1 Calc'!$B$117,'Bus 1 Calc'!$F$117:$G$117,'Bus 1 Calc'!$I$117:$J$117)</c:f>
              <c:numCache>
                <c:formatCode>"$"#,##0</c:formatCode>
                <c:ptCount val="5"/>
                <c:pt idx="0">
                  <c:v>41901.269444084479</c:v>
                </c:pt>
                <c:pt idx="1">
                  <c:v>38705.418289431771</c:v>
                </c:pt>
                <c:pt idx="2">
                  <c:v>1900.6591620897107</c:v>
                </c:pt>
                <c:pt idx="3">
                  <c:v>26934.457318134613</c:v>
                </c:pt>
                <c:pt idx="4">
                  <c:v>40873.346154957064</c:v>
                </c:pt>
              </c:numCache>
            </c:numRef>
          </c:val>
          <c:extLst>
            <c:ext xmlns:c16="http://schemas.microsoft.com/office/drawing/2014/chart" uri="{C3380CC4-5D6E-409C-BE32-E72D297353CC}">
              <c16:uniqueId val="{00000003-4385-458D-82BD-80294DA858B5}"/>
            </c:ext>
          </c:extLst>
        </c:ser>
        <c:ser>
          <c:idx val="4"/>
          <c:order val="4"/>
          <c:tx>
            <c:v>Infrastructure Costs</c:v>
          </c:tx>
          <c:spPr>
            <a:solidFill>
              <a:schemeClr val="accent5"/>
            </a:solidFill>
            <a:ln>
              <a:noFill/>
            </a:ln>
            <a:effectLst/>
            <a:sp3d/>
          </c:spPr>
          <c:invertIfNegative val="0"/>
          <c:cat>
            <c:strLit>
              <c:ptCount val="5"/>
              <c:pt idx="0">
                <c:v>Diesel B5</c:v>
              </c:pt>
              <c:pt idx="1">
                <c:v>LPG-Propane</c:v>
              </c:pt>
              <c:pt idx="2">
                <c:v>Electric</c:v>
              </c:pt>
              <c:pt idx="3">
                <c:v>RNG</c:v>
              </c:pt>
              <c:pt idx="4">
                <c:v>Gasoline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'Bus 1 Calc'!$B$114:$J$114</c15:sqref>
                  </c15:fullRef>
                </c:ext>
              </c:extLst>
              <c:f>('Bus 1 Calc'!$B$114,'Bus 1 Calc'!$F$114:$G$114,'Bus 1 Calc'!$I$114:$J$114)</c:f>
              <c:numCache>
                <c:formatCode>_("$"* #,##0_);_("$"* \(#,##0\);_("$"* "-"??_);_(@_)</c:formatCode>
                <c:ptCount val="5"/>
                <c:pt idx="0">
                  <c:v>0</c:v>
                </c:pt>
                <c:pt idx="1">
                  <c:v>10500</c:v>
                </c:pt>
                <c:pt idx="2">
                  <c:v>111250</c:v>
                </c:pt>
                <c:pt idx="3">
                  <c:v>250000</c:v>
                </c:pt>
                <c:pt idx="4">
                  <c:v>0</c:v>
                </c:pt>
              </c:numCache>
            </c:numRef>
          </c:val>
          <c:extLst>
            <c:ext xmlns:c16="http://schemas.microsoft.com/office/drawing/2014/chart" uri="{C3380CC4-5D6E-409C-BE32-E72D297353CC}">
              <c16:uniqueId val="{00000000-5F2B-4E14-859A-D379043C5CEA}"/>
            </c:ext>
          </c:extLst>
        </c:ser>
        <c:dLbls>
          <c:showLegendKey val="0"/>
          <c:showVal val="0"/>
          <c:showCatName val="0"/>
          <c:showSerName val="0"/>
          <c:showPercent val="0"/>
          <c:showBubbleSize val="0"/>
        </c:dLbls>
        <c:gapWidth val="150"/>
        <c:shape val="box"/>
        <c:axId val="1198058911"/>
        <c:axId val="1186470479"/>
        <c:axId val="0"/>
      </c:bar3DChart>
      <c:catAx>
        <c:axId val="11980589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470479"/>
        <c:crosses val="autoZero"/>
        <c:auto val="1"/>
        <c:lblAlgn val="ctr"/>
        <c:lblOffset val="100"/>
        <c:noMultiLvlLbl val="0"/>
      </c:catAx>
      <c:valAx>
        <c:axId val="118647047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05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Year</a:t>
            </a:r>
            <a:r>
              <a:rPr lang="en-US" baseline="0"/>
              <a:t> by Year Fuel Costs by Fuel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Diesel B5</c:v>
          </c:tx>
          <c:spPr>
            <a:ln w="28575" cap="rnd">
              <a:solidFill>
                <a:schemeClr val="accent1"/>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Calc'!$B$50:$B$64</c:f>
              <c:numCache>
                <c:formatCode>"$"#,##0</c:formatCode>
                <c:ptCount val="15"/>
                <c:pt idx="0">
                  <c:v>24321.752848072374</c:v>
                </c:pt>
                <c:pt idx="1">
                  <c:v>25742.614782850811</c:v>
                </c:pt>
                <c:pt idx="2">
                  <c:v>28424.246286270303</c:v>
                </c:pt>
                <c:pt idx="3">
                  <c:v>29933.729141875927</c:v>
                </c:pt>
                <c:pt idx="4">
                  <c:v>31336.252646144752</c:v>
                </c:pt>
                <c:pt idx="5">
                  <c:v>32784.988656403249</c:v>
                </c:pt>
                <c:pt idx="6">
                  <c:v>34272.207553138855</c:v>
                </c:pt>
                <c:pt idx="7">
                  <c:v>35839.021479593801</c:v>
                </c:pt>
                <c:pt idx="8">
                  <c:v>37207.049756410634</c:v>
                </c:pt>
                <c:pt idx="9">
                  <c:v>39510.401531942392</c:v>
                </c:pt>
                <c:pt idx="10">
                  <c:v>40990.222643397348</c:v>
                </c:pt>
                <c:pt idx="11">
                  <c:v>42560.110625694251</c:v>
                </c:pt>
                <c:pt idx="12">
                  <c:v>43842.159946994099</c:v>
                </c:pt>
                <c:pt idx="13">
                  <c:v>45059.166934719353</c:v>
                </c:pt>
                <c:pt idx="14">
                  <c:v>46343.393653404724</c:v>
                </c:pt>
              </c:numCache>
            </c:numRef>
          </c:val>
          <c:smooth val="0"/>
          <c:extLst>
            <c:ext xmlns:c16="http://schemas.microsoft.com/office/drawing/2014/chart" uri="{C3380CC4-5D6E-409C-BE32-E72D297353CC}">
              <c16:uniqueId val="{00000000-6C61-4819-8E39-88BF9FFE99C5}"/>
            </c:ext>
          </c:extLst>
        </c:ser>
        <c:ser>
          <c:idx val="1"/>
          <c:order val="1"/>
          <c:tx>
            <c:v>Diesel B20</c:v>
          </c:tx>
          <c:spPr>
            <a:ln w="28575" cap="rnd">
              <a:solidFill>
                <a:schemeClr val="accent2"/>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Calc'!$C$50:$C$64</c:f>
              <c:numCache>
                <c:formatCode>"$"#,##0</c:formatCode>
                <c:ptCount val="15"/>
                <c:pt idx="0">
                  <c:v>27217.173822961595</c:v>
                </c:pt>
                <c:pt idx="1">
                  <c:v>28638.035757740032</c:v>
                </c:pt>
                <c:pt idx="2">
                  <c:v>31319.667261159524</c:v>
                </c:pt>
                <c:pt idx="3">
                  <c:v>32829.150116765144</c:v>
                </c:pt>
                <c:pt idx="4">
                  <c:v>34231.673621033973</c:v>
                </c:pt>
                <c:pt idx="5">
                  <c:v>35680.409631292467</c:v>
                </c:pt>
                <c:pt idx="6">
                  <c:v>37167.628528028072</c:v>
                </c:pt>
                <c:pt idx="7">
                  <c:v>38734.442454483018</c:v>
                </c:pt>
                <c:pt idx="8">
                  <c:v>40102.470731299858</c:v>
                </c:pt>
                <c:pt idx="9">
                  <c:v>42405.82250683161</c:v>
                </c:pt>
                <c:pt idx="10">
                  <c:v>43885.643618286565</c:v>
                </c:pt>
                <c:pt idx="11">
                  <c:v>45455.531600583468</c:v>
                </c:pt>
                <c:pt idx="12">
                  <c:v>46737.580921883316</c:v>
                </c:pt>
                <c:pt idx="13">
                  <c:v>47954.587909608577</c:v>
                </c:pt>
                <c:pt idx="14">
                  <c:v>49238.814628293956</c:v>
                </c:pt>
              </c:numCache>
            </c:numRef>
          </c:val>
          <c:smooth val="0"/>
          <c:extLst>
            <c:ext xmlns:c16="http://schemas.microsoft.com/office/drawing/2014/chart" uri="{C3380CC4-5D6E-409C-BE32-E72D297353CC}">
              <c16:uniqueId val="{00000001-6C61-4819-8E39-88BF9FFE99C5}"/>
            </c:ext>
          </c:extLst>
        </c:ser>
        <c:ser>
          <c:idx val="2"/>
          <c:order val="2"/>
          <c:tx>
            <c:v>Diesel R20</c:v>
          </c:tx>
          <c:spPr>
            <a:ln w="28575" cap="rnd">
              <a:solidFill>
                <a:schemeClr val="accent3"/>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Calc'!$D$50:$D$64</c:f>
              <c:numCache>
                <c:formatCode>"$"#,##0</c:formatCode>
                <c:ptCount val="15"/>
                <c:pt idx="0">
                  <c:v>27217.173822961595</c:v>
                </c:pt>
                <c:pt idx="1">
                  <c:v>28638.035757740032</c:v>
                </c:pt>
                <c:pt idx="2">
                  <c:v>31319.667261159524</c:v>
                </c:pt>
                <c:pt idx="3">
                  <c:v>32829.150116765144</c:v>
                </c:pt>
                <c:pt idx="4">
                  <c:v>34231.673621033973</c:v>
                </c:pt>
                <c:pt idx="5">
                  <c:v>35680.409631292467</c:v>
                </c:pt>
                <c:pt idx="6">
                  <c:v>37167.628528028072</c:v>
                </c:pt>
                <c:pt idx="7">
                  <c:v>38734.442454483018</c:v>
                </c:pt>
                <c:pt idx="8">
                  <c:v>40102.470731299858</c:v>
                </c:pt>
                <c:pt idx="9">
                  <c:v>42405.82250683161</c:v>
                </c:pt>
                <c:pt idx="10">
                  <c:v>43885.643618286565</c:v>
                </c:pt>
                <c:pt idx="11">
                  <c:v>45455.531600583468</c:v>
                </c:pt>
                <c:pt idx="12">
                  <c:v>46737.580921883316</c:v>
                </c:pt>
                <c:pt idx="13">
                  <c:v>47954.587909608577</c:v>
                </c:pt>
                <c:pt idx="14">
                  <c:v>49238.814628293956</c:v>
                </c:pt>
              </c:numCache>
            </c:numRef>
          </c:val>
          <c:smooth val="0"/>
          <c:extLst>
            <c:ext xmlns:c16="http://schemas.microsoft.com/office/drawing/2014/chart" uri="{C3380CC4-5D6E-409C-BE32-E72D297353CC}">
              <c16:uniqueId val="{00000002-6C61-4819-8E39-88BF9FFE99C5}"/>
            </c:ext>
          </c:extLst>
        </c:ser>
        <c:ser>
          <c:idx val="3"/>
          <c:order val="3"/>
          <c:tx>
            <c:v>Diesel R99</c:v>
          </c:tx>
          <c:spPr>
            <a:ln w="28575" cap="rnd">
              <a:solidFill>
                <a:schemeClr val="accent4"/>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Calc'!$E$50:$E$64</c:f>
              <c:numCache>
                <c:formatCode>"$"#,##0</c:formatCode>
                <c:ptCount val="15"/>
                <c:pt idx="0">
                  <c:v>26075.730458217484</c:v>
                </c:pt>
                <c:pt idx="1">
                  <c:v>27496.592392995921</c:v>
                </c:pt>
                <c:pt idx="2">
                  <c:v>30178.223896415413</c:v>
                </c:pt>
                <c:pt idx="3">
                  <c:v>31687.706752021037</c:v>
                </c:pt>
                <c:pt idx="4">
                  <c:v>33090.230256289862</c:v>
                </c:pt>
                <c:pt idx="5">
                  <c:v>34538.966266548356</c:v>
                </c:pt>
                <c:pt idx="6">
                  <c:v>36026.185163283961</c:v>
                </c:pt>
                <c:pt idx="7">
                  <c:v>37592.999089738907</c:v>
                </c:pt>
                <c:pt idx="8">
                  <c:v>38961.02736655574</c:v>
                </c:pt>
                <c:pt idx="9">
                  <c:v>41264.379142087506</c:v>
                </c:pt>
                <c:pt idx="10">
                  <c:v>42744.200253542454</c:v>
                </c:pt>
                <c:pt idx="11">
                  <c:v>44314.08823583935</c:v>
                </c:pt>
                <c:pt idx="12">
                  <c:v>45596.137557139205</c:v>
                </c:pt>
                <c:pt idx="13">
                  <c:v>46813.144544864466</c:v>
                </c:pt>
                <c:pt idx="14">
                  <c:v>48097.37126354983</c:v>
                </c:pt>
              </c:numCache>
            </c:numRef>
          </c:val>
          <c:smooth val="0"/>
          <c:extLst>
            <c:ext xmlns:c16="http://schemas.microsoft.com/office/drawing/2014/chart" uri="{C3380CC4-5D6E-409C-BE32-E72D297353CC}">
              <c16:uniqueId val="{00000003-6C61-4819-8E39-88BF9FFE99C5}"/>
            </c:ext>
          </c:extLst>
        </c:ser>
        <c:ser>
          <c:idx val="4"/>
          <c:order val="4"/>
          <c:tx>
            <c:v>LPG-Propane</c:v>
          </c:tx>
          <c:spPr>
            <a:ln w="28575" cap="rnd">
              <a:solidFill>
                <a:schemeClr val="accent5"/>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Calc'!$F$50:$F$64</c:f>
              <c:numCache>
                <c:formatCode>"$"#,##0</c:formatCode>
                <c:ptCount val="15"/>
                <c:pt idx="0">
                  <c:v>23744.86656963389</c:v>
                </c:pt>
                <c:pt idx="1">
                  <c:v>24402.79710774175</c:v>
                </c:pt>
                <c:pt idx="2">
                  <c:v>25370.240325548293</c:v>
                </c:pt>
                <c:pt idx="3">
                  <c:v>26463.832468052929</c:v>
                </c:pt>
                <c:pt idx="4">
                  <c:v>27519.77409668361</c:v>
                </c:pt>
                <c:pt idx="5">
                  <c:v>28459.590530880836</c:v>
                </c:pt>
                <c:pt idx="6">
                  <c:v>29789.399373354237</c:v>
                </c:pt>
                <c:pt idx="7">
                  <c:v>30830.528105821897</c:v>
                </c:pt>
                <c:pt idx="8">
                  <c:v>32787.379480113988</c:v>
                </c:pt>
                <c:pt idx="9">
                  <c:v>33880.906700130086</c:v>
                </c:pt>
                <c:pt idx="10">
                  <c:v>35227.157540281129</c:v>
                </c:pt>
                <c:pt idx="11">
                  <c:v>36308.178877215141</c:v>
                </c:pt>
                <c:pt idx="12">
                  <c:v>37305.244867697103</c:v>
                </c:pt>
                <c:pt idx="13">
                  <c:v>38315.237982523962</c:v>
                </c:pt>
                <c:pt idx="14">
                  <c:v>39412.600158839537</c:v>
                </c:pt>
              </c:numCache>
            </c:numRef>
          </c:val>
          <c:smooth val="0"/>
          <c:extLst>
            <c:ext xmlns:c16="http://schemas.microsoft.com/office/drawing/2014/chart" uri="{C3380CC4-5D6E-409C-BE32-E72D297353CC}">
              <c16:uniqueId val="{00000004-6C61-4819-8E39-88BF9FFE99C5}"/>
            </c:ext>
          </c:extLst>
        </c:ser>
        <c:ser>
          <c:idx val="5"/>
          <c:order val="5"/>
          <c:tx>
            <c:v>Battery Electric</c:v>
          </c:tx>
          <c:spPr>
            <a:ln w="28575" cap="rnd">
              <a:solidFill>
                <a:schemeClr val="accent6"/>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Calc'!$G$50:$G$64</c:f>
              <c:numCache>
                <c:formatCode>"$"#,##0</c:formatCode>
                <c:ptCount val="15"/>
                <c:pt idx="0">
                  <c:v>17370.653882380702</c:v>
                </c:pt>
                <c:pt idx="1">
                  <c:v>17199.45851550439</c:v>
                </c:pt>
                <c:pt idx="2">
                  <c:v>17102.939919901859</c:v>
                </c:pt>
                <c:pt idx="3">
                  <c:v>17133.632846237284</c:v>
                </c:pt>
                <c:pt idx="4">
                  <c:v>17476.100398569313</c:v>
                </c:pt>
                <c:pt idx="5">
                  <c:v>17992.469418772209</c:v>
                </c:pt>
                <c:pt idx="6">
                  <c:v>18484.059479961201</c:v>
                </c:pt>
                <c:pt idx="7">
                  <c:v>18998.097793234927</c:v>
                </c:pt>
                <c:pt idx="8">
                  <c:v>19550.009566772391</c:v>
                </c:pt>
                <c:pt idx="9">
                  <c:v>19998.526917891697</c:v>
                </c:pt>
                <c:pt idx="10">
                  <c:v>20561.935388260707</c:v>
                </c:pt>
                <c:pt idx="11">
                  <c:v>21033.643667578523</c:v>
                </c:pt>
                <c:pt idx="12">
                  <c:v>21635.677244852894</c:v>
                </c:pt>
                <c:pt idx="13">
                  <c:v>22145.162114562474</c:v>
                </c:pt>
                <c:pt idx="14">
                  <c:v>22562.998644374446</c:v>
                </c:pt>
              </c:numCache>
            </c:numRef>
          </c:val>
          <c:smooth val="0"/>
          <c:extLst>
            <c:ext xmlns:c16="http://schemas.microsoft.com/office/drawing/2014/chart" uri="{C3380CC4-5D6E-409C-BE32-E72D297353CC}">
              <c16:uniqueId val="{00000005-6C61-4819-8E39-88BF9FFE99C5}"/>
            </c:ext>
          </c:extLst>
        </c:ser>
        <c:ser>
          <c:idx val="6"/>
          <c:order val="6"/>
          <c:tx>
            <c:v>CNG-Natural Gas</c:v>
          </c:tx>
          <c:spPr>
            <a:ln w="28575" cap="rnd">
              <a:solidFill>
                <a:schemeClr val="accent1">
                  <a:lumMod val="60000"/>
                </a:schemeClr>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Calc'!$H$50:$H$64</c:f>
              <c:numCache>
                <c:formatCode>"$"#,##0</c:formatCode>
                <c:ptCount val="15"/>
                <c:pt idx="0">
                  <c:v>11588.100635593222</c:v>
                </c:pt>
                <c:pt idx="1">
                  <c:v>12742.190148305086</c:v>
                </c:pt>
                <c:pt idx="2">
                  <c:v>12329.070444915256</c:v>
                </c:pt>
                <c:pt idx="3">
                  <c:v>11953.291843220341</c:v>
                </c:pt>
                <c:pt idx="4">
                  <c:v>12016.59216101695</c:v>
                </c:pt>
                <c:pt idx="5">
                  <c:v>12299.877648305086</c:v>
                </c:pt>
                <c:pt idx="6">
                  <c:v>12508.22033898305</c:v>
                </c:pt>
                <c:pt idx="7">
                  <c:v>12755.585275423728</c:v>
                </c:pt>
                <c:pt idx="8">
                  <c:v>13012.973516949154</c:v>
                </c:pt>
                <c:pt idx="9">
                  <c:v>14563.797139830509</c:v>
                </c:pt>
                <c:pt idx="10">
                  <c:v>14648.980932203391</c:v>
                </c:pt>
                <c:pt idx="11">
                  <c:v>15092.195974576269</c:v>
                </c:pt>
                <c:pt idx="12">
                  <c:v>15420.637182203394</c:v>
                </c:pt>
                <c:pt idx="13">
                  <c:v>15699.65625</c:v>
                </c:pt>
                <c:pt idx="14">
                  <c:v>15981.430614406785</c:v>
                </c:pt>
              </c:numCache>
            </c:numRef>
          </c:val>
          <c:smooth val="0"/>
          <c:extLst>
            <c:ext xmlns:c16="http://schemas.microsoft.com/office/drawing/2014/chart" uri="{C3380CC4-5D6E-409C-BE32-E72D297353CC}">
              <c16:uniqueId val="{00000006-6C61-4819-8E39-88BF9FFE99C5}"/>
            </c:ext>
          </c:extLst>
        </c:ser>
        <c:ser>
          <c:idx val="7"/>
          <c:order val="7"/>
          <c:tx>
            <c:v>RNG-Renewable Natural Gas</c:v>
          </c:tx>
          <c:spPr>
            <a:ln w="28575" cap="rnd">
              <a:solidFill>
                <a:schemeClr val="accent2">
                  <a:lumMod val="60000"/>
                </a:schemeClr>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Calc'!$I$50:$I$64</c:f>
              <c:numCache>
                <c:formatCode>"$"#,##0</c:formatCode>
                <c:ptCount val="15"/>
                <c:pt idx="0">
                  <c:v>4437.6769067796613</c:v>
                </c:pt>
                <c:pt idx="1">
                  <c:v>5591.7664194915251</c:v>
                </c:pt>
                <c:pt idx="2">
                  <c:v>5178.6467161016963</c:v>
                </c:pt>
                <c:pt idx="3">
                  <c:v>4802.8681144067805</c:v>
                </c:pt>
                <c:pt idx="4">
                  <c:v>4866.168432203388</c:v>
                </c:pt>
                <c:pt idx="5">
                  <c:v>5149.4539194915233</c:v>
                </c:pt>
                <c:pt idx="6">
                  <c:v>5357.7966101694901</c:v>
                </c:pt>
                <c:pt idx="7">
                  <c:v>5605.1615466101684</c:v>
                </c:pt>
                <c:pt idx="8">
                  <c:v>5862.5497881355932</c:v>
                </c:pt>
                <c:pt idx="9">
                  <c:v>7413.373411016948</c:v>
                </c:pt>
                <c:pt idx="10">
                  <c:v>7498.5572033898316</c:v>
                </c:pt>
                <c:pt idx="11">
                  <c:v>7941.7722457627087</c:v>
                </c:pt>
                <c:pt idx="12">
                  <c:v>8270.2134533898316</c:v>
                </c:pt>
                <c:pt idx="13">
                  <c:v>8549.232521186439</c:v>
                </c:pt>
                <c:pt idx="14">
                  <c:v>8831.0068855932223</c:v>
                </c:pt>
              </c:numCache>
            </c:numRef>
          </c:val>
          <c:smooth val="0"/>
          <c:extLst>
            <c:ext xmlns:c16="http://schemas.microsoft.com/office/drawing/2014/chart" uri="{C3380CC4-5D6E-409C-BE32-E72D297353CC}">
              <c16:uniqueId val="{00000007-6C61-4819-8E39-88BF9FFE99C5}"/>
            </c:ext>
          </c:extLst>
        </c:ser>
        <c:ser>
          <c:idx val="8"/>
          <c:order val="8"/>
          <c:tx>
            <c:v>Gasoline</c:v>
          </c:tx>
          <c:spPr>
            <a:ln w="28575" cap="rnd">
              <a:solidFill>
                <a:schemeClr val="accent3">
                  <a:lumMod val="60000"/>
                </a:schemeClr>
              </a:solidFill>
              <a:round/>
            </a:ln>
            <a:effectLst/>
          </c:spPr>
          <c:marker>
            <c:symbol val="none"/>
          </c:marker>
          <c:cat>
            <c:strRef>
              <c:f>'Bus 1 Calc'!$A$50:$A$64</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Calc'!$J$50:$J$64</c:f>
              <c:numCache>
                <c:formatCode>"$"#,##0</c:formatCode>
                <c:ptCount val="15"/>
                <c:pt idx="0">
                  <c:v>23844.525821951414</c:v>
                </c:pt>
                <c:pt idx="1">
                  <c:v>24953.24719034091</c:v>
                </c:pt>
                <c:pt idx="2">
                  <c:v>25517.559822409883</c:v>
                </c:pt>
                <c:pt idx="3">
                  <c:v>26654.909502421629</c:v>
                </c:pt>
                <c:pt idx="4">
                  <c:v>27657.843404878531</c:v>
                </c:pt>
                <c:pt idx="5">
                  <c:v>28833.922777131665</c:v>
                </c:pt>
                <c:pt idx="6">
                  <c:v>30548.181109627749</c:v>
                </c:pt>
                <c:pt idx="7">
                  <c:v>32051.823882127748</c:v>
                </c:pt>
                <c:pt idx="8">
                  <c:v>34770.040993714734</c:v>
                </c:pt>
                <c:pt idx="9">
                  <c:v>35916.38666143809</c:v>
                </c:pt>
                <c:pt idx="10">
                  <c:v>37722.851138612859</c:v>
                </c:pt>
                <c:pt idx="11">
                  <c:v>39021.633217648901</c:v>
                </c:pt>
                <c:pt idx="12">
                  <c:v>40577.627944122258</c:v>
                </c:pt>
                <c:pt idx="13">
                  <c:v>41909.216992907524</c:v>
                </c:pt>
                <c:pt idx="14">
                  <c:v>43499.719083652046</c:v>
                </c:pt>
              </c:numCache>
            </c:numRef>
          </c:val>
          <c:smooth val="0"/>
          <c:extLst>
            <c:ext xmlns:c16="http://schemas.microsoft.com/office/drawing/2014/chart" uri="{C3380CC4-5D6E-409C-BE32-E72D297353CC}">
              <c16:uniqueId val="{00000008-6C61-4819-8E39-88BF9FFE99C5}"/>
            </c:ext>
          </c:extLst>
        </c:ser>
        <c:dLbls>
          <c:showLegendKey val="0"/>
          <c:showVal val="0"/>
          <c:showCatName val="0"/>
          <c:showSerName val="0"/>
          <c:showPercent val="0"/>
          <c:showBubbleSize val="0"/>
        </c:dLbls>
        <c:smooth val="0"/>
        <c:axId val="368472367"/>
        <c:axId val="498747183"/>
      </c:lineChart>
      <c:catAx>
        <c:axId val="36847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747183"/>
        <c:crosses val="autoZero"/>
        <c:auto val="1"/>
        <c:lblAlgn val="ctr"/>
        <c:lblOffset val="100"/>
        <c:noMultiLvlLbl val="0"/>
      </c:catAx>
      <c:valAx>
        <c:axId val="49874718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472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Cumulative Year Over Year Costs Minus Clean Fuels Credits</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615048118985126"/>
          <c:y val="0.15738099453130713"/>
          <c:w val="0.83329396325459315"/>
          <c:h val="0.46741937635100334"/>
        </c:manualLayout>
      </c:layout>
      <c:lineChart>
        <c:grouping val="standard"/>
        <c:varyColors val="0"/>
        <c:ser>
          <c:idx val="0"/>
          <c:order val="0"/>
          <c:tx>
            <c:v>Diesel B5</c:v>
          </c:tx>
          <c:spPr>
            <a:ln w="28575" cap="rnd">
              <a:solidFill>
                <a:schemeClr val="accent1"/>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Calc'!$B$157:$B$171</c:f>
              <c:numCache>
                <c:formatCode>"$"#,##0</c:formatCode>
                <c:ptCount val="15"/>
                <c:pt idx="0">
                  <c:v>519527.84971094952</c:v>
                </c:pt>
                <c:pt idx="1">
                  <c:v>585161.50768138655</c:v>
                </c:pt>
                <c:pt idx="2">
                  <c:v>654434.18219174503</c:v>
                </c:pt>
                <c:pt idx="3">
                  <c:v>726196.70183508727</c:v>
                </c:pt>
                <c:pt idx="4">
                  <c:v>800365.63595473359</c:v>
                </c:pt>
                <c:pt idx="5">
                  <c:v>877011.29044000246</c:v>
                </c:pt>
                <c:pt idx="6">
                  <c:v>956196.8198018996</c:v>
                </c:pt>
                <c:pt idx="7">
                  <c:v>1038027.082813662</c:v>
                </c:pt>
                <c:pt idx="8">
                  <c:v>1122329.1638990133</c:v>
                </c:pt>
                <c:pt idx="9">
                  <c:v>1210064.877511791</c:v>
                </c:pt>
                <c:pt idx="10">
                  <c:v>1300437.8197259635</c:v>
                </c:pt>
                <c:pt idx="11">
                  <c:v>1393565.8351921316</c:v>
                </c:pt>
                <c:pt idx="12">
                  <c:v>1489189.5296957709</c:v>
                </c:pt>
                <c:pt idx="13">
                  <c:v>1587272.988016495</c:v>
                </c:pt>
                <c:pt idx="14">
                  <c:v>1687913.2560491685</c:v>
                </c:pt>
              </c:numCache>
            </c:numRef>
          </c:val>
          <c:smooth val="0"/>
          <c:extLst>
            <c:ext xmlns:c16="http://schemas.microsoft.com/office/drawing/2014/chart" uri="{C3380CC4-5D6E-409C-BE32-E72D297353CC}">
              <c16:uniqueId val="{00000000-1850-476B-AF4C-52412D9DAF16}"/>
            </c:ext>
          </c:extLst>
        </c:ser>
        <c:ser>
          <c:idx val="1"/>
          <c:order val="1"/>
          <c:tx>
            <c:v>Diesel B20</c:v>
          </c:tx>
          <c:spPr>
            <a:ln w="28575" cap="rnd">
              <a:solidFill>
                <a:schemeClr val="accent2"/>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Calc'!$C$157:$C$171</c:f>
              <c:numCache>
                <c:formatCode>"$"#,##0</c:formatCode>
                <c:ptCount val="15"/>
                <c:pt idx="0">
                  <c:v>521686.46778063418</c:v>
                </c:pt>
                <c:pt idx="1">
                  <c:v>589461.06055103103</c:v>
                </c:pt>
                <c:pt idx="2">
                  <c:v>660856.5621931511</c:v>
                </c:pt>
                <c:pt idx="3">
                  <c:v>734723.36671601981</c:v>
                </c:pt>
                <c:pt idx="4">
                  <c:v>810977.59844890388</c:v>
                </c:pt>
                <c:pt idx="5">
                  <c:v>889689.10758673085</c:v>
                </c:pt>
                <c:pt idx="6">
                  <c:v>970920.5820094503</c:v>
                </c:pt>
                <c:pt idx="7">
                  <c:v>1054776.4026600972</c:v>
                </c:pt>
                <c:pt idx="8">
                  <c:v>1141083.164664269</c:v>
                </c:pt>
                <c:pt idx="9">
                  <c:v>1230802.1814345215</c:v>
                </c:pt>
                <c:pt idx="10">
                  <c:v>1323136.5359785508</c:v>
                </c:pt>
                <c:pt idx="11">
                  <c:v>1418203.5475670949</c:v>
                </c:pt>
                <c:pt idx="12">
                  <c:v>1515743.28399665</c:v>
                </c:pt>
                <c:pt idx="13">
                  <c:v>1615719.2791461144</c:v>
                </c:pt>
                <c:pt idx="14">
                  <c:v>1718228.0147880206</c:v>
                </c:pt>
              </c:numCache>
            </c:numRef>
          </c:val>
          <c:smooth val="0"/>
          <c:extLst>
            <c:ext xmlns:c16="http://schemas.microsoft.com/office/drawing/2014/chart" uri="{C3380CC4-5D6E-409C-BE32-E72D297353CC}">
              <c16:uniqueId val="{00000001-1850-476B-AF4C-52412D9DAF16}"/>
            </c:ext>
          </c:extLst>
        </c:ser>
        <c:ser>
          <c:idx val="2"/>
          <c:order val="2"/>
          <c:tx>
            <c:v>Diesel R20</c:v>
          </c:tx>
          <c:spPr>
            <a:ln w="28575" cap="rnd">
              <a:solidFill>
                <a:schemeClr val="accent3"/>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Calc'!$D$157:$D$171</c:f>
              <c:numCache>
                <c:formatCode>"$"#,##0</c:formatCode>
                <c:ptCount val="15"/>
                <c:pt idx="0">
                  <c:v>521664.5184398467</c:v>
                </c:pt>
                <c:pt idx="1">
                  <c:v>589416.63508527714</c:v>
                </c:pt>
                <c:pt idx="2">
                  <c:v>660789.12117543165</c:v>
                </c:pt>
                <c:pt idx="3">
                  <c:v>734632.35777308769</c:v>
                </c:pt>
                <c:pt idx="4">
                  <c:v>810862.45595055388</c:v>
                </c:pt>
                <c:pt idx="5">
                  <c:v>889549.25232763297</c:v>
                </c:pt>
                <c:pt idx="6">
                  <c:v>970755.42088334658</c:v>
                </c:pt>
                <c:pt idx="7">
                  <c:v>1054585.3283261796</c:v>
                </c:pt>
                <c:pt idx="8">
                  <c:v>1140865.5552055498</c:v>
                </c:pt>
                <c:pt idx="9">
                  <c:v>1230557.4000080056</c:v>
                </c:pt>
                <c:pt idx="10">
                  <c:v>1322863.9304570111</c:v>
                </c:pt>
                <c:pt idx="11">
                  <c:v>1417902.4501722509</c:v>
                </c:pt>
                <c:pt idx="12">
                  <c:v>1515413.0109235423</c:v>
                </c:pt>
                <c:pt idx="13">
                  <c:v>1615359.1301784648</c:v>
                </c:pt>
                <c:pt idx="14">
                  <c:v>1717837.2729043602</c:v>
                </c:pt>
              </c:numCache>
            </c:numRef>
          </c:val>
          <c:smooth val="0"/>
          <c:extLst>
            <c:ext xmlns:c16="http://schemas.microsoft.com/office/drawing/2014/chart" uri="{C3380CC4-5D6E-409C-BE32-E72D297353CC}">
              <c16:uniqueId val="{00000002-1850-476B-AF4C-52412D9DAF16}"/>
            </c:ext>
          </c:extLst>
        </c:ser>
        <c:ser>
          <c:idx val="3"/>
          <c:order val="3"/>
          <c:tx>
            <c:v>Diesel R99</c:v>
          </c:tx>
          <c:spPr>
            <a:ln w="28575" cap="rnd">
              <a:solidFill>
                <a:schemeClr val="accent4"/>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Calc'!$E$157:$E$171</c:f>
              <c:numCache>
                <c:formatCode>"$"#,##0</c:formatCode>
                <c:ptCount val="15"/>
                <c:pt idx="0">
                  <c:v>516866.54630063579</c:v>
                </c:pt>
                <c:pt idx="1">
                  <c:v>579732.93411626806</c:v>
                </c:pt>
                <c:pt idx="2">
                  <c:v>646129.82852546312</c:v>
                </c:pt>
                <c:pt idx="3">
                  <c:v>714905.45388257049</c:v>
                </c:pt>
                <c:pt idx="4">
                  <c:v>785973.71279046871</c:v>
                </c:pt>
                <c:pt idx="5">
                  <c:v>859402.18039626407</c:v>
                </c:pt>
                <c:pt idx="6">
                  <c:v>935251.21493093693</c:v>
                </c:pt>
                <c:pt idx="7">
                  <c:v>1013622.8117769781</c:v>
                </c:pt>
                <c:pt idx="8">
                  <c:v>1094341.1232459873</c:v>
                </c:pt>
                <c:pt idx="9">
                  <c:v>1178364.9613089873</c:v>
                </c:pt>
                <c:pt idx="10">
                  <c:v>1264894.847497544</c:v>
                </c:pt>
                <c:pt idx="11">
                  <c:v>1354045.4781308379</c:v>
                </c:pt>
                <c:pt idx="12">
                  <c:v>1445554.2351029706</c:v>
                </c:pt>
                <c:pt idx="13">
                  <c:v>1539381.9019287885</c:v>
                </c:pt>
                <c:pt idx="14">
                  <c:v>1635622.1440080346</c:v>
                </c:pt>
              </c:numCache>
            </c:numRef>
          </c:val>
          <c:smooth val="0"/>
          <c:extLst>
            <c:ext xmlns:c16="http://schemas.microsoft.com/office/drawing/2014/chart" uri="{C3380CC4-5D6E-409C-BE32-E72D297353CC}">
              <c16:uniqueId val="{00000003-1850-476B-AF4C-52412D9DAF16}"/>
            </c:ext>
          </c:extLst>
        </c:ser>
        <c:ser>
          <c:idx val="4"/>
          <c:order val="4"/>
          <c:tx>
            <c:v>LPG Propane</c:v>
          </c:tx>
          <c:spPr>
            <a:ln w="28575" cap="rnd">
              <a:solidFill>
                <a:schemeClr val="accent5"/>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Calc'!$F$157:$F$171</c:f>
              <c:numCache>
                <c:formatCode>"$"#,##0</c:formatCode>
                <c:ptCount val="15"/>
                <c:pt idx="0">
                  <c:v>552183.23919212504</c:v>
                </c:pt>
                <c:pt idx="1">
                  <c:v>605490.59156604938</c:v>
                </c:pt>
                <c:pt idx="2">
                  <c:v>660750.07213719655</c:v>
                </c:pt>
                <c:pt idx="3">
                  <c:v>718103.05970143783</c:v>
                </c:pt>
                <c:pt idx="4">
                  <c:v>777436.34399773658</c:v>
                </c:pt>
                <c:pt idx="5">
                  <c:v>838472.96897302335</c:v>
                </c:pt>
                <c:pt idx="6">
                  <c:v>901621.25161744922</c:v>
                </c:pt>
                <c:pt idx="7">
                  <c:v>966611.27619284845</c:v>
                </c:pt>
                <c:pt idx="8">
                  <c:v>1034377.9800578096</c:v>
                </c:pt>
                <c:pt idx="9">
                  <c:v>1104077.7149280233</c:v>
                </c:pt>
                <c:pt idx="10">
                  <c:v>1175983.35251447</c:v>
                </c:pt>
                <c:pt idx="11">
                  <c:v>1249850.2949589586</c:v>
                </c:pt>
                <c:pt idx="12">
                  <c:v>1325615.7137195438</c:v>
                </c:pt>
                <c:pt idx="13">
                  <c:v>1403314.1697683851</c:v>
                </c:pt>
                <c:pt idx="14">
                  <c:v>1483055.1852271336</c:v>
                </c:pt>
              </c:numCache>
            </c:numRef>
          </c:val>
          <c:smooth val="0"/>
          <c:extLst>
            <c:ext xmlns:c16="http://schemas.microsoft.com/office/drawing/2014/chart" uri="{C3380CC4-5D6E-409C-BE32-E72D297353CC}">
              <c16:uniqueId val="{00000004-1850-476B-AF4C-52412D9DAF16}"/>
            </c:ext>
          </c:extLst>
        </c:ser>
        <c:ser>
          <c:idx val="5"/>
          <c:order val="5"/>
          <c:tx>
            <c:v>Battery Electric</c:v>
          </c:tx>
          <c:spPr>
            <a:ln w="28575" cap="rnd">
              <a:solidFill>
                <a:schemeClr val="accent6"/>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Calc'!$G$157:$G$171</c:f>
              <c:numCache>
                <c:formatCode>"$"#,##0</c:formatCode>
                <c:ptCount val="15"/>
                <c:pt idx="0">
                  <c:v>1780649.1743886466</c:v>
                </c:pt>
                <c:pt idx="1">
                  <c:v>1801131.4894631412</c:v>
                </c:pt>
                <c:pt idx="2">
                  <c:v>1822793.5186014054</c:v>
                </c:pt>
                <c:pt idx="3">
                  <c:v>1845778.3860868532</c:v>
                </c:pt>
                <c:pt idx="4">
                  <c:v>1870575.0428393641</c:v>
                </c:pt>
                <c:pt idx="5">
                  <c:v>1896743.878886516</c:v>
                </c:pt>
                <c:pt idx="6">
                  <c:v>1924280.6547158815</c:v>
                </c:pt>
                <c:pt idx="7">
                  <c:v>1953228.8509728499</c:v>
                </c:pt>
                <c:pt idx="8">
                  <c:v>1983647.8782884288</c:v>
                </c:pt>
                <c:pt idx="9">
                  <c:v>2015456.3963030418</c:v>
                </c:pt>
                <c:pt idx="10">
                  <c:v>2048791.879496289</c:v>
                </c:pt>
                <c:pt idx="11">
                  <c:v>2083585.753038117</c:v>
                </c:pt>
                <c:pt idx="12">
                  <c:v>2119992.022596145</c:v>
                </c:pt>
                <c:pt idx="13">
                  <c:v>2157942.3881613421</c:v>
                </c:pt>
                <c:pt idx="14">
                  <c:v>2197370.0320611103</c:v>
                </c:pt>
              </c:numCache>
            </c:numRef>
          </c:val>
          <c:smooth val="0"/>
          <c:extLst>
            <c:ext xmlns:c16="http://schemas.microsoft.com/office/drawing/2014/chart" uri="{C3380CC4-5D6E-409C-BE32-E72D297353CC}">
              <c16:uniqueId val="{00000005-1850-476B-AF4C-52412D9DAF16}"/>
            </c:ext>
          </c:extLst>
        </c:ser>
        <c:ser>
          <c:idx val="6"/>
          <c:order val="6"/>
          <c:tx>
            <c:v>CNG</c:v>
          </c:tx>
          <c:spPr>
            <a:ln w="28575" cap="rnd">
              <a:solidFill>
                <a:schemeClr val="accent1">
                  <a:lumMod val="60000"/>
                </a:schemeClr>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Calc'!$H$157:$H$171</c:f>
              <c:numCache>
                <c:formatCode>"$"#,##0</c:formatCode>
                <c:ptCount val="15"/>
                <c:pt idx="0">
                  <c:v>906407.07457894925</c:v>
                </c:pt>
                <c:pt idx="1">
                  <c:v>965359.67805036786</c:v>
                </c:pt>
                <c:pt idx="2">
                  <c:v>1025319.0642752293</c:v>
                </c:pt>
                <c:pt idx="3">
                  <c:v>1086347.8093818468</c:v>
                </c:pt>
                <c:pt idx="4">
                  <c:v>1149008.1431371656</c:v>
                </c:pt>
                <c:pt idx="5">
                  <c:v>1213167.2121780356</c:v>
                </c:pt>
                <c:pt idx="6">
                  <c:v>1278779.2445030052</c:v>
                </c:pt>
                <c:pt idx="7">
                  <c:v>1345913.1332520791</c:v>
                </c:pt>
                <c:pt idx="8">
                  <c:v>1414609.4895260462</c:v>
                </c:pt>
                <c:pt idx="9">
                  <c:v>1486193.0706090629</c:v>
                </c:pt>
                <c:pt idx="10">
                  <c:v>1559230.3102990892</c:v>
                </c:pt>
                <c:pt idx="11">
                  <c:v>1634112.083241676</c:v>
                </c:pt>
                <c:pt idx="12">
                  <c:v>1710757.2472391222</c:v>
                </c:pt>
                <c:pt idx="13">
                  <c:v>1789150.8189479308</c:v>
                </c:pt>
                <c:pt idx="14">
                  <c:v>1869330.8189921577</c:v>
                </c:pt>
              </c:numCache>
            </c:numRef>
          </c:val>
          <c:smooth val="0"/>
          <c:extLst>
            <c:ext xmlns:c16="http://schemas.microsoft.com/office/drawing/2014/chart" uri="{C3380CC4-5D6E-409C-BE32-E72D297353CC}">
              <c16:uniqueId val="{00000006-1850-476B-AF4C-52412D9DAF16}"/>
            </c:ext>
          </c:extLst>
        </c:ser>
        <c:ser>
          <c:idx val="7"/>
          <c:order val="7"/>
          <c:tx>
            <c:v>RNG</c:v>
          </c:tx>
          <c:spPr>
            <a:ln w="28575" cap="rnd">
              <a:solidFill>
                <a:schemeClr val="accent2">
                  <a:lumMod val="60000"/>
                </a:schemeClr>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Calc'!$I$157:$I$171</c:f>
              <c:numCache>
                <c:formatCode>"$"#,##0</c:formatCode>
                <c:ptCount val="15"/>
                <c:pt idx="0">
                  <c:v>899898.78822881682</c:v>
                </c:pt>
                <c:pt idx="1">
                  <c:v>952042.73264207446</c:v>
                </c:pt>
                <c:pt idx="2">
                  <c:v>1004890.8096237927</c:v>
                </c:pt>
                <c:pt idx="3">
                  <c:v>1058507.1743301908</c:v>
                </c:pt>
                <c:pt idx="4">
                  <c:v>1113358.3632725931</c:v>
                </c:pt>
                <c:pt idx="5">
                  <c:v>1169692.4781945285</c:v>
                </c:pt>
                <c:pt idx="6">
                  <c:v>1227463.3676712005</c:v>
                </c:pt>
                <c:pt idx="7">
                  <c:v>1286739.5363131093</c:v>
                </c:pt>
                <c:pt idx="8">
                  <c:v>1347561.1973668307</c:v>
                </c:pt>
                <c:pt idx="9">
                  <c:v>1411252.7007138075</c:v>
                </c:pt>
                <c:pt idx="10">
                  <c:v>1476380.0629716201</c:v>
                </c:pt>
                <c:pt idx="11">
                  <c:v>1543333.7315931118</c:v>
                </c:pt>
                <c:pt idx="12">
                  <c:v>1612032.126935248</c:v>
                </c:pt>
                <c:pt idx="13">
                  <c:v>1682459.8177105109</c:v>
                </c:pt>
                <c:pt idx="14">
                  <c:v>1754654.3658482784</c:v>
                </c:pt>
              </c:numCache>
            </c:numRef>
          </c:val>
          <c:smooth val="0"/>
          <c:extLst>
            <c:ext xmlns:c16="http://schemas.microsoft.com/office/drawing/2014/chart" uri="{C3380CC4-5D6E-409C-BE32-E72D297353CC}">
              <c16:uniqueId val="{00000007-1850-476B-AF4C-52412D9DAF16}"/>
            </c:ext>
          </c:extLst>
        </c:ser>
        <c:ser>
          <c:idx val="8"/>
          <c:order val="8"/>
          <c:tx>
            <c:v>Gasoline</c:v>
          </c:tx>
          <c:spPr>
            <a:ln w="28575" cap="rnd">
              <a:solidFill>
                <a:schemeClr val="accent3">
                  <a:lumMod val="60000"/>
                </a:schemeClr>
              </a:solidFill>
              <a:round/>
            </a:ln>
            <a:effectLst/>
          </c:spPr>
          <c:marker>
            <c:symbol val="none"/>
          </c:marker>
          <c:cat>
            <c:strRef>
              <c:f>'Bus 1 Calc'!$A$157:$A$171</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'Bus 1 Calc'!$J$157:$J$171</c:f>
              <c:numCache>
                <c:formatCode>"$"#,##0</c:formatCode>
                <c:ptCount val="15"/>
                <c:pt idx="0">
                  <c:v>502125.63461592025</c:v>
                </c:pt>
                <c:pt idx="1">
                  <c:v>557318.73721128528</c:v>
                </c:pt>
                <c:pt idx="2">
                  <c:v>613801.90896843991</c:v>
                </c:pt>
                <c:pt idx="3">
                  <c:v>672165.60509204015</c:v>
                </c:pt>
                <c:pt idx="4">
                  <c:v>732293.24599700549</c:v>
                </c:pt>
                <c:pt idx="5">
                  <c:v>794376.24141422613</c:v>
                </c:pt>
                <c:pt idx="6">
                  <c:v>858971.472907305</c:v>
                </c:pt>
                <c:pt idx="7">
                  <c:v>925887.47638208664</c:v>
                </c:pt>
                <c:pt idx="8">
                  <c:v>996358.43727867899</c:v>
                </c:pt>
                <c:pt idx="9">
                  <c:v>1068832.5659206638</c:v>
                </c:pt>
                <c:pt idx="10">
                  <c:v>1143990.5448473564</c:v>
                </c:pt>
                <c:pt idx="11">
                  <c:v>1221345.748919999</c:v>
                </c:pt>
                <c:pt idx="12">
                  <c:v>1301176.9534196348</c:v>
                </c:pt>
                <c:pt idx="13">
                  <c:v>1383281.8328053881</c:v>
                </c:pt>
                <c:pt idx="14">
                  <c:v>1467941.9101793144</c:v>
                </c:pt>
              </c:numCache>
            </c:numRef>
          </c:val>
          <c:smooth val="0"/>
          <c:extLst>
            <c:ext xmlns:c16="http://schemas.microsoft.com/office/drawing/2014/chart" uri="{C3380CC4-5D6E-409C-BE32-E72D297353CC}">
              <c16:uniqueId val="{00000008-1850-476B-AF4C-52412D9DAF16}"/>
            </c:ext>
          </c:extLst>
        </c:ser>
        <c:dLbls>
          <c:showLegendKey val="0"/>
          <c:showVal val="0"/>
          <c:showCatName val="0"/>
          <c:showSerName val="0"/>
          <c:showPercent val="0"/>
          <c:showBubbleSize val="0"/>
        </c:dLbls>
        <c:smooth val="0"/>
        <c:axId val="1637010224"/>
        <c:axId val="1822753712"/>
      </c:lineChart>
      <c:catAx>
        <c:axId val="163701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2753712"/>
        <c:crosses val="autoZero"/>
        <c:auto val="1"/>
        <c:lblAlgn val="ctr"/>
        <c:lblOffset val="100"/>
        <c:noMultiLvlLbl val="0"/>
      </c:catAx>
      <c:valAx>
        <c:axId val="18227537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01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First Year Cost</a:t>
            </a:r>
            <a:r>
              <a:rPr lang="en-US" baseline="0"/>
              <a:t>s Comparison Bus 1 and Bus 2</a:t>
            </a:r>
          </a:p>
        </c:rich>
      </c:tx>
      <c:layout>
        <c:manualLayout>
          <c:xMode val="edge"/>
          <c:yMode val="edge"/>
          <c:x val="0.2673247312309609"/>
          <c:y val="9.38950336329053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Summary!$B$73</c:f>
              <c:strCache>
                <c:ptCount val="1"/>
                <c:pt idx="0">
                  <c:v>Diesel (B5)</c:v>
                </c:pt>
              </c:strCache>
            </c:strRef>
          </c:tx>
          <c:spPr>
            <a:solidFill>
              <a:schemeClr val="accent1"/>
            </a:solidFill>
            <a:ln>
              <a:noFill/>
            </a:ln>
            <a:effectLst/>
          </c:spPr>
          <c:invertIfNegative val="0"/>
          <c:cat>
            <c:strRef>
              <c:f>Summary!$A$74:$A$77</c:f>
              <c:strCache>
                <c:ptCount val="4"/>
                <c:pt idx="0">
                  <c:v>Buses</c:v>
                </c:pt>
                <c:pt idx="1">
                  <c:v>Infrastructure</c:v>
                </c:pt>
                <c:pt idx="2">
                  <c:v>Fuel</c:v>
                </c:pt>
                <c:pt idx="3">
                  <c:v>Maintenance</c:v>
                </c:pt>
              </c:strCache>
            </c:strRef>
          </c:cat>
          <c:val>
            <c:numRef>
              <c:f>Summary!$B$74:$B$77</c:f>
              <c:numCache>
                <c:formatCode>_("$"* #,##0_);_("$"* \(#,##0\);_("$"* "-"??_);_(@_)</c:formatCode>
                <c:ptCount val="4"/>
                <c:pt idx="0">
                  <c:v>456250</c:v>
                </c:pt>
                <c:pt idx="1">
                  <c:v>0</c:v>
                </c:pt>
                <c:pt idx="2">
                  <c:v>24321.752848072374</c:v>
                </c:pt>
                <c:pt idx="3">
                  <c:v>36602.355733723438</c:v>
                </c:pt>
              </c:numCache>
            </c:numRef>
          </c:val>
          <c:extLst>
            <c:ext xmlns:c16="http://schemas.microsoft.com/office/drawing/2014/chart" uri="{C3380CC4-5D6E-409C-BE32-E72D297353CC}">
              <c16:uniqueId val="{00000000-DFD3-4565-A350-D48E7B325FE3}"/>
            </c:ext>
          </c:extLst>
        </c:ser>
        <c:ser>
          <c:idx val="1"/>
          <c:order val="1"/>
          <c:tx>
            <c:strRef>
              <c:f>Summary!$C$73</c:f>
              <c:strCache>
                <c:ptCount val="1"/>
                <c:pt idx="0">
                  <c:v>Battery Electric</c:v>
                </c:pt>
              </c:strCache>
            </c:strRef>
          </c:tx>
          <c:spPr>
            <a:solidFill>
              <a:schemeClr val="accent2"/>
            </a:solidFill>
            <a:ln>
              <a:noFill/>
            </a:ln>
            <a:effectLst/>
          </c:spPr>
          <c:invertIfNegative val="0"/>
          <c:cat>
            <c:strRef>
              <c:f>Summary!$A$74:$A$77</c:f>
              <c:strCache>
                <c:ptCount val="4"/>
                <c:pt idx="0">
                  <c:v>Buses</c:v>
                </c:pt>
                <c:pt idx="1">
                  <c:v>Infrastructure</c:v>
                </c:pt>
                <c:pt idx="2">
                  <c:v>Fuel</c:v>
                </c:pt>
                <c:pt idx="3">
                  <c:v>Maintenance</c:v>
                </c:pt>
              </c:strCache>
            </c:strRef>
          </c:cat>
          <c:val>
            <c:numRef>
              <c:f>Summary!$C$74:$C$77</c:f>
              <c:numCache>
                <c:formatCode>_("$"* #,##0_);_("$"* \(#,##0\);_("$"* "-"??_);_(@_)</c:formatCode>
                <c:ptCount val="4"/>
                <c:pt idx="0">
                  <c:v>1000000</c:v>
                </c:pt>
                <c:pt idx="1">
                  <c:v>111250</c:v>
                </c:pt>
                <c:pt idx="2">
                  <c:v>-13032.280208199278</c:v>
                </c:pt>
                <c:pt idx="3">
                  <c:v>32324.687911691326</c:v>
                </c:pt>
              </c:numCache>
            </c:numRef>
          </c:val>
          <c:extLst>
            <c:ext xmlns:c16="http://schemas.microsoft.com/office/drawing/2014/chart" uri="{C3380CC4-5D6E-409C-BE32-E72D297353CC}">
              <c16:uniqueId val="{00000001-DFD3-4565-A350-D48E7B325FE3}"/>
            </c:ext>
          </c:extLst>
        </c:ser>
        <c:dLbls>
          <c:showLegendKey val="0"/>
          <c:showVal val="0"/>
          <c:showCatName val="0"/>
          <c:showSerName val="0"/>
          <c:showPercent val="0"/>
          <c:showBubbleSize val="0"/>
        </c:dLbls>
        <c:gapWidth val="219"/>
        <c:overlap val="-27"/>
        <c:axId val="228677903"/>
        <c:axId val="199918271"/>
      </c:barChart>
      <c:catAx>
        <c:axId val="228677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918271"/>
        <c:crosses val="autoZero"/>
        <c:auto val="1"/>
        <c:lblAlgn val="ctr"/>
        <c:lblOffset val="100"/>
        <c:noMultiLvlLbl val="0"/>
      </c:catAx>
      <c:valAx>
        <c:axId val="19991827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677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Costs Comparison</a:t>
            </a:r>
            <a:r>
              <a:rPr lang="en-US" baseline="0"/>
              <a:t> Bus 1 and Bus 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Summary!$A$91</c:f>
              <c:strCache>
                <c:ptCount val="1"/>
                <c:pt idx="0">
                  <c:v>Buses</c:v>
                </c:pt>
              </c:strCache>
            </c:strRef>
          </c:tx>
          <c:spPr>
            <a:solidFill>
              <a:schemeClr val="accent1"/>
            </a:solidFill>
            <a:ln>
              <a:noFill/>
            </a:ln>
            <a:effectLst/>
            <a:sp3d/>
          </c:spPr>
          <c:invertIfNegative val="0"/>
          <c:cat>
            <c:strRef>
              <c:f>Summary!$B$90:$C$90</c:f>
              <c:strCache>
                <c:ptCount val="2"/>
                <c:pt idx="0">
                  <c:v>Diesel (B5)</c:v>
                </c:pt>
                <c:pt idx="1">
                  <c:v>Battery Electric</c:v>
                </c:pt>
              </c:strCache>
            </c:strRef>
          </c:cat>
          <c:val>
            <c:numRef>
              <c:f>Summary!$B$91:$C$91</c:f>
              <c:numCache>
                <c:formatCode>_("$"* #,##0_);_("$"* \(#,##0\);_("$"* "-"??_);_(@_)</c:formatCode>
                <c:ptCount val="2"/>
                <c:pt idx="0">
                  <c:v>456250</c:v>
                </c:pt>
                <c:pt idx="1">
                  <c:v>1000000</c:v>
                </c:pt>
              </c:numCache>
            </c:numRef>
          </c:val>
          <c:extLst>
            <c:ext xmlns:c16="http://schemas.microsoft.com/office/drawing/2014/chart" uri="{C3380CC4-5D6E-409C-BE32-E72D297353CC}">
              <c16:uniqueId val="{00000000-7CDB-4DE8-BB07-585521619FF1}"/>
            </c:ext>
          </c:extLst>
        </c:ser>
        <c:ser>
          <c:idx val="1"/>
          <c:order val="1"/>
          <c:tx>
            <c:strRef>
              <c:f>Summary!$A$92</c:f>
              <c:strCache>
                <c:ptCount val="1"/>
                <c:pt idx="0">
                  <c:v>Infrastructure</c:v>
                </c:pt>
              </c:strCache>
            </c:strRef>
          </c:tx>
          <c:spPr>
            <a:solidFill>
              <a:schemeClr val="accent2"/>
            </a:solidFill>
            <a:ln>
              <a:noFill/>
            </a:ln>
            <a:effectLst/>
            <a:sp3d/>
          </c:spPr>
          <c:invertIfNegative val="0"/>
          <c:cat>
            <c:strRef>
              <c:f>Summary!$B$90:$C$90</c:f>
              <c:strCache>
                <c:ptCount val="2"/>
                <c:pt idx="0">
                  <c:v>Diesel (B5)</c:v>
                </c:pt>
                <c:pt idx="1">
                  <c:v>Battery Electric</c:v>
                </c:pt>
              </c:strCache>
            </c:strRef>
          </c:cat>
          <c:val>
            <c:numRef>
              <c:f>Summary!$B$92:$C$92</c:f>
              <c:numCache>
                <c:formatCode>_("$"* #,##0_);_("$"* \(#,##0\);_("$"* "-"??_);_(@_)</c:formatCode>
                <c:ptCount val="2"/>
                <c:pt idx="0">
                  <c:v>0</c:v>
                </c:pt>
                <c:pt idx="1">
                  <c:v>111250</c:v>
                </c:pt>
              </c:numCache>
            </c:numRef>
          </c:val>
          <c:extLst>
            <c:ext xmlns:c16="http://schemas.microsoft.com/office/drawing/2014/chart" uri="{C3380CC4-5D6E-409C-BE32-E72D297353CC}">
              <c16:uniqueId val="{00000001-7CDB-4DE8-BB07-585521619FF1}"/>
            </c:ext>
          </c:extLst>
        </c:ser>
        <c:ser>
          <c:idx val="2"/>
          <c:order val="2"/>
          <c:tx>
            <c:strRef>
              <c:f>Summary!$A$93</c:f>
              <c:strCache>
                <c:ptCount val="1"/>
                <c:pt idx="0">
                  <c:v>Fuel</c:v>
                </c:pt>
              </c:strCache>
            </c:strRef>
          </c:tx>
          <c:spPr>
            <a:solidFill>
              <a:schemeClr val="accent3"/>
            </a:solidFill>
            <a:ln>
              <a:noFill/>
            </a:ln>
            <a:effectLst/>
            <a:sp3d/>
          </c:spPr>
          <c:invertIfNegative val="0"/>
          <c:cat>
            <c:strRef>
              <c:f>Summary!$B$90:$C$90</c:f>
              <c:strCache>
                <c:ptCount val="2"/>
                <c:pt idx="0">
                  <c:v>Diesel (B5)</c:v>
                </c:pt>
                <c:pt idx="1">
                  <c:v>Battery Electric</c:v>
                </c:pt>
              </c:strCache>
            </c:strRef>
          </c:cat>
          <c:val>
            <c:numRef>
              <c:f>Summary!$B$93:$C$93</c:f>
              <c:numCache>
                <c:formatCode>_("$"* #,##0_);_("$"* \(#,##0\);_("$"* "-"??_);_(@_)</c:formatCode>
                <c:ptCount val="2"/>
                <c:pt idx="0">
                  <c:v>538167.31848691287</c:v>
                </c:pt>
                <c:pt idx="1">
                  <c:v>-141224.30742224466</c:v>
                </c:pt>
              </c:numCache>
            </c:numRef>
          </c:val>
          <c:extLst>
            <c:ext xmlns:c16="http://schemas.microsoft.com/office/drawing/2014/chart" uri="{C3380CC4-5D6E-409C-BE32-E72D297353CC}">
              <c16:uniqueId val="{00000002-7CDB-4DE8-BB07-585521619FF1}"/>
            </c:ext>
          </c:extLst>
        </c:ser>
        <c:ser>
          <c:idx val="3"/>
          <c:order val="3"/>
          <c:tx>
            <c:strRef>
              <c:f>Summary!$A$94</c:f>
              <c:strCache>
                <c:ptCount val="1"/>
                <c:pt idx="0">
                  <c:v>Maintenance</c:v>
                </c:pt>
              </c:strCache>
            </c:strRef>
          </c:tx>
          <c:spPr>
            <a:solidFill>
              <a:schemeClr val="accent4"/>
            </a:solidFill>
            <a:ln>
              <a:noFill/>
            </a:ln>
            <a:effectLst/>
            <a:sp3d/>
          </c:spPr>
          <c:invertIfNegative val="0"/>
          <c:cat>
            <c:strRef>
              <c:f>Summary!$B$90:$C$90</c:f>
              <c:strCache>
                <c:ptCount val="2"/>
                <c:pt idx="0">
                  <c:v>Diesel (B5)</c:v>
                </c:pt>
                <c:pt idx="1">
                  <c:v>Battery Electric</c:v>
                </c:pt>
              </c:strCache>
            </c:strRef>
          </c:cat>
          <c:val>
            <c:numRef>
              <c:f>Summary!$B$94:$C$94</c:f>
              <c:numCache>
                <c:formatCode>_("$"* #,##0_);_("$"* \(#,##0\);_("$"* "-"??_);_(@_)</c:formatCode>
                <c:ptCount val="2"/>
                <c:pt idx="0">
                  <c:v>651594.66811817093</c:v>
                </c:pt>
                <c:pt idx="1">
                  <c:v>575443.6803212649</c:v>
                </c:pt>
              </c:numCache>
            </c:numRef>
          </c:val>
          <c:extLst>
            <c:ext xmlns:c16="http://schemas.microsoft.com/office/drawing/2014/chart" uri="{C3380CC4-5D6E-409C-BE32-E72D297353CC}">
              <c16:uniqueId val="{00000003-7CDB-4DE8-BB07-585521619FF1}"/>
            </c:ext>
          </c:extLst>
        </c:ser>
        <c:ser>
          <c:idx val="4"/>
          <c:order val="4"/>
          <c:tx>
            <c:strRef>
              <c:f>Summary!$A$95</c:f>
              <c:strCache>
                <c:ptCount val="1"/>
                <c:pt idx="0">
                  <c:v>Social Costs</c:v>
                </c:pt>
              </c:strCache>
            </c:strRef>
          </c:tx>
          <c:spPr>
            <a:solidFill>
              <a:schemeClr val="accent5"/>
            </a:solidFill>
            <a:ln>
              <a:noFill/>
            </a:ln>
            <a:effectLst/>
            <a:sp3d/>
          </c:spPr>
          <c:invertIfNegative val="0"/>
          <c:cat>
            <c:strRef>
              <c:f>Summary!$B$90:$C$90</c:f>
              <c:strCache>
                <c:ptCount val="2"/>
                <c:pt idx="0">
                  <c:v>Diesel (B5)</c:v>
                </c:pt>
                <c:pt idx="1">
                  <c:v>Battery Electric</c:v>
                </c:pt>
              </c:strCache>
            </c:strRef>
          </c:cat>
          <c:val>
            <c:numRef>
              <c:f>Summary!$B$95:$C$95</c:f>
              <c:numCache>
                <c:formatCode>_("$"* #,##0_);_("$"* \(#,##0\);_("$"* "-"??_);_(@_)</c:formatCode>
                <c:ptCount val="2"/>
                <c:pt idx="0">
                  <c:v>41901.269444084479</c:v>
                </c:pt>
                <c:pt idx="1">
                  <c:v>1900.6591620897107</c:v>
                </c:pt>
              </c:numCache>
            </c:numRef>
          </c:val>
          <c:extLst>
            <c:ext xmlns:c16="http://schemas.microsoft.com/office/drawing/2014/chart" uri="{C3380CC4-5D6E-409C-BE32-E72D297353CC}">
              <c16:uniqueId val="{00000004-7CDB-4DE8-BB07-585521619FF1}"/>
            </c:ext>
          </c:extLst>
        </c:ser>
        <c:dLbls>
          <c:showLegendKey val="0"/>
          <c:showVal val="0"/>
          <c:showCatName val="0"/>
          <c:showSerName val="0"/>
          <c:showPercent val="0"/>
          <c:showBubbleSize val="0"/>
        </c:dLbls>
        <c:gapWidth val="150"/>
        <c:shape val="box"/>
        <c:axId val="298996383"/>
        <c:axId val="199906623"/>
        <c:axId val="0"/>
      </c:bar3DChart>
      <c:catAx>
        <c:axId val="2989963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906623"/>
        <c:crosses val="autoZero"/>
        <c:auto val="1"/>
        <c:lblAlgn val="ctr"/>
        <c:lblOffset val="100"/>
        <c:noMultiLvlLbl val="0"/>
      </c:catAx>
      <c:valAx>
        <c:axId val="19990662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8996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Social</a:t>
            </a:r>
            <a:r>
              <a:rPr lang="en-US" baseline="0"/>
              <a:t> Costs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Summary!$M$115</c:f>
              <c:strCache>
                <c:ptCount val="1"/>
              </c:strCache>
            </c:strRef>
          </c:tx>
          <c:spPr>
            <a:ln w="28575" cap="rnd">
              <a:solidFill>
                <a:schemeClr val="accent1"/>
              </a:solidFill>
              <a:round/>
            </a:ln>
            <a:effectLst/>
          </c:spPr>
          <c:marker>
            <c:symbol val="none"/>
          </c:marker>
          <c:cat>
            <c:numRef>
              <c:f>Summary!$L$116:$L$130</c:f>
              <c:numCache>
                <c:formatCode>General</c:formatCode>
                <c:ptCount val="15"/>
              </c:numCache>
            </c:numRef>
          </c:cat>
          <c:val>
            <c:numRef>
              <c:f>Summary!$M$116:$M$130</c:f>
              <c:numCache>
                <c:formatCode>_("$"* #,##0_);_("$"* \(#,##0\);_("$"* "-"??_);_(@_)</c:formatCode>
                <c:ptCount val="15"/>
              </c:numCache>
            </c:numRef>
          </c:val>
          <c:smooth val="0"/>
          <c:extLst>
            <c:ext xmlns:c16="http://schemas.microsoft.com/office/drawing/2014/chart" uri="{C3380CC4-5D6E-409C-BE32-E72D297353CC}">
              <c16:uniqueId val="{00000000-3869-4B52-932D-43A5268C16EA}"/>
            </c:ext>
          </c:extLst>
        </c:ser>
        <c:ser>
          <c:idx val="1"/>
          <c:order val="1"/>
          <c:tx>
            <c:strRef>
              <c:f>Summary!$N$115</c:f>
              <c:strCache>
                <c:ptCount val="1"/>
              </c:strCache>
            </c:strRef>
          </c:tx>
          <c:spPr>
            <a:ln w="28575" cap="rnd">
              <a:solidFill>
                <a:schemeClr val="accent2"/>
              </a:solidFill>
              <a:round/>
            </a:ln>
            <a:effectLst/>
          </c:spPr>
          <c:marker>
            <c:symbol val="none"/>
          </c:marker>
          <c:cat>
            <c:numRef>
              <c:f>Summary!$L$116:$L$130</c:f>
              <c:numCache>
                <c:formatCode>General</c:formatCode>
                <c:ptCount val="15"/>
              </c:numCache>
            </c:numRef>
          </c:cat>
          <c:val>
            <c:numRef>
              <c:f>Summary!$N$116:$N$130</c:f>
              <c:numCache>
                <c:formatCode>_("$"* #,##0_);_("$"* \(#,##0\);_("$"* "-"??_);_(@_)</c:formatCode>
                <c:ptCount val="15"/>
              </c:numCache>
            </c:numRef>
          </c:val>
          <c:smooth val="0"/>
          <c:extLst>
            <c:ext xmlns:c16="http://schemas.microsoft.com/office/drawing/2014/chart" uri="{C3380CC4-5D6E-409C-BE32-E72D297353CC}">
              <c16:uniqueId val="{00000001-3869-4B52-932D-43A5268C16EA}"/>
            </c:ext>
          </c:extLst>
        </c:ser>
        <c:dLbls>
          <c:showLegendKey val="0"/>
          <c:showVal val="0"/>
          <c:showCatName val="0"/>
          <c:showSerName val="0"/>
          <c:showPercent val="0"/>
          <c:showBubbleSize val="0"/>
        </c:dLbls>
        <c:smooth val="0"/>
        <c:axId val="1812809071"/>
        <c:axId val="2028475167"/>
      </c:lineChart>
      <c:catAx>
        <c:axId val="181280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475167"/>
        <c:crosses val="autoZero"/>
        <c:auto val="1"/>
        <c:lblAlgn val="ctr"/>
        <c:lblOffset val="100"/>
        <c:noMultiLvlLbl val="0"/>
      </c:catAx>
      <c:valAx>
        <c:axId val="20284751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280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Cumulative Costs (year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22770703800084"/>
          <c:y val="8.1658915987203359E-2"/>
          <c:w val="0.87066287916410079"/>
          <c:h val="0.80646816938045807"/>
        </c:manualLayout>
      </c:layout>
      <c:lineChart>
        <c:grouping val="standard"/>
        <c:varyColors val="0"/>
        <c:ser>
          <c:idx val="0"/>
          <c:order val="0"/>
          <c:tx>
            <c:strRef>
              <c:f>Summary!$F$5</c:f>
              <c:strCache>
                <c:ptCount val="1"/>
                <c:pt idx="0">
                  <c:v>Diesel (B5)</c:v>
                </c:pt>
              </c:strCache>
            </c:strRef>
          </c:tx>
          <c:spPr>
            <a:ln w="28575" cap="rnd">
              <a:solidFill>
                <a:schemeClr val="accent1"/>
              </a:solidFill>
              <a:round/>
            </a:ln>
            <a:effectLst/>
          </c:spPr>
          <c:marker>
            <c:symbol val="none"/>
          </c:marker>
          <c:cat>
            <c:strRef>
              <c:f>Summary!$E$6:$E$20</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Summary!$F$6:$F$20</c:f>
              <c:numCache>
                <c:formatCode>_("$"* #,##0_);_("$"* \(#,##0\);_("$"* "-"??_);_(@_)</c:formatCode>
                <c:ptCount val="15"/>
                <c:pt idx="0">
                  <c:v>517174.10858179582</c:v>
                </c:pt>
                <c:pt idx="1">
                  <c:v>580397.53563597938</c:v>
                </c:pt>
                <c:pt idx="2">
                  <c:v>647202.13368809444</c:v>
                </c:pt>
                <c:pt idx="3">
                  <c:v>716437.34303819539</c:v>
                </c:pt>
                <c:pt idx="4">
                  <c:v>788018.31141756265</c:v>
                </c:pt>
                <c:pt idx="5">
                  <c:v>862013.88898478565</c:v>
                </c:pt>
                <c:pt idx="6">
                  <c:v>938485.73958260403</c:v>
                </c:pt>
                <c:pt idx="7">
                  <c:v>1017537.1955399496</c:v>
                </c:pt>
                <c:pt idx="8">
                  <c:v>1098993.778201578</c:v>
                </c:pt>
                <c:pt idx="9">
                  <c:v>1183815.7014284634</c:v>
                </c:pt>
                <c:pt idx="10">
                  <c:v>1271204.9222874825</c:v>
                </c:pt>
                <c:pt idx="11">
                  <c:v>1361277.6070859735</c:v>
                </c:pt>
                <c:pt idx="12">
                  <c:v>1453772.6429859113</c:v>
                </c:pt>
                <c:pt idx="13">
                  <c:v>1548652.3548964451</c:v>
                </c:pt>
                <c:pt idx="14">
                  <c:v>1646011.9866050838</c:v>
                </c:pt>
              </c:numCache>
            </c:numRef>
          </c:val>
          <c:smooth val="0"/>
          <c:extLst>
            <c:ext xmlns:c16="http://schemas.microsoft.com/office/drawing/2014/chart" uri="{C3380CC4-5D6E-409C-BE32-E72D297353CC}">
              <c16:uniqueId val="{00000000-BA56-451E-B67D-D8F11708B587}"/>
            </c:ext>
          </c:extLst>
        </c:ser>
        <c:ser>
          <c:idx val="1"/>
          <c:order val="1"/>
          <c:tx>
            <c:strRef>
              <c:f>Summary!$G$5</c:f>
              <c:strCache>
                <c:ptCount val="1"/>
                <c:pt idx="0">
                  <c:v>Battery Electric</c:v>
                </c:pt>
              </c:strCache>
            </c:strRef>
          </c:tx>
          <c:spPr>
            <a:ln w="28575" cap="rnd">
              <a:solidFill>
                <a:schemeClr val="accent2"/>
              </a:solidFill>
              <a:round/>
            </a:ln>
            <a:effectLst/>
          </c:spPr>
          <c:marker>
            <c:symbol val="none"/>
          </c:marker>
          <c:cat>
            <c:strRef>
              <c:f>Summary!$E$6:$E$20</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Summary!$G$6:$G$20</c:f>
              <c:numCache>
                <c:formatCode>_("$"* #,##0_);_("$"* \(#,##0\);_("$"* "-"??_);_(@_)</c:formatCode>
                <c:ptCount val="15"/>
                <c:pt idx="0">
                  <c:v>1130542.4077034921</c:v>
                </c:pt>
                <c:pt idx="1">
                  <c:v>1150915.3936923884</c:v>
                </c:pt>
                <c:pt idx="2">
                  <c:v>1172465.469847</c:v>
                </c:pt>
                <c:pt idx="3">
                  <c:v>1195335.6974771875</c:v>
                </c:pt>
                <c:pt idx="4">
                  <c:v>1220014.9630179117</c:v>
                </c:pt>
                <c:pt idx="5">
                  <c:v>1246063.5904641941</c:v>
                </c:pt>
                <c:pt idx="6">
                  <c:v>1273477.2726862691</c:v>
                </c:pt>
                <c:pt idx="7">
                  <c:v>1302299.4210893724</c:v>
                </c:pt>
                <c:pt idx="8">
                  <c:v>1332589.3754025933</c:v>
                </c:pt>
                <c:pt idx="9">
                  <c:v>1364265.7226627918</c:v>
                </c:pt>
                <c:pt idx="10">
                  <c:v>1397465.8630035182</c:v>
                </c:pt>
                <c:pt idx="11">
                  <c:v>1432121.1454643651</c:v>
                </c:pt>
                <c:pt idx="12">
                  <c:v>1468385.4977554684</c:v>
                </c:pt>
                <c:pt idx="13">
                  <c:v>1506190.5400393347</c:v>
                </c:pt>
                <c:pt idx="14">
                  <c:v>1545469.3728990199</c:v>
                </c:pt>
              </c:numCache>
            </c:numRef>
          </c:val>
          <c:smooth val="0"/>
          <c:extLst>
            <c:ext xmlns:c16="http://schemas.microsoft.com/office/drawing/2014/chart" uri="{C3380CC4-5D6E-409C-BE32-E72D297353CC}">
              <c16:uniqueId val="{00000002-BA56-451E-B67D-D8F11708B587}"/>
            </c:ext>
          </c:extLst>
        </c:ser>
        <c:dLbls>
          <c:showLegendKey val="0"/>
          <c:showVal val="0"/>
          <c:showCatName val="0"/>
          <c:showSerName val="0"/>
          <c:showPercent val="0"/>
          <c:showBubbleSize val="0"/>
        </c:dLbls>
        <c:smooth val="0"/>
        <c:axId val="762980960"/>
        <c:axId val="910358144"/>
      </c:lineChart>
      <c:catAx>
        <c:axId val="76298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358144"/>
        <c:crosses val="autoZero"/>
        <c:auto val="1"/>
        <c:lblAlgn val="ctr"/>
        <c:lblOffset val="100"/>
        <c:noMultiLvlLbl val="0"/>
      </c:catAx>
      <c:valAx>
        <c:axId val="9103581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2980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Social</a:t>
            </a:r>
            <a:r>
              <a:rPr lang="en-US" baseline="0"/>
              <a:t> Costs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Summary!$M$115</c:f>
              <c:strCache>
                <c:ptCount val="1"/>
              </c:strCache>
            </c:strRef>
          </c:tx>
          <c:spPr>
            <a:ln w="28575" cap="rnd">
              <a:solidFill>
                <a:schemeClr val="accent1"/>
              </a:solidFill>
              <a:round/>
            </a:ln>
            <a:effectLst/>
          </c:spPr>
          <c:marker>
            <c:symbol val="none"/>
          </c:marker>
          <c:cat>
            <c:numRef>
              <c:f>Summary!$L$116:$L$130</c:f>
              <c:numCache>
                <c:formatCode>General</c:formatCode>
                <c:ptCount val="15"/>
              </c:numCache>
            </c:numRef>
          </c:cat>
          <c:val>
            <c:numRef>
              <c:f>Summary!$M$116:$M$130</c:f>
              <c:numCache>
                <c:formatCode>_("$"* #,##0_);_("$"* \(#,##0\);_("$"* "-"??_);_(@_)</c:formatCode>
                <c:ptCount val="15"/>
              </c:numCache>
            </c:numRef>
          </c:val>
          <c:smooth val="0"/>
          <c:extLst>
            <c:ext xmlns:c16="http://schemas.microsoft.com/office/drawing/2014/chart" uri="{C3380CC4-5D6E-409C-BE32-E72D297353CC}">
              <c16:uniqueId val="{00000000-4BAC-4857-9B59-C8F19B94609A}"/>
            </c:ext>
          </c:extLst>
        </c:ser>
        <c:ser>
          <c:idx val="1"/>
          <c:order val="1"/>
          <c:tx>
            <c:strRef>
              <c:f>Summary!$N$115</c:f>
              <c:strCache>
                <c:ptCount val="1"/>
              </c:strCache>
            </c:strRef>
          </c:tx>
          <c:spPr>
            <a:ln w="28575" cap="rnd">
              <a:solidFill>
                <a:schemeClr val="accent2"/>
              </a:solidFill>
              <a:round/>
            </a:ln>
            <a:effectLst/>
          </c:spPr>
          <c:marker>
            <c:symbol val="none"/>
          </c:marker>
          <c:cat>
            <c:numRef>
              <c:f>Summary!$L$116:$L$130</c:f>
              <c:numCache>
                <c:formatCode>General</c:formatCode>
                <c:ptCount val="15"/>
              </c:numCache>
            </c:numRef>
          </c:cat>
          <c:val>
            <c:numRef>
              <c:f>Summary!$N$116:$N$130</c:f>
              <c:numCache>
                <c:formatCode>_("$"* #,##0_);_("$"* \(#,##0\);_("$"* "-"??_);_(@_)</c:formatCode>
                <c:ptCount val="15"/>
              </c:numCache>
            </c:numRef>
          </c:val>
          <c:smooth val="0"/>
          <c:extLst>
            <c:ext xmlns:c16="http://schemas.microsoft.com/office/drawing/2014/chart" uri="{C3380CC4-5D6E-409C-BE32-E72D297353CC}">
              <c16:uniqueId val="{00000001-4BAC-4857-9B59-C8F19B94609A}"/>
            </c:ext>
          </c:extLst>
        </c:ser>
        <c:dLbls>
          <c:showLegendKey val="0"/>
          <c:showVal val="0"/>
          <c:showCatName val="0"/>
          <c:showSerName val="0"/>
          <c:showPercent val="0"/>
          <c:showBubbleSize val="0"/>
        </c:dLbls>
        <c:smooth val="0"/>
        <c:axId val="1812809071"/>
        <c:axId val="2028475167"/>
      </c:lineChart>
      <c:catAx>
        <c:axId val="181280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475167"/>
        <c:crosses val="autoZero"/>
        <c:auto val="1"/>
        <c:lblAlgn val="ctr"/>
        <c:lblOffset val="100"/>
        <c:noMultiLvlLbl val="0"/>
      </c:catAx>
      <c:valAx>
        <c:axId val="20284751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280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Cumulative Total </a:t>
            </a:r>
            <a:r>
              <a:rPr lang="en-US" sz="1600" b="1"/>
              <a:t>Costs</a:t>
            </a:r>
            <a:r>
              <a:rPr lang="en-US" b="1"/>
              <a:t> Including Social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036031113502383"/>
          <c:y val="0.10156951825622314"/>
          <c:w val="0.84877247930232713"/>
          <c:h val="0.65274858790407719"/>
        </c:manualLayout>
      </c:layout>
      <c:lineChart>
        <c:grouping val="standard"/>
        <c:varyColors val="0"/>
        <c:ser>
          <c:idx val="0"/>
          <c:order val="0"/>
          <c:tx>
            <c:strRef>
              <c:f>Summary!$R$5</c:f>
              <c:strCache>
                <c:ptCount val="1"/>
                <c:pt idx="0">
                  <c:v>Diesel (B5)</c:v>
                </c:pt>
              </c:strCache>
            </c:strRef>
          </c:tx>
          <c:spPr>
            <a:ln w="28575" cap="rnd">
              <a:solidFill>
                <a:schemeClr val="accent1"/>
              </a:solidFill>
              <a:round/>
            </a:ln>
            <a:effectLst/>
          </c:spPr>
          <c:marker>
            <c:symbol val="none"/>
          </c:marker>
          <c:cat>
            <c:strRef>
              <c:f>Summary!$Q$6:$Q$20</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Summary!$R$6:$R$20</c:f>
              <c:numCache>
                <c:formatCode>_("$"* #,##0_);_("$"* \(#,##0\);_("$"* "-"??_);_(@_)</c:formatCode>
                <c:ptCount val="15"/>
                <c:pt idx="0">
                  <c:v>519527.84971094952</c:v>
                </c:pt>
                <c:pt idx="1">
                  <c:v>585161.50768138643</c:v>
                </c:pt>
                <c:pt idx="2">
                  <c:v>654434.18219174491</c:v>
                </c:pt>
                <c:pt idx="3">
                  <c:v>726196.70183508715</c:v>
                </c:pt>
                <c:pt idx="4">
                  <c:v>800365.63595473347</c:v>
                </c:pt>
                <c:pt idx="5">
                  <c:v>877011.29044000222</c:v>
                </c:pt>
                <c:pt idx="6">
                  <c:v>956196.81980189949</c:v>
                </c:pt>
                <c:pt idx="7">
                  <c:v>1038027.0828136618</c:v>
                </c:pt>
                <c:pt idx="8">
                  <c:v>1122329.1638990131</c:v>
                </c:pt>
                <c:pt idx="9">
                  <c:v>1210064.8775117905</c:v>
                </c:pt>
                <c:pt idx="10">
                  <c:v>1300437.8197259633</c:v>
                </c:pt>
                <c:pt idx="11">
                  <c:v>1393565.8351921313</c:v>
                </c:pt>
                <c:pt idx="12">
                  <c:v>1489189.5296957707</c:v>
                </c:pt>
                <c:pt idx="13">
                  <c:v>1587272.9880164948</c:v>
                </c:pt>
                <c:pt idx="14">
                  <c:v>1687913.2560491683</c:v>
                </c:pt>
              </c:numCache>
            </c:numRef>
          </c:val>
          <c:smooth val="0"/>
          <c:extLst>
            <c:ext xmlns:c16="http://schemas.microsoft.com/office/drawing/2014/chart" uri="{C3380CC4-5D6E-409C-BE32-E72D297353CC}">
              <c16:uniqueId val="{00000000-5865-4E3B-A825-0D22522F403D}"/>
            </c:ext>
          </c:extLst>
        </c:ser>
        <c:ser>
          <c:idx val="1"/>
          <c:order val="1"/>
          <c:tx>
            <c:strRef>
              <c:f>Summary!$S$5</c:f>
              <c:strCache>
                <c:ptCount val="1"/>
                <c:pt idx="0">
                  <c:v>Battery Electric</c:v>
                </c:pt>
              </c:strCache>
            </c:strRef>
          </c:tx>
          <c:spPr>
            <a:ln w="28575" cap="rnd">
              <a:solidFill>
                <a:schemeClr val="accent2"/>
              </a:solidFill>
              <a:round/>
            </a:ln>
            <a:effectLst/>
          </c:spPr>
          <c:marker>
            <c:symbol val="none"/>
          </c:marker>
          <c:cat>
            <c:strRef>
              <c:f>Summary!$Q$6:$Q$20</c:f>
              <c:strCache>
                <c:ptCount val="15"/>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strCache>
            </c:strRef>
          </c:cat>
          <c:val>
            <c:numRef>
              <c:f>Summary!$S$6:$S$20</c:f>
              <c:numCache>
                <c:formatCode>_("$"* #,##0_);_("$"* \(#,##0\);_("$"* "-"??_);_(@_)</c:formatCode>
                <c:ptCount val="15"/>
                <c:pt idx="0">
                  <c:v>1130649.1743886466</c:v>
                </c:pt>
                <c:pt idx="1">
                  <c:v>1151131.4894631412</c:v>
                </c:pt>
                <c:pt idx="2">
                  <c:v>1172793.5186014054</c:v>
                </c:pt>
                <c:pt idx="3">
                  <c:v>1195778.3860868532</c:v>
                </c:pt>
                <c:pt idx="4">
                  <c:v>1220575.0428393639</c:v>
                </c:pt>
                <c:pt idx="5">
                  <c:v>1246743.8788865157</c:v>
                </c:pt>
                <c:pt idx="6">
                  <c:v>1274280.6547158812</c:v>
                </c:pt>
                <c:pt idx="7">
                  <c:v>1303228.8509728496</c:v>
                </c:pt>
                <c:pt idx="8">
                  <c:v>1333647.8782884285</c:v>
                </c:pt>
                <c:pt idx="9">
                  <c:v>1365456.3963030418</c:v>
                </c:pt>
                <c:pt idx="10">
                  <c:v>1398791.8794962887</c:v>
                </c:pt>
                <c:pt idx="11">
                  <c:v>1433585.7530381167</c:v>
                </c:pt>
                <c:pt idx="12">
                  <c:v>1469992.0225961446</c:v>
                </c:pt>
                <c:pt idx="13">
                  <c:v>1507942.3881613417</c:v>
                </c:pt>
                <c:pt idx="14">
                  <c:v>1547370.0320611096</c:v>
                </c:pt>
              </c:numCache>
            </c:numRef>
          </c:val>
          <c:smooth val="0"/>
          <c:extLst>
            <c:ext xmlns:c16="http://schemas.microsoft.com/office/drawing/2014/chart" uri="{C3380CC4-5D6E-409C-BE32-E72D297353CC}">
              <c16:uniqueId val="{00000001-5865-4E3B-A825-0D22522F403D}"/>
            </c:ext>
          </c:extLst>
        </c:ser>
        <c:dLbls>
          <c:showLegendKey val="0"/>
          <c:showVal val="0"/>
          <c:showCatName val="0"/>
          <c:showSerName val="0"/>
          <c:showPercent val="0"/>
          <c:showBubbleSize val="0"/>
        </c:dLbls>
        <c:smooth val="0"/>
        <c:axId val="1317585839"/>
        <c:axId val="1663385679"/>
      </c:lineChart>
      <c:catAx>
        <c:axId val="131758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63385679"/>
        <c:crosses val="autoZero"/>
        <c:auto val="1"/>
        <c:lblAlgn val="ctr"/>
        <c:lblOffset val="100"/>
        <c:noMultiLvlLbl val="0"/>
      </c:catAx>
      <c:valAx>
        <c:axId val="166338567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317585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Header>&amp;L&amp;G</c:oddHeader>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Annual GHG Emissions Reductions </a:t>
            </a:r>
          </a:p>
          <a:p>
            <a:pPr>
              <a:defRPr/>
            </a:pPr>
            <a:r>
              <a:rPr lang="en-US"/>
              <a:t>(MT CO2e) by Fuel Type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dLbl>
              <c:idx val="8"/>
              <c:layout>
                <c:manualLayout>
                  <c:x val="0"/>
                  <c:y val="5.75695352568561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C-484B-8140-601E8D21A2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Footprint'!$B$5:$B$13</c:f>
              <c:strCache>
                <c:ptCount val="9"/>
                <c:pt idx="0">
                  <c:v>Diesel B5 </c:v>
                </c:pt>
                <c:pt idx="1">
                  <c:v>B20</c:v>
                </c:pt>
                <c:pt idx="2">
                  <c:v>R20</c:v>
                </c:pt>
                <c:pt idx="3">
                  <c:v>R99</c:v>
                </c:pt>
                <c:pt idx="4">
                  <c:v>LPG</c:v>
                </c:pt>
                <c:pt idx="5">
                  <c:v>Electric</c:v>
                </c:pt>
                <c:pt idx="6">
                  <c:v>CNG</c:v>
                </c:pt>
                <c:pt idx="7">
                  <c:v>RNG</c:v>
                </c:pt>
                <c:pt idx="8">
                  <c:v>Gasoline</c:v>
                </c:pt>
              </c:strCache>
            </c:strRef>
          </c:cat>
          <c:val>
            <c:numRef>
              <c:f>'Fleet Carbon Footprint'!$E$5:$E$13</c:f>
              <c:numCache>
                <c:formatCode>0</c:formatCode>
                <c:ptCount val="9"/>
                <c:pt idx="0" formatCode="General">
                  <c:v>0</c:v>
                </c:pt>
                <c:pt idx="1">
                  <c:v>13.8690889591104</c:v>
                </c:pt>
                <c:pt idx="2">
                  <c:v>16.482105719522508</c:v>
                </c:pt>
                <c:pt idx="3">
                  <c:v>87.887813730014841</c:v>
                </c:pt>
                <c:pt idx="4">
                  <c:v>16.652147094562082</c:v>
                </c:pt>
                <c:pt idx="5">
                  <c:v>143.57605810309312</c:v>
                </c:pt>
                <c:pt idx="6">
                  <c:v>11.414914319238335</c:v>
                </c:pt>
                <c:pt idx="7">
                  <c:v>92.499451890492807</c:v>
                </c:pt>
                <c:pt idx="8">
                  <c:v>7.3693194824212469</c:v>
                </c:pt>
              </c:numCache>
            </c:numRef>
          </c:val>
          <c:extLst>
            <c:ext xmlns:c16="http://schemas.microsoft.com/office/drawing/2014/chart" uri="{C3380CC4-5D6E-409C-BE32-E72D297353CC}">
              <c16:uniqueId val="{00000001-B273-4D55-84B6-FD67C498E555}"/>
            </c:ext>
          </c:extLst>
        </c:ser>
        <c:dLbls>
          <c:dLblPos val="inEnd"/>
          <c:showLegendKey val="0"/>
          <c:showVal val="1"/>
          <c:showCatName val="0"/>
          <c:showSerName val="0"/>
          <c:showPercent val="0"/>
          <c:showBubbleSize val="0"/>
        </c:dLbls>
        <c:gapWidth val="41"/>
        <c:axId val="588870655"/>
        <c:axId val="607582463"/>
      </c:barChart>
      <c:catAx>
        <c:axId val="58887065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07582463"/>
        <c:crosses val="autoZero"/>
        <c:auto val="1"/>
        <c:lblAlgn val="ctr"/>
        <c:lblOffset val="100"/>
        <c:noMultiLvlLbl val="0"/>
      </c:catAx>
      <c:valAx>
        <c:axId val="607582463"/>
        <c:scaling>
          <c:orientation val="minMax"/>
        </c:scaling>
        <c:delete val="1"/>
        <c:axPos val="l"/>
        <c:numFmt formatCode="General" sourceLinked="1"/>
        <c:majorTickMark val="none"/>
        <c:minorTickMark val="none"/>
        <c:tickLblPos val="nextTo"/>
        <c:crossAx val="58887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15 Year Cumulative GHG Emissions (MT CO2e) by Fuel Type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'Fleet Carbon Footprint'!$B$19:$B$27</c:f>
              <c:strCache>
                <c:ptCount val="9"/>
                <c:pt idx="0">
                  <c:v>Diesel B5 </c:v>
                </c:pt>
                <c:pt idx="1">
                  <c:v>B20</c:v>
                </c:pt>
                <c:pt idx="2">
                  <c:v>R20</c:v>
                </c:pt>
                <c:pt idx="3">
                  <c:v>R99</c:v>
                </c:pt>
                <c:pt idx="4">
                  <c:v>LPG</c:v>
                </c:pt>
                <c:pt idx="5">
                  <c:v>Battery Electric</c:v>
                </c:pt>
                <c:pt idx="6">
                  <c:v>CNG</c:v>
                </c:pt>
                <c:pt idx="7">
                  <c:v>RNG</c:v>
                </c:pt>
                <c:pt idx="8">
                  <c:v>Gasoline</c:v>
                </c:pt>
              </c:strCache>
            </c:strRef>
          </c:cat>
          <c:val>
            <c:numRef>
              <c:f>'Fleet Carbon Footprint'!$C$19:$C$27</c:f>
              <c:numCache>
                <c:formatCode>0</c:formatCode>
                <c:ptCount val="9"/>
                <c:pt idx="0">
                  <c:v>2182.1202465556858</c:v>
                </c:pt>
                <c:pt idx="1">
                  <c:v>1974.0839121690296</c:v>
                </c:pt>
                <c:pt idx="2">
                  <c:v>1934.8886607628481</c:v>
                </c:pt>
                <c:pt idx="3">
                  <c:v>863.80304060546314</c:v>
                </c:pt>
                <c:pt idx="4">
                  <c:v>1932.3380401372544</c:v>
                </c:pt>
                <c:pt idx="5">
                  <c:v>28.479375009288763</c:v>
                </c:pt>
                <c:pt idx="6">
                  <c:v>2010.8965317671107</c:v>
                </c:pt>
                <c:pt idx="7">
                  <c:v>794.6284681982936</c:v>
                </c:pt>
                <c:pt idx="8">
                  <c:v>2071.5804543193672</c:v>
                </c:pt>
              </c:numCache>
            </c:numRef>
          </c:val>
          <c:extLst>
            <c:ext xmlns:c16="http://schemas.microsoft.com/office/drawing/2014/chart" uri="{C3380CC4-5D6E-409C-BE32-E72D297353CC}">
              <c16:uniqueId val="{00000000-E2C4-4167-A7C7-53C9A9AE62FF}"/>
            </c:ext>
          </c:extLst>
        </c:ser>
        <c:dLbls>
          <c:dLblPos val="inEnd"/>
          <c:showLegendKey val="0"/>
          <c:showVal val="1"/>
          <c:showCatName val="0"/>
          <c:showSerName val="0"/>
          <c:showPercent val="0"/>
          <c:showBubbleSize val="0"/>
        </c:dLbls>
        <c:gapWidth val="41"/>
        <c:axId val="612693599"/>
        <c:axId val="697501679"/>
      </c:barChart>
      <c:catAx>
        <c:axId val="6126935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697501679"/>
        <c:crosses val="autoZero"/>
        <c:auto val="1"/>
        <c:lblAlgn val="ctr"/>
        <c:lblOffset val="100"/>
        <c:noMultiLvlLbl val="0"/>
      </c:catAx>
      <c:valAx>
        <c:axId val="697501679"/>
        <c:scaling>
          <c:orientation val="minMax"/>
        </c:scaling>
        <c:delete val="1"/>
        <c:axPos val="l"/>
        <c:numFmt formatCode="0" sourceLinked="1"/>
        <c:majorTickMark val="none"/>
        <c:minorTickMark val="none"/>
        <c:tickLblPos val="nextTo"/>
        <c:crossAx val="6126935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452</xdr:colOff>
      <xdr:row>96</xdr:row>
      <xdr:rowOff>571046</xdr:rowOff>
    </xdr:from>
    <xdr:to>
      <xdr:col>9</xdr:col>
      <xdr:colOff>1286329</xdr:colOff>
      <xdr:row>114</xdr:row>
      <xdr:rowOff>40822</xdr:rowOff>
    </xdr:to>
    <xdr:graphicFrame macro="">
      <xdr:nvGraphicFramePr>
        <xdr:cNvPr id="6" name="Chart 5">
          <a:extLst>
            <a:ext uri="{FF2B5EF4-FFF2-40B4-BE49-F238E27FC236}">
              <a16:creationId xmlns:a16="http://schemas.microsoft.com/office/drawing/2014/main" id="{143C288B-A8F7-498C-B4B8-1EB58A4A99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599620</xdr:colOff>
      <xdr:row>65</xdr:row>
      <xdr:rowOff>270222</xdr:rowOff>
    </xdr:from>
    <xdr:to>
      <xdr:col>10</xdr:col>
      <xdr:colOff>572150</xdr:colOff>
      <xdr:row>78</xdr:row>
      <xdr:rowOff>621142</xdr:rowOff>
    </xdr:to>
    <xdr:graphicFrame macro="">
      <xdr:nvGraphicFramePr>
        <xdr:cNvPr id="3" name="Chart 2">
          <a:extLst>
            <a:ext uri="{FF2B5EF4-FFF2-40B4-BE49-F238E27FC236}">
              <a16:creationId xmlns:a16="http://schemas.microsoft.com/office/drawing/2014/main" id="{759A28BA-8782-4F15-9EA1-0BD3ADBF23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7711</xdr:colOff>
      <xdr:row>80</xdr:row>
      <xdr:rowOff>27214</xdr:rowOff>
    </xdr:from>
    <xdr:to>
      <xdr:col>10</xdr:col>
      <xdr:colOff>381000</xdr:colOff>
      <xdr:row>95</xdr:row>
      <xdr:rowOff>299356</xdr:rowOff>
    </xdr:to>
    <xdr:graphicFrame macro="">
      <xdr:nvGraphicFramePr>
        <xdr:cNvPr id="4" name="Chart 3">
          <a:extLst>
            <a:ext uri="{FF2B5EF4-FFF2-40B4-BE49-F238E27FC236}">
              <a16:creationId xmlns:a16="http://schemas.microsoft.com/office/drawing/2014/main" id="{A7A5CE70-8C3D-42D5-9691-A24F171122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878735</xdr:colOff>
      <xdr:row>79</xdr:row>
      <xdr:rowOff>815926</xdr:rowOff>
    </xdr:from>
    <xdr:to>
      <xdr:col>15</xdr:col>
      <xdr:colOff>585465</xdr:colOff>
      <xdr:row>95</xdr:row>
      <xdr:rowOff>222728</xdr:rowOff>
    </xdr:to>
    <xdr:graphicFrame macro="">
      <xdr:nvGraphicFramePr>
        <xdr:cNvPr id="5" name="Chart 4">
          <a:extLst>
            <a:ext uri="{FF2B5EF4-FFF2-40B4-BE49-F238E27FC236}">
              <a16:creationId xmlns:a16="http://schemas.microsoft.com/office/drawing/2014/main" id="{B2A93426-AB94-4E6C-9268-C9623DBE84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11906</xdr:colOff>
      <xdr:row>2</xdr:row>
      <xdr:rowOff>1</xdr:rowOff>
    </xdr:from>
    <xdr:to>
      <xdr:col>3</xdr:col>
      <xdr:colOff>940594</xdr:colOff>
      <xdr:row>19</xdr:row>
      <xdr:rowOff>261937</xdr:rowOff>
    </xdr:to>
    <xdr:graphicFrame macro="">
      <xdr:nvGraphicFramePr>
        <xdr:cNvPr id="9" name="Chart 8">
          <a:extLst>
            <a:ext uri="{FF2B5EF4-FFF2-40B4-BE49-F238E27FC236}">
              <a16:creationId xmlns:a16="http://schemas.microsoft.com/office/drawing/2014/main" id="{B49C1794-54EA-485E-BEC6-EDC783C2B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902369</xdr:colOff>
      <xdr:row>97</xdr:row>
      <xdr:rowOff>0</xdr:rowOff>
    </xdr:from>
    <xdr:to>
      <xdr:col>15</xdr:col>
      <xdr:colOff>600326</xdr:colOff>
      <xdr:row>112</xdr:row>
      <xdr:rowOff>211413</xdr:rowOff>
    </xdr:to>
    <xdr:graphicFrame macro="">
      <xdr:nvGraphicFramePr>
        <xdr:cNvPr id="11" name="Chart 10">
          <a:extLst>
            <a:ext uri="{FF2B5EF4-FFF2-40B4-BE49-F238E27FC236}">
              <a16:creationId xmlns:a16="http://schemas.microsoft.com/office/drawing/2014/main" id="{0FE12F64-511E-451A-95C3-66AAAEE8F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217715</xdr:colOff>
      <xdr:row>2</xdr:row>
      <xdr:rowOff>27214</xdr:rowOff>
    </xdr:from>
    <xdr:to>
      <xdr:col>14</xdr:col>
      <xdr:colOff>993321</xdr:colOff>
      <xdr:row>19</xdr:row>
      <xdr:rowOff>190499</xdr:rowOff>
    </xdr:to>
    <xdr:graphicFrame macro="">
      <xdr:nvGraphicFramePr>
        <xdr:cNvPr id="12" name="Chart 11">
          <a:extLst>
            <a:ext uri="{FF2B5EF4-FFF2-40B4-BE49-F238E27FC236}">
              <a16:creationId xmlns:a16="http://schemas.microsoft.com/office/drawing/2014/main" id="{85B4307D-6497-4AF0-BE0C-F01329B9FD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22225</xdr:colOff>
      <xdr:row>0</xdr:row>
      <xdr:rowOff>158750</xdr:rowOff>
    </xdr:from>
    <xdr:to>
      <xdr:col>24</xdr:col>
      <xdr:colOff>327025</xdr:colOff>
      <xdr:row>14</xdr:row>
      <xdr:rowOff>139700</xdr:rowOff>
    </xdr:to>
    <xdr:graphicFrame macro="">
      <xdr:nvGraphicFramePr>
        <xdr:cNvPr id="2" name="Chart 1">
          <a:extLst>
            <a:ext uri="{FF2B5EF4-FFF2-40B4-BE49-F238E27FC236}">
              <a16:creationId xmlns:a16="http://schemas.microsoft.com/office/drawing/2014/main" id="{FA536132-39AE-4A60-AF98-D9CCA9320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469900</xdr:colOff>
      <xdr:row>15</xdr:row>
      <xdr:rowOff>187325</xdr:rowOff>
    </xdr:from>
    <xdr:to>
      <xdr:col>16</xdr:col>
      <xdr:colOff>165100</xdr:colOff>
      <xdr:row>30</xdr:row>
      <xdr:rowOff>168275</xdr:rowOff>
    </xdr:to>
    <xdr:graphicFrame macro="">
      <xdr:nvGraphicFramePr>
        <xdr:cNvPr id="3" name="Chart 2">
          <a:extLst>
            <a:ext uri="{FF2B5EF4-FFF2-40B4-BE49-F238E27FC236}">
              <a16:creationId xmlns:a16="http://schemas.microsoft.com/office/drawing/2014/main" id="{90097663-4D10-4FBF-AAF5-5E00175A9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34925</xdr:colOff>
      <xdr:row>15</xdr:row>
      <xdr:rowOff>41275</xdr:rowOff>
    </xdr:from>
    <xdr:to>
      <xdr:col>24</xdr:col>
      <xdr:colOff>339725</xdr:colOff>
      <xdr:row>30</xdr:row>
      <xdr:rowOff>15875</xdr:rowOff>
    </xdr:to>
    <xdr:graphicFrame macro="">
      <xdr:nvGraphicFramePr>
        <xdr:cNvPr id="4" name="Chart 3">
          <a:extLst>
            <a:ext uri="{FF2B5EF4-FFF2-40B4-BE49-F238E27FC236}">
              <a16:creationId xmlns:a16="http://schemas.microsoft.com/office/drawing/2014/main" id="{ABBB558F-E76F-4E41-97B1-896950394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457200</xdr:colOff>
      <xdr:row>0</xdr:row>
      <xdr:rowOff>127000</xdr:rowOff>
    </xdr:from>
    <xdr:to>
      <xdr:col>16</xdr:col>
      <xdr:colOff>152400</xdr:colOff>
      <xdr:row>14</xdr:row>
      <xdr:rowOff>107950</xdr:rowOff>
    </xdr:to>
    <xdr:graphicFrame macro="">
      <xdr:nvGraphicFramePr>
        <xdr:cNvPr id="5" name="Chart 4">
          <a:extLst>
            <a:ext uri="{FF2B5EF4-FFF2-40B4-BE49-F238E27FC236}">
              <a16:creationId xmlns:a16="http://schemas.microsoft.com/office/drawing/2014/main" id="{7F9DA49F-AEB6-417A-88F7-81BD36ECB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104775</xdr:colOff>
      <xdr:row>97</xdr:row>
      <xdr:rowOff>127006</xdr:rowOff>
    </xdr:from>
    <xdr:to>
      <xdr:col>18</xdr:col>
      <xdr:colOff>409575</xdr:colOff>
      <xdr:row>133</xdr:row>
      <xdr:rowOff>57156</xdr:rowOff>
    </xdr:to>
    <xdr:graphicFrame macro="">
      <xdr:nvGraphicFramePr>
        <xdr:cNvPr id="2" name="Chart 1">
          <a:extLst>
            <a:ext uri="{FF2B5EF4-FFF2-40B4-BE49-F238E27FC236}">
              <a16:creationId xmlns:a16="http://schemas.microsoft.com/office/drawing/2014/main" id="{AE0B6F77-69BB-4012-8B5F-FE9D7AD0FD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231775</xdr:colOff>
      <xdr:row>35</xdr:row>
      <xdr:rowOff>165100</xdr:rowOff>
    </xdr:from>
    <xdr:to>
      <xdr:col>18</xdr:col>
      <xdr:colOff>536575</xdr:colOff>
      <xdr:row>56</xdr:row>
      <xdr:rowOff>6350</xdr:rowOff>
    </xdr:to>
    <xdr:graphicFrame macro="">
      <xdr:nvGraphicFramePr>
        <xdr:cNvPr id="3" name="Chart 2">
          <a:extLst>
            <a:ext uri="{FF2B5EF4-FFF2-40B4-BE49-F238E27FC236}">
              <a16:creationId xmlns:a16="http://schemas.microsoft.com/office/drawing/2014/main" id="{4F6F5A17-1D16-4C02-9F65-7A4725BF6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250825</xdr:colOff>
      <xdr:row>154</xdr:row>
      <xdr:rowOff>139700</xdr:rowOff>
    </xdr:from>
    <xdr:to>
      <xdr:col>18</xdr:col>
      <xdr:colOff>555625</xdr:colOff>
      <xdr:row>173</xdr:row>
      <xdr:rowOff>57149</xdr:rowOff>
    </xdr:to>
    <xdr:graphicFrame macro="">
      <xdr:nvGraphicFramePr>
        <xdr:cNvPr id="6" name="Chart 5">
          <a:extLst>
            <a:ext uri="{FF2B5EF4-FFF2-40B4-BE49-F238E27FC236}">
              <a16:creationId xmlns:a16="http://schemas.microsoft.com/office/drawing/2014/main" id="{9CDBA69A-FB20-4046-86B7-77FFE393C5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393700</xdr:colOff>
      <xdr:row>0</xdr:row>
      <xdr:rowOff>44450</xdr:rowOff>
    </xdr:from>
    <xdr:to>
      <xdr:col>1</xdr:col>
      <xdr:colOff>663575</xdr:colOff>
      <xdr:row>3</xdr:row>
      <xdr:rowOff>156013</xdr:rowOff>
    </xdr:to>
    <xdr:pic>
      <xdr:nvPicPr>
        <xdr:cNvPr id="2" name="Picture 1">
          <a:extLst>
            <a:ext uri="{FF2B5EF4-FFF2-40B4-BE49-F238E27FC236}">
              <a16:creationId xmlns:a16="http://schemas.microsoft.com/office/drawing/2014/main" id="{565AB99E-F9DC-4690-9F0B-EC04FBEE2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44450"/>
          <a:ext cx="298450" cy="6830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419839</xdr:colOff>
      <xdr:row>20</xdr:row>
      <xdr:rowOff>9952</xdr:rowOff>
    </xdr:to>
    <xdr:pic>
      <xdr:nvPicPr>
        <xdr:cNvPr id="2" name="Picture 1">
          <a:extLst>
            <a:ext uri="{FF2B5EF4-FFF2-40B4-BE49-F238E27FC236}">
              <a16:creationId xmlns:a16="http://schemas.microsoft.com/office/drawing/2014/main" id="{AF8F2680-0ED3-46D5-9826-4575E83FD381}"/>
            </a:ext>
          </a:extLst>
        </xdr:cNvPr>
        <xdr:cNvPicPr>
          <a:picLocks noChangeAspect="1"/>
        </xdr:cNvPicPr>
      </xdr:nvPicPr>
      <xdr:blipFill>
        <a:blip xmlns:r="http://schemas.openxmlformats.org/officeDocument/2006/relationships" r:embed="rId1"/>
        <a:stretch>
          <a:fillRect/>
        </a:stretch>
      </xdr:blipFill>
      <xdr:spPr>
        <a:xfrm>
          <a:off x="609600" y="762000"/>
          <a:ext cx="5296639" cy="3057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91389C82-0BF3-48F5-9E57-CD8C4F013FBB}"/>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olicy%20Development\@GMT-2020.05.06-01.00.04\Transportation\School%20Bus%20Tool\Calculator%20Tools\V%200.2%20TT%20School%20Version%202020%2002%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quired Inputs &amp;Basic Schedule"/>
      <sheetName val="Inputs"/>
      <sheetName val=" Summary"/>
      <sheetName val="Financial Cost Comparison"/>
      <sheetName val="Lifecycle Cost Comparison"/>
      <sheetName val="CFP Comparison"/>
      <sheetName val="Fleet Carbon Footprint"/>
      <sheetName val="Assumptions"/>
      <sheetName val="Default Data"/>
      <sheetName val="All Fuel Types Calc"/>
      <sheetName val="Forecast Fuel Cost Calculations"/>
      <sheetName val="Inflation Factors"/>
      <sheetName val="Criteria Polutant Data"/>
      <sheetName val="CFP Credit Estimator"/>
      <sheetName val="School Bus Table"/>
      <sheetName val="Fuel Factors"/>
      <sheetName val="Analysis"/>
      <sheetName val="CIs for 2020"/>
      <sheetName val="CPI"/>
      <sheetName val="Bus Price-Infrastructure"/>
      <sheetName val="Sheet1"/>
      <sheetName val="Maint-Fuel mp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Diesel (B5)</v>
          </cell>
        </row>
        <row r="3">
          <cell r="A3" t="str">
            <v>Diesel (B20)</v>
          </cell>
        </row>
        <row r="4">
          <cell r="A4" t="str">
            <v>Diesel (R20)</v>
          </cell>
        </row>
        <row r="5">
          <cell r="A5" t="str">
            <v>Diesel (R99)</v>
          </cell>
        </row>
        <row r="6">
          <cell r="A6" t="str">
            <v>LPG-Propane</v>
          </cell>
        </row>
        <row r="7">
          <cell r="A7" t="str">
            <v>Battery Electric</v>
          </cell>
        </row>
        <row r="8">
          <cell r="A8" t="str">
            <v>CNG-Natural Gas</v>
          </cell>
        </row>
        <row r="9">
          <cell r="A9" t="str">
            <v>RNG-Renewable Natural Gas</v>
          </cell>
          <cell r="H9">
            <v>30303.0303030303</v>
          </cell>
        </row>
        <row r="10">
          <cell r="A10" t="str">
            <v>Gasoline</v>
          </cell>
        </row>
        <row r="11">
          <cell r="A11"/>
        </row>
        <row r="12">
          <cell r="A12"/>
        </row>
      </sheetData>
      <sheetData sheetId="10" refreshError="1"/>
      <sheetData sheetId="11" refreshError="1"/>
      <sheetData sheetId="12" refreshError="1"/>
      <sheetData sheetId="13" refreshError="1"/>
      <sheetData sheetId="14" refreshError="1">
        <row r="169">
          <cell r="L169">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landofsky.org/pdf/LGS/CleanVehicles/MaconCountyPropanePresentation.pdf" TargetMode="External"/><Relationship Id="rId2" Type="http://schemas.openxmlformats.org/officeDocument/2006/relationships/hyperlink" Target="https://stnonline.com/industry-releases/columbia-falls-school-district-six-chooses-propane-school-buses-for-cost-savings-emission-reductions/" TargetMode="External"/><Relationship Id="rId1" Type="http://schemas.openxmlformats.org/officeDocument/2006/relationships/hyperlink" Target="https://www.roushcleantech.com/portfolio/total-cost-ownership-propane-school-buse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secure.sos.state.or.us/oard/displayDivisionRules.action;JSESSIONID_OARD=TWFxYjFHGygOB90CQds-0HFXZvwB3gvTrj6NyJ_po5ps9BdSkw4W!479495115?selectedDivision=1560" TargetMode="External"/><Relationship Id="rId1" Type="http://schemas.openxmlformats.org/officeDocument/2006/relationships/hyperlink" Target="http://arcweb.sos.state.or.us/pages/rules/oars_300/oar_340/340_253.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afdc.energy.gov/files/u/publication/propane_costs.pdf" TargetMode="External"/><Relationship Id="rId13" Type="http://schemas.openxmlformats.org/officeDocument/2006/relationships/hyperlink" Target="https://www.jobmonkey.com/uniquejobs5/school-bus/" TargetMode="External"/><Relationship Id="rId18" Type="http://schemas.openxmlformats.org/officeDocument/2006/relationships/hyperlink" Target="https://www.jones-frank.com/services/repair-maintenance/" TargetMode="External"/><Relationship Id="rId3" Type="http://schemas.openxmlformats.org/officeDocument/2006/relationships/hyperlink" Target="https://thomasbuiltbuses.com/bus-advisor/articles/infrastructure/" TargetMode="External"/><Relationship Id="rId21" Type="http://schemas.openxmlformats.org/officeDocument/2006/relationships/hyperlink" Target="https://www.hindawi.com/journals/jie/2013/278546/" TargetMode="External"/><Relationship Id="rId7" Type="http://schemas.openxmlformats.org/officeDocument/2006/relationships/hyperlink" Target="https://afdc.energy.gov/files/u/publication/propane_costs.pdf" TargetMode="External"/><Relationship Id="rId12" Type="http://schemas.openxmlformats.org/officeDocument/2006/relationships/hyperlink" Target="https://www.jobmonkey.com/uniquejobs5/school-bus/" TargetMode="External"/><Relationship Id="rId17" Type="http://schemas.openxmlformats.org/officeDocument/2006/relationships/hyperlink" Target="https://www.rrpetroservices.com/maintaining-your-gas-station-s-fuel-pumps-and-tanks" TargetMode="External"/><Relationship Id="rId2" Type="http://schemas.openxmlformats.org/officeDocument/2006/relationships/hyperlink" Target="https://www.energy.ca.gov/sites/default/files/2019-05/Cost-Effectiveness.pdf" TargetMode="External"/><Relationship Id="rId16" Type="http://schemas.openxmlformats.org/officeDocument/2006/relationships/hyperlink" Target="https://www.chicagotribune.com/suburbs/hinsdale/ct-dhd-fuel-pumps-tl-0815-20190807-zjcgv6ecifcttle32gmhyswyli-story.html" TargetMode="External"/><Relationship Id="rId20" Type="http://schemas.openxmlformats.org/officeDocument/2006/relationships/hyperlink" Target="https://www.nwo.usace.army.mil/Portals/23/Final%20LCC%20Study%20Report.pdf?ver=2017-09-18-124555-723" TargetMode="External"/><Relationship Id="rId1" Type="http://schemas.openxmlformats.org/officeDocument/2006/relationships/hyperlink" Target="https://www.energy.ca.gov/sites/default/files/2019-05/Cost-Effectiveness.pdf" TargetMode="External"/><Relationship Id="rId6" Type="http://schemas.openxmlformats.org/officeDocument/2006/relationships/hyperlink" Target="https://afdc.energy.gov/files/u/publication/propane_costs.pdf" TargetMode="External"/><Relationship Id="rId11" Type="http://schemas.openxmlformats.org/officeDocument/2006/relationships/hyperlink" Target="https://nccleantech.ncsu.edu/wp-content/uploads/2018/06/Propane-Finance-Models.pdf" TargetMode="External"/><Relationship Id="rId5" Type="http://schemas.openxmlformats.org/officeDocument/2006/relationships/hyperlink" Target="https://afdc.energy.gov/files/u/publication/propane_costs.pdf" TargetMode="External"/><Relationship Id="rId15" Type="http://schemas.openxmlformats.org/officeDocument/2006/relationships/hyperlink" Target="https://www.glassdoor.com/Salaries/school-bus-driver-salary-SRCH_KO0,17.htm" TargetMode="External"/><Relationship Id="rId10" Type="http://schemas.openxmlformats.org/officeDocument/2006/relationships/hyperlink" Target="https://afdc.energy.gov/files/u/publication/propane_costs.pdf" TargetMode="External"/><Relationship Id="rId19" Type="http://schemas.openxmlformats.org/officeDocument/2006/relationships/hyperlink" Target="https://totalenvironmental.net/petroleum-services-environmental-consulting/" TargetMode="External"/><Relationship Id="rId4" Type="http://schemas.openxmlformats.org/officeDocument/2006/relationships/hyperlink" Target="https://thomasbuiltbuses.com/bus-advisor/articles/infrastructure/" TargetMode="External"/><Relationship Id="rId9" Type="http://schemas.openxmlformats.org/officeDocument/2006/relationships/hyperlink" Target="https://afdc.energy.gov/files/u/publication/propane_costs.pdf" TargetMode="External"/><Relationship Id="rId14" Type="http://schemas.openxmlformats.org/officeDocument/2006/relationships/hyperlink" Target="https://www.bls.gov/ooh/transportation-and-material-moving/bus-drivers.htm" TargetMode="External"/><Relationship Id="rId22"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veic.org/docs/resourcelibrary/veic-electric-school-bus-feasibility-study.pdf" TargetMode="External"/><Relationship Id="rId13" Type="http://schemas.openxmlformats.org/officeDocument/2006/relationships/hyperlink" Target="https://www.zizzers.org/cms/lib2/MO01001590/Centricity/Domain/4/Pupil%20Transportation%20Cost%20Outsourcing%20Feasibility%20Study.pdf" TargetMode="External"/><Relationship Id="rId18" Type="http://schemas.openxmlformats.org/officeDocument/2006/relationships/hyperlink" Target="https://www.roushcleantech.com/wp-content/uploads/sites/all/themes/roushcleantech/pdf/Case_Study_Propane_Maintenance_2018_FINAL.pdf" TargetMode="External"/><Relationship Id="rId26" Type="http://schemas.openxmlformats.org/officeDocument/2006/relationships/hyperlink" Target="https://www.energy.ca.gov/sites/default/files/2019-05/Cost-Effectiveness.pdf" TargetMode="External"/><Relationship Id="rId3" Type="http://schemas.openxmlformats.org/officeDocument/2006/relationships/hyperlink" Target="https://aceee.org/files/proceedings/2012/data/papers/0193-000340.pdf" TargetMode="External"/><Relationship Id="rId21" Type="http://schemas.openxmlformats.org/officeDocument/2006/relationships/hyperlink" Target="https://www.energy.ca.gov/sites/default/files/2019-05/Cost-Effectiveness.pdf" TargetMode="External"/><Relationship Id="rId7" Type="http://schemas.openxmlformats.org/officeDocument/2006/relationships/hyperlink" Target="https://www.nrel.gov/docs/fy10osti/47919.pdf" TargetMode="External"/><Relationship Id="rId12" Type="http://schemas.openxmlformats.org/officeDocument/2006/relationships/hyperlink" Target="https://www.schoolbusfleet.com/forum/topic.asp?TOPIC_ID=15713" TargetMode="External"/><Relationship Id="rId17" Type="http://schemas.openxmlformats.org/officeDocument/2006/relationships/hyperlink" Target="https://www.roushcleantech.com/wp-content/uploads/sites/all/themes/roushcleantech/pdf/Case_Study_Propane_Maintenance_2018_FINAL.pdf" TargetMode="External"/><Relationship Id="rId25" Type="http://schemas.openxmlformats.org/officeDocument/2006/relationships/hyperlink" Target="https://www.energy.ca.gov/sites/default/files/2019-05/Cost-Effectiveness.pdf" TargetMode="External"/><Relationship Id="rId2" Type="http://schemas.openxmlformats.org/officeDocument/2006/relationships/hyperlink" Target="https://aceee.org/files/proceedings/2012/data/papers/0193-000340.pdf" TargetMode="External"/><Relationship Id="rId16" Type="http://schemas.openxmlformats.org/officeDocument/2006/relationships/hyperlink" Target="https://www.roushcleantech.com/wp-content/uploads/sites/all/themes/roushcleantech/pdf/Case_Study_Propane_Maintenance_2018_FINAL.pdf" TargetMode="External"/><Relationship Id="rId20" Type="http://schemas.openxmlformats.org/officeDocument/2006/relationships/hyperlink" Target="https://www.energy.ca.gov/sites/default/files/2019-05/Cost-Effectiveness.pdf" TargetMode="External"/><Relationship Id="rId1" Type="http://schemas.openxmlformats.org/officeDocument/2006/relationships/hyperlink" Target="https://afdc.energy.gov/data/10310" TargetMode="External"/><Relationship Id="rId6" Type="http://schemas.openxmlformats.org/officeDocument/2006/relationships/hyperlink" Target="https://bellwethereducation.org/sites/default/files/Bellwether_WVPM-YellowToGreen_FINAL.pdf" TargetMode="External"/><Relationship Id="rId11" Type="http://schemas.openxmlformats.org/officeDocument/2006/relationships/hyperlink" Target="https://www.aasa.org/SchoolAdministratorArticle.aspx?id=7584" TargetMode="External"/><Relationship Id="rId24" Type="http://schemas.openxmlformats.org/officeDocument/2006/relationships/hyperlink" Target="https://bellwethereducation.org/sites/default/files/Bellwether_WVPM-YellowToGreen_FINAL.pdf" TargetMode="External"/><Relationship Id="rId5" Type="http://schemas.openxmlformats.org/officeDocument/2006/relationships/hyperlink" Target="https://www.mass.gov/files/documents/2018/04/30/Mass%20DOER%20EV%20school%20bus%20pilot%20final%20report_.pdf" TargetMode="External"/><Relationship Id="rId15" Type="http://schemas.openxmlformats.org/officeDocument/2006/relationships/hyperlink" Target="https://www.msbo.org/sites/default/files/BusLeasingCost-2011.pdf" TargetMode="External"/><Relationship Id="rId23" Type="http://schemas.openxmlformats.org/officeDocument/2006/relationships/hyperlink" Target="https://www.energy.ca.gov/sites/default/files/2019-05/Cost-Effectiveness.pdf" TargetMode="External"/><Relationship Id="rId10" Type="http://schemas.openxmlformats.org/officeDocument/2006/relationships/hyperlink" Target="https://www.veic.org/docs/resourcelibrary/veic-electric-school-bus-feasibility-study.pdf" TargetMode="External"/><Relationship Id="rId19" Type="http://schemas.openxmlformats.org/officeDocument/2006/relationships/hyperlink" Target="http://alleghany.ss9.sharpschool.com/UserFiles/Servers/Server_8986/File/School%20Board/Agendas/2017-2018/10-16-2017/18-117%20SCHOOL%20BUS%20PER%20MILE%20COST.htm" TargetMode="External"/><Relationship Id="rId4" Type="http://schemas.openxmlformats.org/officeDocument/2006/relationships/hyperlink" Target="https://aceee.org/files/proceedings/2012/data/papers/0193-000340.pdf" TargetMode="External"/><Relationship Id="rId9" Type="http://schemas.openxmlformats.org/officeDocument/2006/relationships/hyperlink" Target="https://www.veic.org/docs/resourcelibrary/veic-electric-school-bus-feasibility-study.pdf" TargetMode="External"/><Relationship Id="rId14" Type="http://schemas.openxmlformats.org/officeDocument/2006/relationships/hyperlink" Target="https://www.msbo.org/sites/default/files/BusLeasingCost-2011.pdf" TargetMode="External"/><Relationship Id="rId22" Type="http://schemas.openxmlformats.org/officeDocument/2006/relationships/hyperlink" Target="https://www.energy.ca.gov/sites/default/files/2019-05/Cost-Effectiveness.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a.gov/benmap/sector-based-pm25-benefit-ton-estimates%20-%20On-road%20Mobile%20Source" TargetMode="External"/><Relationship Id="rId7" Type="http://schemas.openxmlformats.org/officeDocument/2006/relationships/comments" Target="../comments1.xml"/><Relationship Id="rId2" Type="http://schemas.openxmlformats.org/officeDocument/2006/relationships/hyperlink" Target="https://www.epa.gov/benmap/sector-based-pm25-benefit-ton-estimates%20-%20On-road%20Mobile%20Source" TargetMode="External"/><Relationship Id="rId1" Type="http://schemas.openxmlformats.org/officeDocument/2006/relationships/hyperlink" Target="https://www.epa.gov/benmap/sector-based-pm25-benefit-ton-estimates%20-%20On-road%20Mobile%20Source" TargetMode="External"/><Relationship Id="rId6" Type="http://schemas.openxmlformats.org/officeDocument/2006/relationships/vmlDrawing" Target="../drawings/vmlDrawing5.vml"/><Relationship Id="rId5" Type="http://schemas.openxmlformats.org/officeDocument/2006/relationships/printerSettings" Target="../printerSettings/printerSettings9.bin"/><Relationship Id="rId4" Type="http://schemas.openxmlformats.org/officeDocument/2006/relationships/hyperlink" Target="https://19january2017snapshot.epa.gov/sites/production/files/2016-12/documents/sc_co2_tsd_august_2016.pdf"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usinflationcalculator.com/"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C426-D58F-417F-AEFB-DFEA7D36EB3B}">
  <sheetPr codeName="Sheet1">
    <tabColor theme="4" tint="-0.249977111117893"/>
    <pageSetUpPr fitToPage="1"/>
  </sheetPr>
  <dimension ref="A1:F32"/>
  <sheetViews>
    <sheetView showGridLines="0" tabSelected="1" view="pageLayout" zoomScale="60" zoomScaleNormal="100" zoomScalePageLayoutView="60" workbookViewId="0">
      <selection activeCell="A4" sqref="A4:E4"/>
    </sheetView>
  </sheetViews>
  <sheetFormatPr defaultRowHeight="15" x14ac:dyDescent="0.25"/>
  <cols>
    <col min="1" max="1" width="31.85546875" customWidth="1"/>
    <col min="2" max="2" width="25.28515625" customWidth="1"/>
    <col min="3" max="3" width="6.7109375" customWidth="1"/>
    <col min="5" max="5" width="193.85546875" customWidth="1"/>
    <col min="6" max="6" width="21.7109375" customWidth="1"/>
  </cols>
  <sheetData>
    <row r="1" spans="1:6" ht="3" customHeight="1" x14ac:dyDescent="0.25">
      <c r="A1" s="759" t="s">
        <v>835</v>
      </c>
      <c r="B1" s="759"/>
      <c r="C1" s="759"/>
      <c r="D1" s="759"/>
      <c r="E1" s="759"/>
    </row>
    <row r="2" spans="1:6" s="619" customFormat="1" ht="47.25" customHeight="1" x14ac:dyDescent="0.25">
      <c r="A2" s="760"/>
      <c r="B2" s="760"/>
      <c r="C2" s="760"/>
      <c r="D2" s="760"/>
      <c r="E2" s="760"/>
      <c r="F2" s="620"/>
    </row>
    <row r="3" spans="1:6" s="619" customFormat="1" ht="37.5" customHeight="1" x14ac:dyDescent="0.25">
      <c r="A3" s="763" t="s">
        <v>836</v>
      </c>
      <c r="B3" s="764"/>
      <c r="C3" s="764"/>
      <c r="D3" s="764"/>
      <c r="E3" s="764"/>
      <c r="F3" s="620"/>
    </row>
    <row r="4" spans="1:6" s="626" customFormat="1" ht="123.75" customHeight="1" x14ac:dyDescent="0.25">
      <c r="A4" s="761" t="s">
        <v>861</v>
      </c>
      <c r="B4" s="762"/>
      <c r="C4" s="762"/>
      <c r="D4" s="762"/>
      <c r="E4" s="762"/>
      <c r="F4" s="625"/>
    </row>
    <row r="5" spans="1:6" ht="286.5" customHeight="1" x14ac:dyDescent="0.25">
      <c r="A5" s="747" t="s">
        <v>860</v>
      </c>
      <c r="B5" s="748"/>
      <c r="C5" s="748"/>
      <c r="D5" s="748"/>
      <c r="E5" s="748"/>
      <c r="F5" s="622"/>
    </row>
    <row r="6" spans="1:6" ht="42" customHeight="1" x14ac:dyDescent="0.25">
      <c r="A6" s="749" t="s">
        <v>708</v>
      </c>
      <c r="B6" s="749"/>
      <c r="C6" s="749"/>
      <c r="D6" s="749"/>
      <c r="E6" s="749"/>
      <c r="F6" s="623"/>
    </row>
    <row r="7" spans="1:6" ht="237.75" customHeight="1" x14ac:dyDescent="0.25">
      <c r="A7" s="750" t="s">
        <v>859</v>
      </c>
      <c r="B7" s="751"/>
      <c r="C7" s="751"/>
      <c r="D7" s="751"/>
      <c r="E7" s="751"/>
      <c r="F7" s="624"/>
    </row>
    <row r="8" spans="1:6" s="627" customFormat="1" ht="34.5" customHeight="1" x14ac:dyDescent="0.4">
      <c r="A8" s="752" t="s">
        <v>857</v>
      </c>
      <c r="B8" s="753"/>
      <c r="C8" s="753"/>
      <c r="D8" s="753"/>
      <c r="E8" s="754"/>
      <c r="F8" s="628"/>
    </row>
    <row r="9" spans="1:6" s="627" customFormat="1" ht="33.75" customHeight="1" x14ac:dyDescent="0.35">
      <c r="A9" s="755" t="s">
        <v>851</v>
      </c>
      <c r="B9" s="756"/>
      <c r="C9" s="756"/>
      <c r="D9" s="756"/>
      <c r="E9" s="757"/>
      <c r="F9" s="628"/>
    </row>
    <row r="10" spans="1:6" s="627" customFormat="1" ht="105.75" customHeight="1" x14ac:dyDescent="0.35">
      <c r="A10" s="744" t="s">
        <v>837</v>
      </c>
      <c r="B10" s="745"/>
      <c r="C10" s="745"/>
      <c r="D10" s="745"/>
      <c r="E10" s="746"/>
      <c r="F10" s="629"/>
    </row>
    <row r="11" spans="1:6" s="627" customFormat="1" ht="33.75" customHeight="1" x14ac:dyDescent="0.35">
      <c r="A11" s="755" t="s">
        <v>852</v>
      </c>
      <c r="B11" s="756"/>
      <c r="C11" s="756"/>
      <c r="D11" s="756"/>
      <c r="E11" s="757"/>
      <c r="F11" s="628"/>
    </row>
    <row r="12" spans="1:6" s="627" customFormat="1" ht="83.25" customHeight="1" x14ac:dyDescent="0.35">
      <c r="A12" s="744" t="s">
        <v>862</v>
      </c>
      <c r="B12" s="745"/>
      <c r="C12" s="745"/>
      <c r="D12" s="745"/>
      <c r="E12" s="746"/>
      <c r="F12" s="629"/>
    </row>
    <row r="13" spans="1:6" s="627" customFormat="1" ht="71.25" customHeight="1" x14ac:dyDescent="0.35">
      <c r="A13" s="744" t="s">
        <v>838</v>
      </c>
      <c r="B13" s="745"/>
      <c r="C13" s="745"/>
      <c r="D13" s="745"/>
      <c r="E13" s="746"/>
      <c r="F13" s="629"/>
    </row>
    <row r="14" spans="1:6" s="627" customFormat="1" ht="64.5" customHeight="1" x14ac:dyDescent="0.35">
      <c r="A14" s="765" t="s">
        <v>877</v>
      </c>
      <c r="B14" s="766"/>
      <c r="C14" s="766"/>
      <c r="D14" s="766"/>
      <c r="E14" s="767"/>
      <c r="F14" s="629"/>
    </row>
    <row r="15" spans="1:6" s="627" customFormat="1" ht="68.25" customHeight="1" x14ac:dyDescent="0.35">
      <c r="A15" s="768" t="s">
        <v>853</v>
      </c>
      <c r="B15" s="769"/>
      <c r="C15" s="769"/>
      <c r="D15" s="769"/>
      <c r="E15" s="767"/>
      <c r="F15" s="629"/>
    </row>
    <row r="16" spans="1:6" s="627" customFormat="1" ht="62.25" customHeight="1" x14ac:dyDescent="0.35">
      <c r="A16" s="744" t="s">
        <v>839</v>
      </c>
      <c r="B16" s="745"/>
      <c r="C16" s="745"/>
      <c r="D16" s="745"/>
      <c r="E16" s="746"/>
      <c r="F16" s="629"/>
    </row>
    <row r="17" spans="1:6" s="627" customFormat="1" ht="71.25" customHeight="1" x14ac:dyDescent="0.35">
      <c r="A17" s="744" t="s">
        <v>840</v>
      </c>
      <c r="B17" s="745"/>
      <c r="C17" s="745"/>
      <c r="D17" s="745"/>
      <c r="E17" s="746"/>
      <c r="F17" s="629"/>
    </row>
    <row r="18" spans="1:6" s="627" customFormat="1" ht="32.25" customHeight="1" x14ac:dyDescent="0.35">
      <c r="A18" s="755" t="s">
        <v>854</v>
      </c>
      <c r="B18" s="756"/>
      <c r="C18" s="756"/>
      <c r="D18" s="756"/>
      <c r="E18" s="757"/>
      <c r="F18" s="628"/>
    </row>
    <row r="19" spans="1:6" s="627" customFormat="1" ht="128.25" customHeight="1" x14ac:dyDescent="0.35">
      <c r="A19" s="744" t="s">
        <v>841</v>
      </c>
      <c r="B19" s="745"/>
      <c r="C19" s="745"/>
      <c r="D19" s="745"/>
      <c r="E19" s="746"/>
      <c r="F19" s="629"/>
    </row>
    <row r="20" spans="1:6" s="627" customFormat="1" ht="33.75" customHeight="1" x14ac:dyDescent="0.35">
      <c r="A20" s="755" t="s">
        <v>774</v>
      </c>
      <c r="B20" s="756"/>
      <c r="C20" s="756"/>
      <c r="D20" s="756"/>
      <c r="E20" s="757"/>
      <c r="F20" s="628"/>
    </row>
    <row r="21" spans="1:6" s="627" customFormat="1" ht="69" customHeight="1" x14ac:dyDescent="0.35">
      <c r="A21" s="744" t="s">
        <v>842</v>
      </c>
      <c r="B21" s="745"/>
      <c r="C21" s="745"/>
      <c r="D21" s="745"/>
      <c r="E21" s="746"/>
      <c r="F21" s="629"/>
    </row>
    <row r="22" spans="1:6" s="627" customFormat="1" ht="72" customHeight="1" x14ac:dyDescent="0.35">
      <c r="A22" s="744" t="s">
        <v>843</v>
      </c>
      <c r="B22" s="745"/>
      <c r="C22" s="745"/>
      <c r="D22" s="745"/>
      <c r="E22" s="746"/>
      <c r="F22" s="629"/>
    </row>
    <row r="23" spans="1:6" s="627" customFormat="1" ht="86.25" customHeight="1" x14ac:dyDescent="0.35">
      <c r="A23" s="744" t="s">
        <v>844</v>
      </c>
      <c r="B23" s="745"/>
      <c r="C23" s="745"/>
      <c r="D23" s="745"/>
      <c r="E23" s="746"/>
      <c r="F23" s="629"/>
    </row>
    <row r="24" spans="1:6" s="627" customFormat="1" ht="38.25" customHeight="1" x14ac:dyDescent="0.35">
      <c r="A24" s="758" t="s">
        <v>855</v>
      </c>
      <c r="B24" s="758"/>
      <c r="C24" s="758"/>
      <c r="D24" s="758"/>
      <c r="E24" s="758"/>
      <c r="F24" s="628"/>
    </row>
    <row r="25" spans="1:6" s="627" customFormat="1" ht="117.75" customHeight="1" x14ac:dyDescent="0.35">
      <c r="A25" s="744" t="s">
        <v>845</v>
      </c>
      <c r="B25" s="745"/>
      <c r="C25" s="745"/>
      <c r="D25" s="745"/>
      <c r="E25" s="746"/>
      <c r="F25" s="629"/>
    </row>
    <row r="26" spans="1:6" s="627" customFormat="1" ht="136.5" customHeight="1" x14ac:dyDescent="0.35">
      <c r="A26" s="744" t="s">
        <v>846</v>
      </c>
      <c r="B26" s="745"/>
      <c r="C26" s="745"/>
      <c r="D26" s="745"/>
      <c r="E26" s="746"/>
      <c r="F26" s="629"/>
    </row>
    <row r="27" spans="1:6" s="627" customFormat="1" ht="114.75" customHeight="1" x14ac:dyDescent="0.35">
      <c r="A27" s="744" t="s">
        <v>847</v>
      </c>
      <c r="B27" s="745"/>
      <c r="C27" s="745"/>
      <c r="D27" s="745"/>
      <c r="E27" s="746"/>
      <c r="F27" s="629"/>
    </row>
    <row r="28" spans="1:6" s="627" customFormat="1" ht="159" customHeight="1" x14ac:dyDescent="0.35">
      <c r="A28" s="744" t="s">
        <v>848</v>
      </c>
      <c r="B28" s="745"/>
      <c r="C28" s="745"/>
      <c r="D28" s="745"/>
      <c r="E28" s="746"/>
      <c r="F28" s="629"/>
    </row>
    <row r="29" spans="1:6" s="627" customFormat="1" ht="111.75" customHeight="1" x14ac:dyDescent="0.35">
      <c r="A29" s="744" t="s">
        <v>849</v>
      </c>
      <c r="B29" s="745"/>
      <c r="C29" s="745"/>
      <c r="D29" s="745"/>
      <c r="E29" s="746"/>
      <c r="F29" s="629"/>
    </row>
    <row r="30" spans="1:6" s="627" customFormat="1" ht="140.25" customHeight="1" x14ac:dyDescent="0.35">
      <c r="A30" s="744" t="s">
        <v>850</v>
      </c>
      <c r="B30" s="745"/>
      <c r="C30" s="745"/>
      <c r="D30" s="745"/>
      <c r="E30" s="746"/>
      <c r="F30" s="629"/>
    </row>
    <row r="31" spans="1:6" s="627" customFormat="1" ht="156.75" customHeight="1" x14ac:dyDescent="0.35">
      <c r="A31" s="744" t="s">
        <v>856</v>
      </c>
      <c r="B31" s="745"/>
      <c r="C31" s="745"/>
      <c r="D31" s="745"/>
      <c r="E31" s="746"/>
      <c r="F31" s="629"/>
    </row>
    <row r="32" spans="1:6" s="630" customFormat="1" ht="97.5" customHeight="1" x14ac:dyDescent="0.35"/>
  </sheetData>
  <sheetProtection sheet="1" objects="1" scenarios="1"/>
  <mergeCells count="30">
    <mergeCell ref="A1:E2"/>
    <mergeCell ref="A4:E4"/>
    <mergeCell ref="A3:E3"/>
    <mergeCell ref="A14:E14"/>
    <mergeCell ref="A15:E15"/>
    <mergeCell ref="A27:E27"/>
    <mergeCell ref="A28:E28"/>
    <mergeCell ref="A29:E29"/>
    <mergeCell ref="A21:E21"/>
    <mergeCell ref="A22:E22"/>
    <mergeCell ref="A23:E23"/>
    <mergeCell ref="A24:E24"/>
    <mergeCell ref="A25:E25"/>
    <mergeCell ref="A26:E26"/>
    <mergeCell ref="A31:E31"/>
    <mergeCell ref="A5:E5"/>
    <mergeCell ref="A6:E6"/>
    <mergeCell ref="A7:E7"/>
    <mergeCell ref="A8:E8"/>
    <mergeCell ref="A10:E10"/>
    <mergeCell ref="A9:E9"/>
    <mergeCell ref="A11:E11"/>
    <mergeCell ref="A12:E12"/>
    <mergeCell ref="A13:E13"/>
    <mergeCell ref="A16:E16"/>
    <mergeCell ref="A17:E17"/>
    <mergeCell ref="A18:E18"/>
    <mergeCell ref="A19:E19"/>
    <mergeCell ref="A20:E20"/>
    <mergeCell ref="A30:E30"/>
  </mergeCells>
  <phoneticPr fontId="35" type="noConversion"/>
  <printOptions horizontalCentered="1" verticalCentered="1"/>
  <pageMargins left="0.65333333333333332" right="0.7" top="1.0101495726495699" bottom="0.75" header="0.3" footer="0.3"/>
  <pageSetup paperSize="5" scale="32" fitToWidth="4"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7FB2-D168-42C4-95D3-D1CB84D40952}">
  <sheetPr codeName="Sheet10"/>
  <dimension ref="A1:W83"/>
  <sheetViews>
    <sheetView topLeftCell="A29" workbookViewId="0">
      <selection activeCell="L32" sqref="L32"/>
    </sheetView>
  </sheetViews>
  <sheetFormatPr defaultRowHeight="15" x14ac:dyDescent="0.25"/>
  <cols>
    <col min="1" max="1" width="17.28515625" customWidth="1"/>
    <col min="3" max="3" width="12.5703125" customWidth="1"/>
    <col min="8" max="8" width="10.42578125" customWidth="1"/>
    <col min="13" max="13" width="16.140625" customWidth="1"/>
    <col min="15" max="15" width="12.7109375" customWidth="1"/>
    <col min="17" max="17" width="13.5703125" customWidth="1"/>
    <col min="20" max="20" width="11.140625" customWidth="1"/>
  </cols>
  <sheetData>
    <row r="1" spans="1:23" x14ac:dyDescent="0.25">
      <c r="A1" s="5" t="s">
        <v>350</v>
      </c>
      <c r="B1" s="5"/>
      <c r="D1" s="3" t="s">
        <v>765</v>
      </c>
      <c r="E1" s="10">
        <v>2.2599999999999998</v>
      </c>
      <c r="G1" s="237"/>
      <c r="H1" s="237"/>
      <c r="I1" s="238" t="s">
        <v>351</v>
      </c>
      <c r="J1" s="239" t="s">
        <v>352</v>
      </c>
      <c r="K1" s="239"/>
      <c r="L1" s="239"/>
      <c r="M1" s="239"/>
    </row>
    <row r="2" spans="1:23" x14ac:dyDescent="0.25">
      <c r="B2" t="s">
        <v>353</v>
      </c>
      <c r="C2" t="s">
        <v>811</v>
      </c>
      <c r="D2" t="s">
        <v>355</v>
      </c>
      <c r="E2" t="s">
        <v>356</v>
      </c>
      <c r="I2" s="237"/>
      <c r="J2" s="239"/>
      <c r="M2" t="s">
        <v>357</v>
      </c>
      <c r="N2" t="s">
        <v>358</v>
      </c>
      <c r="O2">
        <v>134.47999999999999</v>
      </c>
      <c r="P2" t="s">
        <v>288</v>
      </c>
      <c r="Q2" t="s">
        <v>359</v>
      </c>
      <c r="R2">
        <f>O2/O4</f>
        <v>1.0979751796211625</v>
      </c>
      <c r="U2" s="3" t="s">
        <v>360</v>
      </c>
    </row>
    <row r="3" spans="1:23" x14ac:dyDescent="0.25">
      <c r="A3">
        <v>2020</v>
      </c>
      <c r="B3" s="10">
        <v>1.92</v>
      </c>
      <c r="C3" s="10">
        <v>1.8416999999999999</v>
      </c>
      <c r="D3" s="10">
        <v>2</v>
      </c>
      <c r="E3" s="247">
        <f>AVERAGE(B3:D3)</f>
        <v>1.9205666666666665</v>
      </c>
      <c r="I3" s="237"/>
      <c r="J3" s="239"/>
      <c r="U3" s="3"/>
    </row>
    <row r="4" spans="1:23" x14ac:dyDescent="0.25">
      <c r="A4">
        <v>2019</v>
      </c>
      <c r="B4" s="10">
        <v>2.59</v>
      </c>
      <c r="C4" s="10">
        <v>2.39</v>
      </c>
      <c r="D4" s="10">
        <v>2.48</v>
      </c>
      <c r="E4" s="241">
        <f>AVERAGE(B4:D4)</f>
        <v>2.4866666666666668</v>
      </c>
      <c r="I4" s="237"/>
      <c r="J4" s="239"/>
      <c r="N4" t="s">
        <v>361</v>
      </c>
      <c r="O4">
        <v>122.48</v>
      </c>
      <c r="P4" t="s">
        <v>288</v>
      </c>
      <c r="U4" s="3"/>
    </row>
    <row r="5" spans="1:23" x14ac:dyDescent="0.25">
      <c r="A5">
        <v>2018</v>
      </c>
      <c r="B5" s="10">
        <v>2.6</v>
      </c>
      <c r="C5" s="10">
        <v>2.5099999999999998</v>
      </c>
      <c r="D5" s="10">
        <v>2.65</v>
      </c>
      <c r="E5" s="241">
        <f>AVERAGE(B5:D5)</f>
        <v>2.5866666666666664</v>
      </c>
      <c r="I5" s="240">
        <f>E1-E3</f>
        <v>0.33943333333333325</v>
      </c>
      <c r="J5" s="239"/>
      <c r="N5" s="3" t="s">
        <v>362</v>
      </c>
      <c r="O5" s="9">
        <v>1020</v>
      </c>
      <c r="P5" t="s">
        <v>363</v>
      </c>
      <c r="Q5" s="3" t="s">
        <v>364</v>
      </c>
      <c r="R5" s="9">
        <v>100000</v>
      </c>
      <c r="S5" t="s">
        <v>363</v>
      </c>
      <c r="U5">
        <v>2018</v>
      </c>
      <c r="V5" s="10">
        <v>1.1449</v>
      </c>
      <c r="W5" t="s">
        <v>365</v>
      </c>
    </row>
    <row r="6" spans="1:23" x14ac:dyDescent="0.25">
      <c r="A6">
        <v>2017</v>
      </c>
      <c r="B6" s="10">
        <v>2.14</v>
      </c>
      <c r="C6" s="10">
        <v>2.16</v>
      </c>
      <c r="D6" s="10">
        <v>2.2400000000000002</v>
      </c>
      <c r="E6" s="10"/>
      <c r="I6" s="237"/>
      <c r="J6" s="239"/>
      <c r="M6" s="3"/>
      <c r="Q6" s="3" t="s">
        <v>366</v>
      </c>
      <c r="R6" s="9">
        <v>127462</v>
      </c>
      <c r="S6" t="s">
        <v>363</v>
      </c>
      <c r="U6">
        <v>2017</v>
      </c>
      <c r="V6" s="10">
        <v>1.1440999999999999</v>
      </c>
      <c r="W6" t="s">
        <v>365</v>
      </c>
    </row>
    <row r="7" spans="1:23" x14ac:dyDescent="0.25">
      <c r="A7">
        <v>2016</v>
      </c>
      <c r="B7" s="10">
        <v>1.85</v>
      </c>
      <c r="C7" s="10">
        <v>1.84</v>
      </c>
      <c r="E7" s="10"/>
      <c r="I7" s="237"/>
      <c r="J7" s="239"/>
      <c r="U7">
        <v>2016</v>
      </c>
      <c r="V7" s="10">
        <v>1.1087</v>
      </c>
      <c r="W7" t="s">
        <v>365</v>
      </c>
    </row>
    <row r="8" spans="1:23" x14ac:dyDescent="0.25">
      <c r="A8">
        <v>2015</v>
      </c>
      <c r="B8" s="10">
        <v>2.23</v>
      </c>
      <c r="C8" s="10">
        <v>2.16</v>
      </c>
      <c r="E8" s="10"/>
      <c r="I8" s="237"/>
      <c r="J8" s="239"/>
      <c r="M8" t="s">
        <v>367</v>
      </c>
      <c r="U8">
        <v>2015</v>
      </c>
      <c r="V8" s="10">
        <v>1.1861999999999999</v>
      </c>
      <c r="W8" t="s">
        <v>365</v>
      </c>
    </row>
    <row r="9" spans="1:23" x14ac:dyDescent="0.25">
      <c r="A9" t="s">
        <v>368</v>
      </c>
      <c r="B9" s="10">
        <f>AVERAGE(B4:B6)</f>
        <v>2.4433333333333334</v>
      </c>
      <c r="C9" s="10">
        <f>AVERAGE(C4:C6)</f>
        <v>2.3533333333333335</v>
      </c>
      <c r="D9" s="10">
        <f>AVERAGE(D4:D8)</f>
        <v>2.4566666666666666</v>
      </c>
      <c r="E9" s="10"/>
      <c r="I9" s="237"/>
      <c r="J9" s="239"/>
      <c r="M9" s="9">
        <v>30000</v>
      </c>
      <c r="N9" t="s">
        <v>369</v>
      </c>
      <c r="Q9" s="14">
        <f>M9/M12</f>
        <v>6720.4301075268813</v>
      </c>
      <c r="R9" t="s">
        <v>370</v>
      </c>
      <c r="U9" t="s">
        <v>371</v>
      </c>
    </row>
    <row r="10" spans="1:23" x14ac:dyDescent="0.25">
      <c r="I10" s="237"/>
      <c r="J10" s="239"/>
      <c r="M10">
        <v>4.96</v>
      </c>
      <c r="N10" t="s">
        <v>372</v>
      </c>
      <c r="Q10" s="20">
        <f>Q9*R6</f>
        <v>856599462.36559141</v>
      </c>
      <c r="R10" t="s">
        <v>363</v>
      </c>
      <c r="U10" t="s">
        <v>373</v>
      </c>
      <c r="V10" s="10">
        <f>AVERAGE(V5:V8)</f>
        <v>1.145975</v>
      </c>
      <c r="W10" t="s">
        <v>365</v>
      </c>
    </row>
    <row r="11" spans="1:23" x14ac:dyDescent="0.25">
      <c r="A11" s="5" t="s">
        <v>374</v>
      </c>
      <c r="B11" s="5"/>
      <c r="I11" s="237"/>
      <c r="J11" s="239"/>
      <c r="M11">
        <v>0.9</v>
      </c>
      <c r="N11" t="s">
        <v>375</v>
      </c>
      <c r="Q11" s="20">
        <f>Q10/R5</f>
        <v>8565.9946236559135</v>
      </c>
      <c r="R11" t="s">
        <v>376</v>
      </c>
      <c r="V11" s="10">
        <f>V10*R2</f>
        <v>1.2582521064663617</v>
      </c>
      <c r="W11" t="s">
        <v>370</v>
      </c>
    </row>
    <row r="12" spans="1:23" x14ac:dyDescent="0.25">
      <c r="B12" t="s">
        <v>353</v>
      </c>
      <c r="C12" t="s">
        <v>390</v>
      </c>
      <c r="D12" t="s">
        <v>377</v>
      </c>
      <c r="E12" t="s">
        <v>378</v>
      </c>
      <c r="I12" s="237"/>
      <c r="J12" s="239"/>
      <c r="M12" s="137">
        <f>M10*M11</f>
        <v>4.4640000000000004</v>
      </c>
      <c r="N12" t="s">
        <v>379</v>
      </c>
      <c r="Q12" s="20">
        <f>Q11/12</f>
        <v>713.8328853046595</v>
      </c>
      <c r="R12" t="s">
        <v>380</v>
      </c>
    </row>
    <row r="13" spans="1:23" x14ac:dyDescent="0.25">
      <c r="A13">
        <v>2020</v>
      </c>
      <c r="B13" s="10">
        <v>1.94</v>
      </c>
      <c r="C13" s="10">
        <v>1.9849000000000001</v>
      </c>
      <c r="E13" s="240">
        <f>AVERAGE(B13:D13)</f>
        <v>1.96245</v>
      </c>
      <c r="I13" s="237"/>
      <c r="J13" s="239"/>
      <c r="M13" s="137"/>
      <c r="Q13" s="20"/>
    </row>
    <row r="14" spans="1:23" x14ac:dyDescent="0.25">
      <c r="A14">
        <v>2019</v>
      </c>
      <c r="B14" s="10">
        <v>2.94</v>
      </c>
      <c r="C14" s="10">
        <v>2.19</v>
      </c>
      <c r="E14" s="241">
        <f>AVERAGE(B14:D14)</f>
        <v>2.5649999999999999</v>
      </c>
      <c r="I14" s="237"/>
      <c r="J14" s="239"/>
      <c r="M14" s="137"/>
      <c r="Q14" s="20"/>
    </row>
    <row r="15" spans="1:23" x14ac:dyDescent="0.25">
      <c r="A15">
        <v>2018</v>
      </c>
      <c r="B15" s="10">
        <v>2.84</v>
      </c>
      <c r="C15" s="10">
        <v>2.16</v>
      </c>
      <c r="D15" s="10">
        <v>2.83</v>
      </c>
      <c r="E15" s="241">
        <f>AVERAGE(B15:D15)</f>
        <v>2.61</v>
      </c>
      <c r="G15" s="10"/>
      <c r="H15" s="10"/>
      <c r="I15" s="240">
        <f>E1-E13</f>
        <v>0.29754999999999976</v>
      </c>
      <c r="J15" s="242"/>
    </row>
    <row r="16" spans="1:23" x14ac:dyDescent="0.25">
      <c r="A16">
        <v>2017</v>
      </c>
      <c r="B16" s="10">
        <v>2.62</v>
      </c>
      <c r="C16" s="10">
        <v>2.14</v>
      </c>
      <c r="D16" s="10">
        <v>2.64</v>
      </c>
      <c r="E16" s="10"/>
      <c r="G16" s="10"/>
      <c r="I16" s="237"/>
      <c r="J16" s="239"/>
      <c r="M16" t="s">
        <v>381</v>
      </c>
      <c r="Q16" t="s">
        <v>382</v>
      </c>
    </row>
    <row r="17" spans="1:20" x14ac:dyDescent="0.25">
      <c r="A17">
        <v>2016</v>
      </c>
      <c r="B17" s="10">
        <v>2.09</v>
      </c>
      <c r="C17" s="10">
        <v>2.1042000000000001</v>
      </c>
      <c r="D17" s="10"/>
      <c r="E17" s="10"/>
      <c r="G17" s="10"/>
      <c r="I17" s="237"/>
      <c r="J17" s="239"/>
      <c r="M17" s="14">
        <f>M9*10</f>
        <v>300000</v>
      </c>
      <c r="N17" t="s">
        <v>369</v>
      </c>
      <c r="Q17" s="9">
        <v>150000</v>
      </c>
      <c r="R17" t="s">
        <v>369</v>
      </c>
    </row>
    <row r="18" spans="1:20" x14ac:dyDescent="0.25">
      <c r="A18">
        <v>2015</v>
      </c>
      <c r="B18" s="10">
        <v>2.71</v>
      </c>
      <c r="C18" s="10">
        <v>2.1</v>
      </c>
      <c r="E18" s="10"/>
      <c r="G18" s="10"/>
      <c r="I18" s="237"/>
      <c r="J18" s="239"/>
      <c r="M18" s="20">
        <f>M17/M12</f>
        <v>67204.301075268813</v>
      </c>
      <c r="N18" t="s">
        <v>383</v>
      </c>
      <c r="Q18" s="20">
        <f>Q17/M12</f>
        <v>33602.150537634407</v>
      </c>
      <c r="R18" t="s">
        <v>383</v>
      </c>
    </row>
    <row r="19" spans="1:20" x14ac:dyDescent="0.25">
      <c r="A19" t="s">
        <v>368</v>
      </c>
      <c r="B19" s="10">
        <f>AVERAGE(B14:B18)</f>
        <v>2.6399999999999997</v>
      </c>
      <c r="C19" s="10">
        <f>AVERAGE(C14:C18)</f>
        <v>2.1388400000000001</v>
      </c>
      <c r="D19" s="10"/>
      <c r="E19" s="10"/>
      <c r="G19" s="10"/>
      <c r="I19" s="237"/>
      <c r="J19" s="239"/>
      <c r="M19" s="20">
        <f>M18*R6</f>
        <v>8565994623.6559134</v>
      </c>
      <c r="N19" t="s">
        <v>363</v>
      </c>
      <c r="Q19" s="20">
        <f>Q18*R6</f>
        <v>4282997311.8279567</v>
      </c>
      <c r="R19" t="s">
        <v>363</v>
      </c>
    </row>
    <row r="20" spans="1:20" x14ac:dyDescent="0.25">
      <c r="B20" t="s">
        <v>384</v>
      </c>
      <c r="I20" s="237"/>
      <c r="J20" s="239"/>
      <c r="M20" s="20">
        <f>M19/R5</f>
        <v>85659.946236559132</v>
      </c>
      <c r="N20" t="s">
        <v>385</v>
      </c>
      <c r="Q20" s="20">
        <f>Q19/100000</f>
        <v>42829.973118279566</v>
      </c>
      <c r="R20" t="s">
        <v>385</v>
      </c>
    </row>
    <row r="21" spans="1:20" x14ac:dyDescent="0.25">
      <c r="A21" s="5" t="s">
        <v>386</v>
      </c>
      <c r="B21" s="5"/>
      <c r="D21" s="3" t="s">
        <v>793</v>
      </c>
      <c r="E21" s="465">
        <f>'School Bus Table'!E15</f>
        <v>2.3362804417220002</v>
      </c>
      <c r="I21" s="237"/>
      <c r="J21" s="239"/>
      <c r="M21" s="20">
        <f>M20/12</f>
        <v>7138.3288530465943</v>
      </c>
      <c r="N21" t="s">
        <v>380</v>
      </c>
      <c r="Q21" s="20">
        <f>Q20/12</f>
        <v>3569.1644265232972</v>
      </c>
      <c r="R21" t="s">
        <v>380</v>
      </c>
    </row>
    <row r="22" spans="1:20" x14ac:dyDescent="0.25">
      <c r="A22" s="5"/>
      <c r="B22" s="5"/>
      <c r="C22" s="885" t="s">
        <v>813</v>
      </c>
      <c r="D22" s="461"/>
      <c r="E22" s="465"/>
      <c r="F22" t="s">
        <v>816</v>
      </c>
      <c r="H22" s="240">
        <f>D24*1.1</f>
        <v>2.1779999999999999</v>
      </c>
      <c r="I22" s="237"/>
      <c r="J22" s="239"/>
      <c r="M22" s="20"/>
      <c r="Q22" s="20"/>
    </row>
    <row r="23" spans="1:20" x14ac:dyDescent="0.25">
      <c r="B23" t="s">
        <v>388</v>
      </c>
      <c r="C23" s="885"/>
      <c r="D23" t="s">
        <v>389</v>
      </c>
      <c r="F23" t="s">
        <v>391</v>
      </c>
      <c r="G23" t="s">
        <v>399</v>
      </c>
      <c r="I23" s="237"/>
      <c r="J23" s="239"/>
      <c r="M23" s="14">
        <f>(M19/R6)/12</f>
        <v>5600.3584229390681</v>
      </c>
      <c r="N23" t="s">
        <v>393</v>
      </c>
      <c r="Q23" s="14">
        <f>(Q19/R6)/12</f>
        <v>2800.179211469534</v>
      </c>
      <c r="R23" t="s">
        <v>393</v>
      </c>
    </row>
    <row r="24" spans="1:20" x14ac:dyDescent="0.25">
      <c r="A24">
        <v>2020</v>
      </c>
      <c r="B24" s="10">
        <v>1.84</v>
      </c>
      <c r="C24" s="241">
        <v>1.7058</v>
      </c>
      <c r="D24" s="245">
        <v>1.98</v>
      </c>
      <c r="E24" s="138"/>
      <c r="F24" s="241">
        <v>1.98</v>
      </c>
      <c r="G24" s="241">
        <f>AVERAGE(B24:D24)</f>
        <v>1.8419333333333334</v>
      </c>
      <c r="I24" s="237"/>
      <c r="J24" s="239"/>
      <c r="M24" s="14"/>
      <c r="Q24" s="14"/>
    </row>
    <row r="25" spans="1:20" x14ac:dyDescent="0.25">
      <c r="A25">
        <v>2019</v>
      </c>
      <c r="B25" s="10">
        <v>2.35</v>
      </c>
      <c r="C25" s="10">
        <v>2.25</v>
      </c>
      <c r="D25" s="10">
        <f>AVERAGE(2.29,2.54,2.69)</f>
        <v>2.5066666666666664</v>
      </c>
      <c r="E25" s="10">
        <v>2.2200000000000002</v>
      </c>
      <c r="F25" s="241">
        <v>2.5099999999999998</v>
      </c>
      <c r="G25" s="241">
        <f>AVERAGE(B25:D25)</f>
        <v>2.3688888888888884</v>
      </c>
      <c r="I25" s="237"/>
      <c r="J25" s="239"/>
      <c r="M25" s="14"/>
      <c r="Q25" s="14"/>
    </row>
    <row r="26" spans="1:20" x14ac:dyDescent="0.25">
      <c r="A26">
        <v>2018</v>
      </c>
      <c r="B26" s="10">
        <v>2.4300000000000002</v>
      </c>
      <c r="C26" s="10">
        <v>2.39</v>
      </c>
      <c r="D26" s="10">
        <v>2.5099999999999998</v>
      </c>
      <c r="E26" s="10"/>
      <c r="F26" s="241">
        <v>2.5099999999999998</v>
      </c>
      <c r="G26" s="10">
        <f>AVERAGE(B26:D26)</f>
        <v>2.4433333333333334</v>
      </c>
      <c r="I26" s="246">
        <f>E21-H22</f>
        <v>0.15828044172200029</v>
      </c>
      <c r="J26" s="243"/>
    </row>
    <row r="27" spans="1:20" x14ac:dyDescent="0.25">
      <c r="A27">
        <v>2017</v>
      </c>
      <c r="B27" s="10">
        <v>1.99</v>
      </c>
      <c r="C27" s="10">
        <v>1.96</v>
      </c>
      <c r="D27" s="10">
        <v>2.1</v>
      </c>
      <c r="E27" s="10"/>
      <c r="I27" s="237"/>
      <c r="J27" s="239"/>
      <c r="M27" t="s">
        <v>394</v>
      </c>
      <c r="Q27" t="s">
        <v>395</v>
      </c>
      <c r="S27" t="s">
        <v>396</v>
      </c>
    </row>
    <row r="28" spans="1:20" x14ac:dyDescent="0.25">
      <c r="A28">
        <v>2016</v>
      </c>
      <c r="B28" s="10">
        <v>1.7</v>
      </c>
      <c r="C28" s="10">
        <v>1.54</v>
      </c>
      <c r="E28" s="10"/>
      <c r="G28" s="10"/>
      <c r="I28" s="237"/>
      <c r="J28" s="239"/>
      <c r="N28" t="s">
        <v>397</v>
      </c>
      <c r="Q28" s="10">
        <v>250</v>
      </c>
      <c r="T28" s="10">
        <v>250</v>
      </c>
    </row>
    <row r="29" spans="1:20" x14ac:dyDescent="0.25">
      <c r="A29">
        <v>2015</v>
      </c>
      <c r="B29" s="10">
        <v>2.38</v>
      </c>
      <c r="C29" s="10">
        <v>1.87</v>
      </c>
      <c r="E29" s="10"/>
      <c r="I29" s="237"/>
      <c r="J29" s="239"/>
      <c r="M29" t="s">
        <v>398</v>
      </c>
      <c r="O29" s="244">
        <v>0.49925999999999998</v>
      </c>
      <c r="Q29" s="10">
        <f>O29*2000</f>
        <v>998.52</v>
      </c>
      <c r="T29" s="10">
        <f>O29*2000</f>
        <v>998.52</v>
      </c>
    </row>
    <row r="30" spans="1:20" x14ac:dyDescent="0.25">
      <c r="A30" t="s">
        <v>399</v>
      </c>
      <c r="B30" s="10">
        <f>AVERAGE(B25:B29)</f>
        <v>2.1700000000000004</v>
      </c>
      <c r="C30" s="10">
        <f>AVERAGE(C25:C29)</f>
        <v>2.0020000000000002</v>
      </c>
      <c r="E30" s="10"/>
      <c r="I30" s="237"/>
      <c r="J30" s="239"/>
      <c r="M30" t="s">
        <v>400</v>
      </c>
      <c r="O30" s="244">
        <v>0.46017999999999998</v>
      </c>
      <c r="Q30" s="10">
        <f>(M21-2000)*O30</f>
        <v>2364.5561715949816</v>
      </c>
      <c r="T30" s="138">
        <f>(Q21-2000)*O30</f>
        <v>722.09808579749085</v>
      </c>
    </row>
    <row r="31" spans="1:20" x14ac:dyDescent="0.25">
      <c r="C31" s="461" t="s">
        <v>815</v>
      </c>
      <c r="D31" s="132">
        <f>1-(C24/C34)</f>
        <v>0.11698933637022468</v>
      </c>
      <c r="I31" s="237"/>
      <c r="J31" s="239"/>
      <c r="M31" t="s">
        <v>401</v>
      </c>
      <c r="O31" s="244">
        <v>0.1113</v>
      </c>
      <c r="Q31" s="138">
        <f>M21*O31</f>
        <v>794.49600134408593</v>
      </c>
      <c r="T31" s="138">
        <f>Q21*O31</f>
        <v>397.24800067204296</v>
      </c>
    </row>
    <row r="32" spans="1:20" x14ac:dyDescent="0.25">
      <c r="A32" s="5" t="s">
        <v>402</v>
      </c>
      <c r="C32" s="885" t="s">
        <v>812</v>
      </c>
      <c r="F32" t="s">
        <v>403</v>
      </c>
      <c r="H32" s="886" t="s">
        <v>814</v>
      </c>
      <c r="I32" s="237"/>
      <c r="J32" s="239"/>
      <c r="Q32" s="245">
        <f>SUM(Q28:Q31)</f>
        <v>4407.572172939068</v>
      </c>
      <c r="T32" s="10">
        <f>SUM(T28:T31)</f>
        <v>2367.8660864695339</v>
      </c>
    </row>
    <row r="33" spans="1:20" x14ac:dyDescent="0.25">
      <c r="B33" s="461" t="s">
        <v>388</v>
      </c>
      <c r="C33" s="885"/>
      <c r="D33" t="s">
        <v>389</v>
      </c>
      <c r="F33" t="s">
        <v>391</v>
      </c>
      <c r="G33" t="s">
        <v>392</v>
      </c>
      <c r="H33" s="885"/>
      <c r="I33" s="237"/>
      <c r="J33" s="239"/>
      <c r="M33" t="s">
        <v>404</v>
      </c>
      <c r="N33" s="10">
        <f>Q32/10</f>
        <v>440.75721729390682</v>
      </c>
      <c r="S33" s="10">
        <f>T32/5</f>
        <v>473.57321729390679</v>
      </c>
    </row>
    <row r="34" spans="1:20" x14ac:dyDescent="0.25">
      <c r="A34">
        <v>2020</v>
      </c>
      <c r="B34" s="10">
        <v>1.7156</v>
      </c>
      <c r="C34" s="10">
        <v>1.9318</v>
      </c>
      <c r="D34" s="10">
        <v>1.7994000000000001</v>
      </c>
      <c r="F34" s="241">
        <v>1.93</v>
      </c>
      <c r="G34" s="10">
        <f>AVERAGE(B34:D34)</f>
        <v>1.8156000000000001</v>
      </c>
      <c r="H34" s="240">
        <f>H22*1.12</f>
        <v>2.4393600000000002</v>
      </c>
      <c r="I34" s="237"/>
      <c r="J34" s="239"/>
      <c r="N34" s="10"/>
      <c r="S34" s="10"/>
    </row>
    <row r="35" spans="1:20" x14ac:dyDescent="0.25">
      <c r="A35">
        <v>2019</v>
      </c>
      <c r="B35" s="10">
        <v>2.3199999999999998</v>
      </c>
      <c r="C35" s="10">
        <v>2.4</v>
      </c>
      <c r="D35" s="10">
        <v>2.36</v>
      </c>
      <c r="F35" s="241">
        <v>2.4</v>
      </c>
      <c r="G35" s="10">
        <f>AVERAGE(B35:D35)</f>
        <v>2.36</v>
      </c>
      <c r="I35" s="237"/>
      <c r="J35" s="239"/>
      <c r="N35" s="10"/>
      <c r="S35" s="10"/>
    </row>
    <row r="36" spans="1:20" x14ac:dyDescent="0.25">
      <c r="A36">
        <v>2018</v>
      </c>
      <c r="B36" s="10">
        <v>2.58</v>
      </c>
      <c r="C36" s="10">
        <v>2.6</v>
      </c>
      <c r="D36" s="10">
        <v>2.59</v>
      </c>
      <c r="E36" s="10"/>
      <c r="F36" s="10">
        <v>2.6</v>
      </c>
      <c r="G36" s="241">
        <f>AVERAGE(B36:D36)</f>
        <v>2.59</v>
      </c>
      <c r="I36" s="246">
        <f>E21-H34</f>
        <v>-0.10307955827799997</v>
      </c>
      <c r="J36" s="243"/>
      <c r="K36" t="s">
        <v>405</v>
      </c>
      <c r="M36" t="s">
        <v>406</v>
      </c>
      <c r="N36" s="138">
        <f>Q32/M21</f>
        <v>0.61745154414649073</v>
      </c>
      <c r="O36" t="s">
        <v>115</v>
      </c>
      <c r="S36" s="10">
        <f>T32/Q21</f>
        <v>0.66342308829298147</v>
      </c>
      <c r="T36" t="s">
        <v>115</v>
      </c>
    </row>
    <row r="37" spans="1:20" x14ac:dyDescent="0.25">
      <c r="A37">
        <v>2017</v>
      </c>
      <c r="B37" s="10">
        <v>1.81</v>
      </c>
      <c r="C37" s="10">
        <v>2.23</v>
      </c>
      <c r="D37" s="10">
        <v>2.06</v>
      </c>
      <c r="E37" s="10"/>
      <c r="I37" s="237"/>
      <c r="J37" s="239"/>
      <c r="M37" t="s">
        <v>407</v>
      </c>
      <c r="N37" s="10">
        <f>Q32/M23</f>
        <v>0.78701608719999994</v>
      </c>
      <c r="O37" t="s">
        <v>370</v>
      </c>
      <c r="S37" s="138">
        <f>T32/Q23</f>
        <v>0.84561233679999992</v>
      </c>
      <c r="T37" t="s">
        <v>370</v>
      </c>
    </row>
    <row r="38" spans="1:20" x14ac:dyDescent="0.25">
      <c r="A38">
        <v>2016</v>
      </c>
      <c r="B38" s="10">
        <v>1.59</v>
      </c>
      <c r="C38" s="10">
        <v>1.91</v>
      </c>
      <c r="D38" s="10"/>
      <c r="E38" s="10"/>
      <c r="I38" s="237"/>
      <c r="J38" s="239"/>
      <c r="P38" s="3" t="s">
        <v>408</v>
      </c>
      <c r="Q38" s="69">
        <f>AVERAGE(N36,S36)</f>
        <v>0.6404373162197361</v>
      </c>
    </row>
    <row r="39" spans="1:20" x14ac:dyDescent="0.25">
      <c r="A39">
        <v>2015</v>
      </c>
      <c r="B39" s="10">
        <v>2.0299999999999998</v>
      </c>
      <c r="C39" s="10">
        <v>2.23</v>
      </c>
      <c r="G39" s="10"/>
      <c r="I39" s="237"/>
      <c r="J39" s="239"/>
      <c r="M39" s="14">
        <f>(M19/116089)/12</f>
        <v>6149.0139918912164</v>
      </c>
      <c r="N39" t="s">
        <v>409</v>
      </c>
      <c r="P39" s="3" t="s">
        <v>410</v>
      </c>
      <c r="Q39" s="138">
        <f>AVERAGE(0.2,0.35)</f>
        <v>0.27500000000000002</v>
      </c>
      <c r="S39" t="s">
        <v>411</v>
      </c>
    </row>
    <row r="40" spans="1:20" x14ac:dyDescent="0.25">
      <c r="E40" s="10"/>
      <c r="I40" s="237"/>
      <c r="J40" s="239"/>
      <c r="M40" s="20">
        <f>M39/30</f>
        <v>204.96713306304054</v>
      </c>
      <c r="N40" t="s">
        <v>412</v>
      </c>
      <c r="P40" s="3" t="s">
        <v>413</v>
      </c>
      <c r="Q40" s="138">
        <f>AVERAGE(0.28,0.13)</f>
        <v>0.20500000000000002</v>
      </c>
      <c r="S40" t="s">
        <v>411</v>
      </c>
    </row>
    <row r="41" spans="1:20" x14ac:dyDescent="0.25">
      <c r="A41" s="5" t="s">
        <v>90</v>
      </c>
      <c r="F41" t="s">
        <v>387</v>
      </c>
      <c r="H41" s="885" t="s">
        <v>810</v>
      </c>
      <c r="I41" s="237"/>
      <c r="J41" s="239"/>
      <c r="P41" s="3" t="s">
        <v>414</v>
      </c>
      <c r="Q41" s="246">
        <f>SUM(Q38:Q40)</f>
        <v>1.1204373162197361</v>
      </c>
    </row>
    <row r="42" spans="1:20" x14ac:dyDescent="0.25">
      <c r="B42" t="s">
        <v>388</v>
      </c>
      <c r="C42" t="s">
        <v>354</v>
      </c>
      <c r="D42" t="s">
        <v>389</v>
      </c>
      <c r="F42" t="s">
        <v>391</v>
      </c>
      <c r="G42" t="s">
        <v>392</v>
      </c>
      <c r="H42" s="885"/>
      <c r="I42" s="237"/>
      <c r="J42" s="239"/>
      <c r="Q42" s="69">
        <f>Q41+R47</f>
        <v>1.2880185178854113</v>
      </c>
      <c r="R42" t="s">
        <v>415</v>
      </c>
      <c r="S42" t="s">
        <v>115</v>
      </c>
    </row>
    <row r="43" spans="1:20" x14ac:dyDescent="0.25">
      <c r="A43">
        <v>2020</v>
      </c>
      <c r="B43" s="10" t="s">
        <v>800</v>
      </c>
      <c r="I43" s="237"/>
      <c r="J43" s="239"/>
      <c r="Q43" s="69"/>
    </row>
    <row r="44" spans="1:20" x14ac:dyDescent="0.25">
      <c r="A44">
        <v>2019</v>
      </c>
      <c r="B44" s="10">
        <v>2.09</v>
      </c>
      <c r="D44" s="10">
        <v>2.4900000000000002</v>
      </c>
      <c r="E44" s="10"/>
      <c r="F44" s="241">
        <v>2.4900000000000002</v>
      </c>
      <c r="G44" s="241">
        <f>AVERAGE(B44:D44)</f>
        <v>2.29</v>
      </c>
      <c r="I44" s="237"/>
      <c r="J44" s="239"/>
    </row>
    <row r="45" spans="1:20" x14ac:dyDescent="0.25">
      <c r="A45">
        <v>2018</v>
      </c>
      <c r="B45" s="10">
        <v>2.65</v>
      </c>
      <c r="C45" s="10">
        <v>2.58</v>
      </c>
      <c r="D45" s="10">
        <v>2.65</v>
      </c>
      <c r="E45" s="10"/>
      <c r="F45" s="10">
        <v>2.65</v>
      </c>
      <c r="G45" s="241">
        <f>AVERAGE(B45:D45)</f>
        <v>2.6266666666666669</v>
      </c>
      <c r="I45" s="246">
        <f>E21-H34</f>
        <v>-0.10307955827799997</v>
      </c>
      <c r="J45" s="243"/>
      <c r="M45" s="3"/>
      <c r="N45" s="3"/>
      <c r="O45" s="131"/>
      <c r="Q45" t="s">
        <v>416</v>
      </c>
    </row>
    <row r="46" spans="1:20" x14ac:dyDescent="0.25">
      <c r="A46">
        <v>2017</v>
      </c>
      <c r="D46" s="10">
        <v>2.41</v>
      </c>
      <c r="E46" s="10"/>
      <c r="I46" s="237"/>
      <c r="J46" s="239"/>
      <c r="M46" s="3"/>
      <c r="N46" s="3"/>
      <c r="O46" s="131"/>
      <c r="Q46" s="3" t="s">
        <v>417</v>
      </c>
      <c r="R46" s="18">
        <v>0.184</v>
      </c>
    </row>
    <row r="47" spans="1:20" x14ac:dyDescent="0.25">
      <c r="A47">
        <v>2016</v>
      </c>
      <c r="I47" s="237"/>
      <c r="J47" s="239"/>
      <c r="M47" s="3"/>
      <c r="N47" s="3"/>
      <c r="O47" s="131"/>
      <c r="Q47" s="3" t="s">
        <v>418</v>
      </c>
      <c r="R47" s="18">
        <f>R46/R2</f>
        <v>0.16758120166567519</v>
      </c>
    </row>
    <row r="48" spans="1:20" x14ac:dyDescent="0.25">
      <c r="A48">
        <v>2015</v>
      </c>
      <c r="I48" s="237"/>
      <c r="J48" s="239"/>
    </row>
    <row r="49" spans="1:18" x14ac:dyDescent="0.25">
      <c r="C49" s="461" t="s">
        <v>817</v>
      </c>
      <c r="D49">
        <f>(C52/C24)</f>
        <v>1.0726931644975966</v>
      </c>
      <c r="I49" s="237"/>
      <c r="J49" s="239"/>
      <c r="M49" t="s">
        <v>419</v>
      </c>
    </row>
    <row r="50" spans="1:18" x14ac:dyDescent="0.25">
      <c r="A50" s="5" t="s">
        <v>94</v>
      </c>
      <c r="B50" s="5"/>
      <c r="C50" s="885" t="s">
        <v>813</v>
      </c>
      <c r="H50" s="885"/>
      <c r="I50" s="237"/>
      <c r="J50" s="239"/>
      <c r="M50" s="3"/>
      <c r="N50" s="3" t="s">
        <v>420</v>
      </c>
      <c r="O50" s="131">
        <v>500000</v>
      </c>
      <c r="Q50" s="131">
        <f>O50/14</f>
        <v>35714.285714285717</v>
      </c>
      <c r="R50" t="s">
        <v>421</v>
      </c>
    </row>
    <row r="51" spans="1:18" x14ac:dyDescent="0.25">
      <c r="B51" s="461" t="s">
        <v>422</v>
      </c>
      <c r="C51" s="885"/>
      <c r="D51" t="s">
        <v>389</v>
      </c>
      <c r="E51" t="s">
        <v>390</v>
      </c>
      <c r="F51" t="s">
        <v>391</v>
      </c>
      <c r="G51" t="s">
        <v>392</v>
      </c>
      <c r="H51" s="885"/>
      <c r="I51" s="237"/>
      <c r="J51" s="239"/>
      <c r="M51" s="3"/>
      <c r="N51" s="3" t="s">
        <v>423</v>
      </c>
      <c r="O51" s="131">
        <v>800000</v>
      </c>
      <c r="Q51" s="131">
        <f>O51/14</f>
        <v>57142.857142857145</v>
      </c>
      <c r="R51" t="s">
        <v>421</v>
      </c>
    </row>
    <row r="52" spans="1:18" x14ac:dyDescent="0.25">
      <c r="A52">
        <v>2020</v>
      </c>
      <c r="B52" s="10">
        <v>1.5364</v>
      </c>
      <c r="C52" s="18">
        <v>1.8298000000000001</v>
      </c>
      <c r="D52" s="245">
        <v>1.89</v>
      </c>
      <c r="F52" s="241">
        <v>1.89</v>
      </c>
      <c r="G52" s="241">
        <f>AVERAGE(B52:D52)</f>
        <v>1.7520666666666667</v>
      </c>
      <c r="H52" s="240">
        <f>H22*D49</f>
        <v>2.336325712275765</v>
      </c>
      <c r="I52" s="237"/>
      <c r="J52" s="239"/>
      <c r="M52" s="3"/>
      <c r="N52" s="3"/>
      <c r="O52" s="131"/>
      <c r="Q52" s="131"/>
    </row>
    <row r="53" spans="1:18" x14ac:dyDescent="0.25">
      <c r="A53">
        <v>2019</v>
      </c>
      <c r="B53" s="10">
        <v>2.59</v>
      </c>
      <c r="C53" s="10">
        <v>3.16</v>
      </c>
      <c r="D53" s="10">
        <f>AVERAGE(3.26,2.94,2.44)</f>
        <v>2.8799999999999994</v>
      </c>
      <c r="E53" s="10">
        <f>AVERAGE(2.7544,2.6163,2.7491)</f>
        <v>2.7065999999999999</v>
      </c>
      <c r="F53" s="241">
        <v>2.88</v>
      </c>
      <c r="G53" s="241">
        <f>AVERAGE(B53:E53)</f>
        <v>2.8341499999999997</v>
      </c>
      <c r="I53" s="246">
        <f>E21-H52</f>
        <v>-4.5270553764797938E-5</v>
      </c>
      <c r="J53" s="242"/>
      <c r="M53" s="3"/>
      <c r="N53" s="3" t="s">
        <v>424</v>
      </c>
      <c r="O53" s="131">
        <v>1200000</v>
      </c>
      <c r="Q53" s="131">
        <f>O53/14</f>
        <v>85714.28571428571</v>
      </c>
      <c r="R53" t="s">
        <v>421</v>
      </c>
    </row>
    <row r="54" spans="1:18" x14ac:dyDescent="0.25">
      <c r="A54">
        <v>2018</v>
      </c>
      <c r="B54" s="10">
        <v>2.3378000000000001</v>
      </c>
      <c r="C54" s="10">
        <v>3.3921000000000001</v>
      </c>
      <c r="D54" s="10">
        <v>3.74</v>
      </c>
      <c r="E54" s="10"/>
      <c r="F54" s="10">
        <v>3.74</v>
      </c>
      <c r="G54" s="10">
        <f>AVERAGE(B54:E54)</f>
        <v>3.1566333333333336</v>
      </c>
      <c r="I54" s="237"/>
      <c r="J54" s="242"/>
    </row>
    <row r="55" spans="1:18" x14ac:dyDescent="0.25">
      <c r="A55">
        <v>2017</v>
      </c>
      <c r="B55" s="10">
        <v>1.9656</v>
      </c>
      <c r="C55" s="10">
        <v>2.2200000000000002</v>
      </c>
      <c r="D55" s="10"/>
      <c r="E55" s="10"/>
      <c r="G55" s="10"/>
      <c r="I55" s="237"/>
      <c r="J55" s="239"/>
    </row>
    <row r="56" spans="1:18" x14ac:dyDescent="0.25">
      <c r="A56">
        <v>2016</v>
      </c>
      <c r="C56" s="10">
        <v>1.6134999999999999</v>
      </c>
      <c r="D56" s="10"/>
      <c r="E56" s="10"/>
      <c r="I56" s="237"/>
      <c r="J56" s="239"/>
    </row>
    <row r="57" spans="1:18" x14ac:dyDescent="0.25">
      <c r="A57">
        <v>2015</v>
      </c>
      <c r="C57" s="10">
        <v>1.9085000000000001</v>
      </c>
      <c r="I57" s="237"/>
      <c r="J57" s="239"/>
    </row>
    <row r="58" spans="1:18" x14ac:dyDescent="0.25">
      <c r="B58" s="10"/>
      <c r="F58" s="10"/>
      <c r="I58" s="237"/>
      <c r="J58" s="239"/>
    </row>
    <row r="59" spans="1:18" x14ac:dyDescent="0.25">
      <c r="A59" t="s">
        <v>112</v>
      </c>
      <c r="C59" s="3"/>
      <c r="D59" s="10"/>
      <c r="E59" s="3" t="s">
        <v>803</v>
      </c>
      <c r="F59" s="10">
        <v>1.3</v>
      </c>
      <c r="G59" t="s">
        <v>115</v>
      </c>
      <c r="I59" s="237"/>
      <c r="J59" s="239"/>
    </row>
    <row r="60" spans="1:18" x14ac:dyDescent="0.25">
      <c r="B60" t="s">
        <v>425</v>
      </c>
      <c r="E60" s="3" t="s">
        <v>426</v>
      </c>
      <c r="F60" s="10">
        <v>0.66</v>
      </c>
      <c r="G60" t="s">
        <v>115</v>
      </c>
      <c r="I60" s="237"/>
      <c r="J60" s="239"/>
    </row>
    <row r="61" spans="1:18" x14ac:dyDescent="0.25">
      <c r="A61">
        <v>2020</v>
      </c>
      <c r="B61" s="10">
        <v>1.1966000000000001</v>
      </c>
      <c r="I61" s="237"/>
      <c r="J61" s="239"/>
    </row>
    <row r="62" spans="1:18" x14ac:dyDescent="0.25">
      <c r="A62">
        <v>2019</v>
      </c>
      <c r="B62" s="247">
        <v>1.29</v>
      </c>
      <c r="I62" s="240">
        <f>F59-F60</f>
        <v>0.64</v>
      </c>
      <c r="J62" s="239"/>
    </row>
    <row r="63" spans="1:18" x14ac:dyDescent="0.25">
      <c r="A63">
        <v>2018</v>
      </c>
      <c r="B63" s="10">
        <v>1.1449</v>
      </c>
      <c r="D63" s="241"/>
      <c r="I63" s="237"/>
      <c r="J63" s="239"/>
    </row>
    <row r="64" spans="1:18" x14ac:dyDescent="0.25">
      <c r="A64">
        <v>2017</v>
      </c>
      <c r="B64" s="10">
        <v>1.1440999999999999</v>
      </c>
      <c r="I64" s="237"/>
      <c r="J64" s="239"/>
    </row>
    <row r="65" spans="1:10" x14ac:dyDescent="0.25">
      <c r="A65">
        <v>2016</v>
      </c>
      <c r="B65" s="10">
        <v>1.1087</v>
      </c>
      <c r="I65" s="237"/>
      <c r="J65" s="239"/>
    </row>
    <row r="66" spans="1:10" x14ac:dyDescent="0.25">
      <c r="A66">
        <v>2015</v>
      </c>
      <c r="B66" s="10">
        <v>1.1861999999999999</v>
      </c>
      <c r="I66" s="237"/>
      <c r="J66" s="239"/>
    </row>
    <row r="67" spans="1:10" x14ac:dyDescent="0.25">
      <c r="A67" t="s">
        <v>427</v>
      </c>
      <c r="I67" s="237"/>
      <c r="J67" s="239"/>
    </row>
    <row r="68" spans="1:10" x14ac:dyDescent="0.25">
      <c r="I68" s="237"/>
      <c r="J68" s="239"/>
    </row>
    <row r="69" spans="1:10" x14ac:dyDescent="0.25">
      <c r="A69" t="s">
        <v>120</v>
      </c>
      <c r="C69" s="145" t="s">
        <v>428</v>
      </c>
      <c r="D69" s="3"/>
      <c r="E69" s="10">
        <v>0.45</v>
      </c>
      <c r="F69" t="s">
        <v>429</v>
      </c>
      <c r="I69" s="237"/>
      <c r="J69" s="239"/>
    </row>
    <row r="70" spans="1:10" x14ac:dyDescent="0.25">
      <c r="C70" s="145" t="s">
        <v>430</v>
      </c>
      <c r="E70" s="240">
        <f>I62+E69</f>
        <v>1.0900000000000001</v>
      </c>
      <c r="I70" s="240">
        <f>E70</f>
        <v>1.0900000000000001</v>
      </c>
      <c r="J70" s="239"/>
    </row>
    <row r="71" spans="1:10" x14ac:dyDescent="0.25">
      <c r="E71" s="10">
        <f>B62-E69</f>
        <v>0.84000000000000008</v>
      </c>
      <c r="F71" t="s">
        <v>370</v>
      </c>
      <c r="I71" s="237"/>
      <c r="J71" s="239"/>
    </row>
    <row r="72" spans="1:10" x14ac:dyDescent="0.25">
      <c r="I72" s="237"/>
      <c r="J72" s="239"/>
    </row>
    <row r="73" spans="1:10" x14ac:dyDescent="0.25">
      <c r="A73" t="s">
        <v>152</v>
      </c>
      <c r="B73" t="s">
        <v>431</v>
      </c>
      <c r="C73" t="s">
        <v>432</v>
      </c>
      <c r="D73" t="s">
        <v>433</v>
      </c>
      <c r="I73" s="237"/>
      <c r="J73" s="239"/>
    </row>
    <row r="74" spans="1:10" ht="17.25" x14ac:dyDescent="0.25">
      <c r="A74" t="s">
        <v>434</v>
      </c>
      <c r="B74" s="10">
        <v>3</v>
      </c>
      <c r="C74" s="10">
        <v>1.3</v>
      </c>
      <c r="D74" s="10">
        <f>B74-C74</f>
        <v>1.7</v>
      </c>
      <c r="F74" s="461" t="s">
        <v>801</v>
      </c>
      <c r="G74" s="10">
        <v>1.1200000000000001</v>
      </c>
      <c r="H74" t="s">
        <v>483</v>
      </c>
      <c r="I74" s="237"/>
      <c r="J74" s="239"/>
    </row>
    <row r="75" spans="1:10" ht="17.25" x14ac:dyDescent="0.25">
      <c r="A75" t="s">
        <v>435</v>
      </c>
      <c r="B75" s="10">
        <v>2.2400000000000002</v>
      </c>
      <c r="C75" s="10">
        <v>1.1299999999999999</v>
      </c>
      <c r="D75" s="10">
        <f>B75-C75</f>
        <v>1.1100000000000003</v>
      </c>
      <c r="F75" t="s">
        <v>482</v>
      </c>
      <c r="G75" s="10">
        <v>0.15</v>
      </c>
      <c r="H75" t="s">
        <v>483</v>
      </c>
      <c r="I75" s="240">
        <v>0.15</v>
      </c>
      <c r="J75" s="239"/>
    </row>
    <row r="76" spans="1:10" ht="17.25" x14ac:dyDescent="0.25">
      <c r="A76" t="s">
        <v>436</v>
      </c>
      <c r="B76" s="10">
        <v>2.3199999999999998</v>
      </c>
      <c r="C76" s="10">
        <v>0.76</v>
      </c>
      <c r="D76" s="10">
        <f>B76-C76</f>
        <v>1.5599999999999998</v>
      </c>
      <c r="F76" t="s">
        <v>484</v>
      </c>
      <c r="I76" s="237"/>
      <c r="J76" s="239"/>
    </row>
    <row r="77" spans="1:10" ht="17.25" x14ac:dyDescent="0.25">
      <c r="A77" t="s">
        <v>437</v>
      </c>
      <c r="B77" s="10">
        <v>2.89</v>
      </c>
      <c r="C77" s="10">
        <v>1.08</v>
      </c>
      <c r="D77" s="10">
        <f>B77-C77</f>
        <v>1.81</v>
      </c>
      <c r="F77" s="461" t="s">
        <v>802</v>
      </c>
      <c r="G77" s="10">
        <f>G74+G75</f>
        <v>1.27</v>
      </c>
      <c r="I77" s="237"/>
      <c r="J77" s="239"/>
    </row>
    <row r="78" spans="1:10" ht="17.25" x14ac:dyDescent="0.25">
      <c r="A78" t="s">
        <v>438</v>
      </c>
      <c r="B78" s="10">
        <v>1.97</v>
      </c>
      <c r="C78" s="10">
        <v>1.4</v>
      </c>
      <c r="D78" s="10">
        <f>B78-C78</f>
        <v>0.57000000000000006</v>
      </c>
      <c r="F78" s="3" t="s">
        <v>733</v>
      </c>
      <c r="G78" s="69">
        <f>'School Bus Table'!D66</f>
        <v>0</v>
      </c>
      <c r="I78" s="237"/>
      <c r="J78" s="239"/>
    </row>
    <row r="79" spans="1:10" x14ac:dyDescent="0.25">
      <c r="A79" t="s">
        <v>399</v>
      </c>
      <c r="C79" s="10">
        <f>AVERAGE(C74:C78)</f>
        <v>1.1339999999999999</v>
      </c>
      <c r="F79" s="3" t="s">
        <v>732</v>
      </c>
      <c r="G79" s="10">
        <f>C79+G75</f>
        <v>1.2839999999999998</v>
      </c>
    </row>
    <row r="80" spans="1:10" x14ac:dyDescent="0.25">
      <c r="F80" t="s">
        <v>689</v>
      </c>
      <c r="G80" s="69">
        <f>G78-G79</f>
        <v>-1.2839999999999998</v>
      </c>
    </row>
    <row r="81" spans="1:2" x14ac:dyDescent="0.25">
      <c r="A81" s="248">
        <v>1</v>
      </c>
      <c r="B81" s="133" t="s">
        <v>439</v>
      </c>
    </row>
    <row r="82" spans="1:2" x14ac:dyDescent="0.25">
      <c r="A82">
        <v>2</v>
      </c>
      <c r="B82" s="133" t="s">
        <v>440</v>
      </c>
    </row>
    <row r="83" spans="1:2" x14ac:dyDescent="0.25">
      <c r="A83">
        <v>3</v>
      </c>
      <c r="B83" s="133" t="s">
        <v>441</v>
      </c>
    </row>
  </sheetData>
  <mergeCells count="6">
    <mergeCell ref="H50:H51"/>
    <mergeCell ref="H41:H42"/>
    <mergeCell ref="H32:H33"/>
    <mergeCell ref="C32:C33"/>
    <mergeCell ref="C22:C23"/>
    <mergeCell ref="C50:C51"/>
  </mergeCells>
  <hyperlinks>
    <hyperlink ref="B81" r:id="rId1" xr:uid="{763F5CF5-6DAB-4A22-97AE-EB0FBE587CB8}"/>
    <hyperlink ref="B82" r:id="rId2" xr:uid="{9E899BD1-8DE9-4174-A36F-88E3E56BA94B}"/>
    <hyperlink ref="B83" r:id="rId3" xr:uid="{15729808-ED30-47D8-87CC-5A5D0D502DA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CC1F-7403-44BE-8D2A-406441A571D3}">
  <sheetPr codeName="Sheet11"/>
  <dimension ref="A1:BM318"/>
  <sheetViews>
    <sheetView topLeftCell="A4" workbookViewId="0">
      <selection activeCell="G50" sqref="G50"/>
    </sheetView>
  </sheetViews>
  <sheetFormatPr defaultRowHeight="15" x14ac:dyDescent="0.25"/>
  <cols>
    <col min="1" max="1" width="8" customWidth="1"/>
    <col min="2" max="2" width="11" customWidth="1"/>
    <col min="4" max="4" width="11.140625" customWidth="1"/>
    <col min="5" max="5" width="13.5703125" customWidth="1"/>
    <col min="7" max="7" width="13" customWidth="1"/>
    <col min="8" max="8" width="12.28515625" customWidth="1"/>
    <col min="12" max="12" width="12.85546875" customWidth="1"/>
  </cols>
  <sheetData>
    <row r="1" spans="1:13" s="281" customFormat="1" ht="20.100000000000001" customHeight="1" x14ac:dyDescent="0.2">
      <c r="A1" s="279"/>
      <c r="B1" s="279"/>
      <c r="C1" s="279"/>
      <c r="D1" s="279"/>
      <c r="E1" s="279"/>
      <c r="F1" s="280"/>
      <c r="G1" s="280"/>
      <c r="H1" s="279"/>
      <c r="I1" s="279"/>
      <c r="J1" s="279"/>
      <c r="K1" s="279"/>
      <c r="L1" s="279" t="s">
        <v>520</v>
      </c>
    </row>
    <row r="2" spans="1:13" s="281" customFormat="1" ht="20.100000000000001" customHeight="1" x14ac:dyDescent="0.3">
      <c r="A2" s="279"/>
      <c r="B2" s="279"/>
      <c r="C2" s="888" t="s">
        <v>521</v>
      </c>
      <c r="D2" s="888"/>
      <c r="E2" s="888"/>
      <c r="F2" s="888"/>
      <c r="G2" s="888"/>
      <c r="H2" s="888"/>
      <c r="I2" s="888"/>
      <c r="J2" s="888"/>
      <c r="K2" s="279"/>
    </row>
    <row r="3" spans="1:13" s="281" customFormat="1" ht="20.100000000000001" customHeight="1" x14ac:dyDescent="0.2">
      <c r="A3" s="279"/>
      <c r="B3" s="279"/>
      <c r="C3" s="279"/>
      <c r="D3" s="279"/>
      <c r="E3" s="279"/>
      <c r="F3" s="280"/>
      <c r="G3" s="280"/>
      <c r="H3" s="279"/>
      <c r="I3" s="279"/>
      <c r="J3" s="279"/>
      <c r="K3" s="279"/>
    </row>
    <row r="4" spans="1:13" s="284" customFormat="1" ht="12.75" x14ac:dyDescent="0.25">
      <c r="A4" s="282"/>
      <c r="B4" s="282" t="s">
        <v>522</v>
      </c>
      <c r="C4" s="282" t="s">
        <v>523</v>
      </c>
      <c r="D4" s="282" t="s">
        <v>524</v>
      </c>
      <c r="E4" s="282" t="s">
        <v>525</v>
      </c>
      <c r="F4" s="283" t="s">
        <v>526</v>
      </c>
      <c r="G4" s="283" t="s">
        <v>527</v>
      </c>
      <c r="H4" s="282" t="s">
        <v>528</v>
      </c>
      <c r="I4" s="282" t="s">
        <v>529</v>
      </c>
      <c r="J4" s="282" t="s">
        <v>530</v>
      </c>
      <c r="K4" s="282"/>
    </row>
    <row r="5" spans="1:13" s="287" customFormat="1" ht="15" customHeight="1" x14ac:dyDescent="0.2">
      <c r="A5" s="285"/>
      <c r="B5" s="889" t="s">
        <v>531</v>
      </c>
      <c r="C5" s="889">
        <v>2020</v>
      </c>
      <c r="D5" s="286" t="s">
        <v>532</v>
      </c>
      <c r="E5" s="286" t="s">
        <v>533</v>
      </c>
      <c r="F5" s="890" t="s">
        <v>534</v>
      </c>
      <c r="G5" s="890" t="s">
        <v>535</v>
      </c>
      <c r="H5" s="286" t="s">
        <v>536</v>
      </c>
      <c r="I5" s="891" t="s">
        <v>537</v>
      </c>
      <c r="J5" s="891" t="s">
        <v>538</v>
      </c>
      <c r="K5" s="285"/>
    </row>
    <row r="6" spans="1:13" s="281" customFormat="1" ht="12.75" x14ac:dyDescent="0.2">
      <c r="A6" s="279"/>
      <c r="B6" s="889"/>
      <c r="C6" s="889"/>
      <c r="D6" s="286" t="s">
        <v>539</v>
      </c>
      <c r="E6" s="286" t="s">
        <v>539</v>
      </c>
      <c r="F6" s="890"/>
      <c r="G6" s="890"/>
      <c r="H6" s="286" t="s">
        <v>540</v>
      </c>
      <c r="I6" s="891"/>
      <c r="J6" s="891"/>
      <c r="K6" s="279"/>
      <c r="M6" s="288"/>
    </row>
    <row r="7" spans="1:13" s="289" customFormat="1" ht="12.75" x14ac:dyDescent="0.2">
      <c r="B7" s="892" t="s">
        <v>541</v>
      </c>
      <c r="C7" s="290">
        <v>2016</v>
      </c>
      <c r="D7" s="290">
        <v>98.37</v>
      </c>
      <c r="E7" s="290">
        <v>64.680000000000007</v>
      </c>
      <c r="F7" s="291">
        <v>28000</v>
      </c>
      <c r="G7" s="292" t="s">
        <v>542</v>
      </c>
      <c r="H7" s="290">
        <v>81.510000000000005</v>
      </c>
      <c r="I7" s="293">
        <v>1</v>
      </c>
      <c r="J7" s="294">
        <f>((D7-(E7/I7))*F7*H7*I7)/1000000</f>
        <v>76.890013199999984</v>
      </c>
      <c r="M7" s="295"/>
    </row>
    <row r="8" spans="1:13" s="289" customFormat="1" ht="12.75" x14ac:dyDescent="0.2">
      <c r="B8" s="892"/>
      <c r="C8" s="290">
        <v>2017</v>
      </c>
      <c r="D8" s="290">
        <v>98.13</v>
      </c>
      <c r="E8" s="290">
        <v>64.680000000000007</v>
      </c>
      <c r="F8" s="291">
        <v>28000</v>
      </c>
      <c r="G8" s="292" t="s">
        <v>542</v>
      </c>
      <c r="H8" s="290">
        <v>81.510000000000005</v>
      </c>
      <c r="I8" s="293">
        <v>1</v>
      </c>
      <c r="J8" s="294">
        <f t="shared" ref="J8:J16" si="0">((D8-(E8/I8))*F8*H8*I8)/1000000</f>
        <v>76.342265999999967</v>
      </c>
    </row>
    <row r="9" spans="1:13" s="289" customFormat="1" ht="12.75" x14ac:dyDescent="0.2">
      <c r="B9" s="892"/>
      <c r="C9" s="290">
        <v>2018</v>
      </c>
      <c r="D9" s="290">
        <v>97.66</v>
      </c>
      <c r="E9" s="290">
        <v>64.680000000000007</v>
      </c>
      <c r="F9" s="291">
        <v>28000</v>
      </c>
      <c r="G9" s="292" t="s">
        <v>542</v>
      </c>
      <c r="H9" s="290">
        <v>81.510000000000005</v>
      </c>
      <c r="I9" s="293">
        <v>1</v>
      </c>
      <c r="J9" s="294">
        <f t="shared" si="0"/>
        <v>75.269594399999988</v>
      </c>
    </row>
    <row r="10" spans="1:13" s="289" customFormat="1" ht="12.75" x14ac:dyDescent="0.2">
      <c r="B10" s="892"/>
      <c r="C10" s="290">
        <v>2019</v>
      </c>
      <c r="D10" s="296">
        <v>96.59</v>
      </c>
      <c r="E10" s="290">
        <v>64.680000000000007</v>
      </c>
      <c r="F10" s="291">
        <v>28000</v>
      </c>
      <c r="G10" s="292" t="s">
        <v>542</v>
      </c>
      <c r="H10" s="290">
        <v>81.510000000000005</v>
      </c>
      <c r="I10" s="293">
        <v>1</v>
      </c>
      <c r="J10" s="294">
        <f t="shared" si="0"/>
        <v>72.827554800000001</v>
      </c>
    </row>
    <row r="11" spans="1:13" s="289" customFormat="1" ht="12.75" x14ac:dyDescent="0.2">
      <c r="B11" s="892"/>
      <c r="C11" s="290">
        <v>2020</v>
      </c>
      <c r="D11" s="296">
        <v>95.61</v>
      </c>
      <c r="E11" s="290">
        <v>64.680000000000007</v>
      </c>
      <c r="F11" s="291">
        <v>28000</v>
      </c>
      <c r="G11" s="292" t="s">
        <v>542</v>
      </c>
      <c r="H11" s="290">
        <v>81.510000000000005</v>
      </c>
      <c r="I11" s="293">
        <v>1</v>
      </c>
      <c r="J11" s="294">
        <f t="shared" si="0"/>
        <v>70.590920399999987</v>
      </c>
    </row>
    <row r="12" spans="1:13" s="289" customFormat="1" ht="12.75" x14ac:dyDescent="0.2">
      <c r="B12" s="892"/>
      <c r="C12" s="290">
        <v>2021</v>
      </c>
      <c r="D12" s="296">
        <v>94.63</v>
      </c>
      <c r="E12" s="290">
        <v>64.680000000000007</v>
      </c>
      <c r="F12" s="291">
        <v>28000</v>
      </c>
      <c r="G12" s="292" t="s">
        <v>542</v>
      </c>
      <c r="H12" s="290">
        <v>81.510000000000005</v>
      </c>
      <c r="I12" s="293">
        <v>1</v>
      </c>
      <c r="J12" s="294">
        <f t="shared" si="0"/>
        <v>68.354285999999973</v>
      </c>
    </row>
    <row r="13" spans="1:13" s="289" customFormat="1" ht="12.75" x14ac:dyDescent="0.2">
      <c r="B13" s="892"/>
      <c r="C13" s="290">
        <v>2022</v>
      </c>
      <c r="D13" s="296">
        <v>93.15</v>
      </c>
      <c r="E13" s="290">
        <v>64.680000000000007</v>
      </c>
      <c r="F13" s="291">
        <v>28000</v>
      </c>
      <c r="G13" s="292" t="s">
        <v>542</v>
      </c>
      <c r="H13" s="290">
        <v>81.510000000000005</v>
      </c>
      <c r="I13" s="293">
        <v>1</v>
      </c>
      <c r="J13" s="294">
        <f t="shared" si="0"/>
        <v>64.976511599999995</v>
      </c>
    </row>
    <row r="14" spans="1:13" s="289" customFormat="1" ht="12.75" x14ac:dyDescent="0.2">
      <c r="B14" s="892"/>
      <c r="C14" s="290">
        <v>2023</v>
      </c>
      <c r="D14" s="296">
        <v>91.68</v>
      </c>
      <c r="E14" s="290">
        <v>64.680000000000007</v>
      </c>
      <c r="F14" s="291">
        <v>28000</v>
      </c>
      <c r="G14" s="292" t="s">
        <v>542</v>
      </c>
      <c r="H14" s="290">
        <v>81.510000000000005</v>
      </c>
      <c r="I14" s="293">
        <v>1</v>
      </c>
      <c r="J14" s="294">
        <f t="shared" si="0"/>
        <v>61.621560000000009</v>
      </c>
    </row>
    <row r="15" spans="1:13" s="289" customFormat="1" ht="12.75" x14ac:dyDescent="0.2">
      <c r="B15" s="892"/>
      <c r="C15" s="290">
        <v>2024</v>
      </c>
      <c r="D15" s="296">
        <v>90.21</v>
      </c>
      <c r="E15" s="290">
        <v>64.680000000000007</v>
      </c>
      <c r="F15" s="291">
        <v>28000</v>
      </c>
      <c r="G15" s="292" t="s">
        <v>542</v>
      </c>
      <c r="H15" s="290">
        <v>81.510000000000005</v>
      </c>
      <c r="I15" s="293">
        <v>1</v>
      </c>
      <c r="J15" s="294">
        <f t="shared" si="0"/>
        <v>58.266608399999974</v>
      </c>
    </row>
    <row r="16" spans="1:13" s="289" customFormat="1" ht="12.75" x14ac:dyDescent="0.2">
      <c r="B16" s="892"/>
      <c r="C16" s="290">
        <v>2025</v>
      </c>
      <c r="D16" s="296">
        <v>88.25</v>
      </c>
      <c r="E16" s="290">
        <v>64.680000000000007</v>
      </c>
      <c r="F16" s="291">
        <v>28000</v>
      </c>
      <c r="G16" s="292" t="s">
        <v>542</v>
      </c>
      <c r="H16" s="290">
        <v>81.510000000000005</v>
      </c>
      <c r="I16" s="293">
        <v>1</v>
      </c>
      <c r="J16" s="294">
        <f t="shared" si="0"/>
        <v>53.793339599999989</v>
      </c>
    </row>
    <row r="17" spans="1:65" s="289" customFormat="1" ht="12.75" x14ac:dyDescent="0.2">
      <c r="F17" s="297"/>
      <c r="G17" s="298"/>
      <c r="J17" s="299"/>
    </row>
    <row r="18" spans="1:65" s="289" customFormat="1" ht="12.75" x14ac:dyDescent="0.2">
      <c r="A18" s="279"/>
      <c r="B18" s="893" t="s">
        <v>578</v>
      </c>
      <c r="C18" s="300">
        <v>2016</v>
      </c>
      <c r="D18" s="300">
        <v>99.39</v>
      </c>
      <c r="E18" s="345">
        <f>'School Bus Table'!$T$10</f>
        <v>3.7806183184373787</v>
      </c>
      <c r="F18" s="302">
        <v>0</v>
      </c>
      <c r="G18" s="303" t="s">
        <v>543</v>
      </c>
      <c r="H18" s="304">
        <v>3.6</v>
      </c>
      <c r="I18" s="305">
        <v>5</v>
      </c>
      <c r="J18" s="306">
        <f>((D18-(E18/I18))*F18*H18*I18)/1000000</f>
        <v>0</v>
      </c>
      <c r="K18" s="279"/>
      <c r="L18" s="281"/>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row>
    <row r="19" spans="1:65" s="289" customFormat="1" ht="12.75" x14ac:dyDescent="0.2">
      <c r="A19" s="279"/>
      <c r="B19" s="893"/>
      <c r="C19" s="300">
        <v>2017</v>
      </c>
      <c r="D19" s="300">
        <v>99.14</v>
      </c>
      <c r="E19" s="345">
        <f>'School Bus Table'!$T$10</f>
        <v>3.7806183184373787</v>
      </c>
      <c r="F19" s="302">
        <f>F18</f>
        <v>0</v>
      </c>
      <c r="G19" s="303" t="s">
        <v>543</v>
      </c>
      <c r="H19" s="304">
        <v>3.6</v>
      </c>
      <c r="I19" s="305">
        <v>5</v>
      </c>
      <c r="J19" s="306">
        <f>((D19-(E19/I19))*F19*H19*I19)/1000000</f>
        <v>0</v>
      </c>
      <c r="K19" s="279"/>
      <c r="L19" s="281"/>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row>
    <row r="20" spans="1:65" s="289" customFormat="1" ht="12.75" x14ac:dyDescent="0.2">
      <c r="A20" s="279"/>
      <c r="B20" s="893"/>
      <c r="C20" s="300">
        <v>2018</v>
      </c>
      <c r="D20" s="300">
        <v>98.61</v>
      </c>
      <c r="E20" s="345">
        <f>'School Bus Table'!$T$10</f>
        <v>3.7806183184373787</v>
      </c>
      <c r="F20" s="302">
        <f>F19</f>
        <v>0</v>
      </c>
      <c r="G20" s="303" t="s">
        <v>543</v>
      </c>
      <c r="H20" s="304">
        <v>3.6</v>
      </c>
      <c r="I20" s="305">
        <v>5</v>
      </c>
      <c r="J20" s="306">
        <f>((D20-(E20/I20))*F20*H20*I20)/1000000</f>
        <v>0</v>
      </c>
      <c r="K20" s="279"/>
      <c r="L20" s="281"/>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row>
    <row r="21" spans="1:65" s="289" customFormat="1" ht="12.75" x14ac:dyDescent="0.2">
      <c r="A21" s="279"/>
      <c r="B21" s="893"/>
      <c r="C21" s="300">
        <v>2019</v>
      </c>
      <c r="D21" s="307">
        <v>97.26</v>
      </c>
      <c r="E21" s="345">
        <f>'School Bus Table'!$T$10</f>
        <v>3.7806183184373787</v>
      </c>
      <c r="F21" s="302">
        <f>F20</f>
        <v>0</v>
      </c>
      <c r="G21" s="303" t="s">
        <v>543</v>
      </c>
      <c r="H21" s="304">
        <v>3.6</v>
      </c>
      <c r="I21" s="305">
        <v>5</v>
      </c>
      <c r="J21" s="306">
        <f t="shared" ref="J21:J32" si="1">((D21-(E21/I21))*F21*H21*I21)/1000000</f>
        <v>0</v>
      </c>
      <c r="K21" s="279"/>
      <c r="L21" s="281"/>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row>
    <row r="22" spans="1:65" s="289" customFormat="1" ht="12.75" x14ac:dyDescent="0.2">
      <c r="A22" s="279"/>
      <c r="B22" s="893"/>
      <c r="C22" s="300">
        <v>2020</v>
      </c>
      <c r="D22" s="307">
        <v>96.27</v>
      </c>
      <c r="E22" s="345">
        <f>'School Bus Table'!$T$10</f>
        <v>3.7806183184373787</v>
      </c>
      <c r="F22" s="302">
        <v>0</v>
      </c>
      <c r="G22" s="303" t="s">
        <v>543</v>
      </c>
      <c r="H22" s="304">
        <v>3.6</v>
      </c>
      <c r="I22" s="305">
        <v>5</v>
      </c>
      <c r="J22" s="306">
        <f>((D22-(E22/I22))*F22*H22*I22)/1000000</f>
        <v>0</v>
      </c>
      <c r="K22" s="279"/>
      <c r="L22" s="281"/>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row>
    <row r="23" spans="1:65" s="289" customFormat="1" ht="12.75" x14ac:dyDescent="0.2">
      <c r="A23" s="279"/>
      <c r="B23" s="893"/>
      <c r="C23" s="300">
        <v>2021</v>
      </c>
      <c r="D23" s="307">
        <v>95.29</v>
      </c>
      <c r="E23" s="345">
        <f>'School Bus Table'!$T$10</f>
        <v>3.7806183184373787</v>
      </c>
      <c r="F23" s="302">
        <f>'School Bus Table'!$B$11*12</f>
        <v>139500</v>
      </c>
      <c r="G23" s="303" t="s">
        <v>543</v>
      </c>
      <c r="H23" s="304">
        <v>3.6</v>
      </c>
      <c r="I23" s="305">
        <v>5</v>
      </c>
      <c r="J23" s="426">
        <f t="shared" si="1"/>
        <v>237.37456348048076</v>
      </c>
      <c r="K23" s="279"/>
      <c r="L23" s="281"/>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row>
    <row r="24" spans="1:65" s="289" customFormat="1" ht="12.75" x14ac:dyDescent="0.2">
      <c r="A24" s="279"/>
      <c r="B24" s="893"/>
      <c r="C24" s="300">
        <v>2022</v>
      </c>
      <c r="D24" s="307">
        <v>93.81</v>
      </c>
      <c r="E24" s="345">
        <f>'School Bus Table'!$T$10</f>
        <v>3.7806183184373787</v>
      </c>
      <c r="F24" s="302">
        <f>'School Bus Table'!$B$11*12</f>
        <v>139500</v>
      </c>
      <c r="G24" s="303" t="s">
        <v>543</v>
      </c>
      <c r="H24" s="304">
        <v>3.6</v>
      </c>
      <c r="I24" s="305">
        <v>5</v>
      </c>
      <c r="J24" s="306">
        <f t="shared" si="1"/>
        <v>233.65828348048075</v>
      </c>
      <c r="K24" s="279"/>
      <c r="L24" s="281"/>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row>
    <row r="25" spans="1:65" s="289" customFormat="1" ht="12.75" x14ac:dyDescent="0.2">
      <c r="A25" s="279"/>
      <c r="B25" s="893"/>
      <c r="C25" s="300">
        <v>2023</v>
      </c>
      <c r="D25" s="307">
        <v>92.32</v>
      </c>
      <c r="E25" s="345">
        <f>'School Bus Table'!$T$10</f>
        <v>3.7806183184373787</v>
      </c>
      <c r="F25" s="302">
        <f>'School Bus Table'!$B$11*12</f>
        <v>139500</v>
      </c>
      <c r="G25" s="303" t="s">
        <v>543</v>
      </c>
      <c r="H25" s="304">
        <v>3.6</v>
      </c>
      <c r="I25" s="305">
        <v>5</v>
      </c>
      <c r="J25" s="306">
        <f t="shared" si="1"/>
        <v>229.91689348048072</v>
      </c>
      <c r="K25" s="279"/>
      <c r="L25" s="281"/>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row>
    <row r="26" spans="1:65" s="289" customFormat="1" ht="12.75" x14ac:dyDescent="0.2">
      <c r="A26" s="279"/>
      <c r="B26" s="893"/>
      <c r="C26" s="300">
        <v>2024</v>
      </c>
      <c r="D26" s="307">
        <v>90.84</v>
      </c>
      <c r="E26" s="345">
        <f>'School Bus Table'!$T$10</f>
        <v>3.7806183184373787</v>
      </c>
      <c r="F26" s="302">
        <f>'School Bus Table'!$B$11*12</f>
        <v>139500</v>
      </c>
      <c r="G26" s="303" t="s">
        <v>543</v>
      </c>
      <c r="H26" s="304">
        <v>3.6</v>
      </c>
      <c r="I26" s="305">
        <v>5</v>
      </c>
      <c r="J26" s="306">
        <f t="shared" si="1"/>
        <v>226.20061348048077</v>
      </c>
      <c r="K26" s="279"/>
      <c r="L26" s="281"/>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row>
    <row r="27" spans="1:65" s="289" customFormat="1" ht="12.75" x14ac:dyDescent="0.2">
      <c r="A27" s="279"/>
      <c r="B27" s="893"/>
      <c r="C27" s="300">
        <v>2025</v>
      </c>
      <c r="D27" s="307">
        <v>88.87</v>
      </c>
      <c r="E27" s="345">
        <f>'School Bus Table'!$T$10</f>
        <v>3.7806183184373787</v>
      </c>
      <c r="F27" s="302">
        <f>'School Bus Table'!$B$11*12</f>
        <v>139500</v>
      </c>
      <c r="G27" s="303" t="s">
        <v>543</v>
      </c>
      <c r="H27" s="304">
        <v>3.6</v>
      </c>
      <c r="I27" s="305">
        <v>5</v>
      </c>
      <c r="J27" s="306">
        <f t="shared" si="1"/>
        <v>221.25394348048076</v>
      </c>
      <c r="K27" s="279"/>
      <c r="L27" s="281"/>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row>
    <row r="28" spans="1:65" s="289" customFormat="1" ht="12.75" x14ac:dyDescent="0.2">
      <c r="A28" s="279"/>
      <c r="B28" s="287"/>
      <c r="C28" s="308">
        <v>2026</v>
      </c>
      <c r="D28" s="307">
        <v>88.87</v>
      </c>
      <c r="E28" s="345">
        <f>'School Bus Table'!$T$10</f>
        <v>3.7806183184373787</v>
      </c>
      <c r="F28" s="302">
        <f>'School Bus Table'!$B$11*12</f>
        <v>139500</v>
      </c>
      <c r="G28" s="303" t="s">
        <v>543</v>
      </c>
      <c r="H28" s="304">
        <v>3.6</v>
      </c>
      <c r="I28" s="305">
        <v>5</v>
      </c>
      <c r="J28" s="306">
        <f t="shared" si="1"/>
        <v>221.25394348048076</v>
      </c>
      <c r="K28" s="279"/>
      <c r="L28" s="281"/>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row>
    <row r="29" spans="1:65" s="289" customFormat="1" ht="12.75" x14ac:dyDescent="0.2">
      <c r="A29" s="279"/>
      <c r="B29" s="287"/>
      <c r="C29" s="308">
        <v>2027</v>
      </c>
      <c r="D29" s="307">
        <v>88.87</v>
      </c>
      <c r="E29" s="345">
        <f>'School Bus Table'!$T$10</f>
        <v>3.7806183184373787</v>
      </c>
      <c r="F29" s="302">
        <f>'School Bus Table'!$B$11*12</f>
        <v>139500</v>
      </c>
      <c r="G29" s="303" t="s">
        <v>543</v>
      </c>
      <c r="H29" s="304">
        <v>3.6</v>
      </c>
      <c r="I29" s="305">
        <v>5</v>
      </c>
      <c r="J29" s="306">
        <f t="shared" si="1"/>
        <v>221.25394348048076</v>
      </c>
      <c r="K29" s="279"/>
      <c r="L29" s="281"/>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row>
    <row r="30" spans="1:65" s="289" customFormat="1" ht="12.75" x14ac:dyDescent="0.2">
      <c r="A30" s="279"/>
      <c r="B30" s="287"/>
      <c r="C30" s="308">
        <v>2028</v>
      </c>
      <c r="D30" s="307">
        <v>88.87</v>
      </c>
      <c r="E30" s="345">
        <f>'School Bus Table'!$T$10</f>
        <v>3.7806183184373787</v>
      </c>
      <c r="F30" s="302">
        <f>'School Bus Table'!$B$11*12</f>
        <v>139500</v>
      </c>
      <c r="G30" s="303" t="s">
        <v>543</v>
      </c>
      <c r="H30" s="304">
        <v>3.6</v>
      </c>
      <c r="I30" s="305">
        <v>5</v>
      </c>
      <c r="J30" s="306">
        <f t="shared" si="1"/>
        <v>221.25394348048076</v>
      </c>
      <c r="K30" s="279"/>
      <c r="L30" s="281"/>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row>
    <row r="31" spans="1:65" s="289" customFormat="1" ht="12.75" x14ac:dyDescent="0.2">
      <c r="A31" s="279"/>
      <c r="B31" s="287"/>
      <c r="C31" s="308">
        <v>2029</v>
      </c>
      <c r="D31" s="307">
        <v>88.87</v>
      </c>
      <c r="E31" s="345">
        <f>'School Bus Table'!$T$10</f>
        <v>3.7806183184373787</v>
      </c>
      <c r="F31" s="302">
        <f>'School Bus Table'!$B$11*12</f>
        <v>139500</v>
      </c>
      <c r="G31" s="303" t="s">
        <v>543</v>
      </c>
      <c r="H31" s="304">
        <v>3.6</v>
      </c>
      <c r="I31" s="305">
        <v>5</v>
      </c>
      <c r="J31" s="306">
        <f t="shared" si="1"/>
        <v>221.25394348048076</v>
      </c>
      <c r="K31" s="279"/>
      <c r="L31" s="281"/>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row>
    <row r="32" spans="1:65" s="289" customFormat="1" ht="12.75" x14ac:dyDescent="0.2">
      <c r="A32" s="279"/>
      <c r="B32" s="287"/>
      <c r="C32" s="308">
        <v>2030</v>
      </c>
      <c r="D32" s="307">
        <v>88.87</v>
      </c>
      <c r="E32" s="345">
        <f>'School Bus Table'!$T$10</f>
        <v>3.7806183184373787</v>
      </c>
      <c r="F32" s="302">
        <f>'School Bus Table'!$B$11*12</f>
        <v>139500</v>
      </c>
      <c r="G32" s="303" t="s">
        <v>543</v>
      </c>
      <c r="H32" s="304">
        <v>3.6</v>
      </c>
      <c r="I32" s="305">
        <v>5</v>
      </c>
      <c r="J32" s="306">
        <f t="shared" si="1"/>
        <v>221.25394348048076</v>
      </c>
      <c r="K32" s="279"/>
      <c r="L32" s="281"/>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row>
    <row r="33" spans="1:65" s="289" customFormat="1" ht="12.75" x14ac:dyDescent="0.2">
      <c r="A33" s="279"/>
      <c r="B33" s="287"/>
      <c r="C33" s="308">
        <v>2031</v>
      </c>
      <c r="D33" s="307">
        <v>88.87</v>
      </c>
      <c r="E33" s="345">
        <f>'School Bus Table'!$T$10</f>
        <v>3.7806183184373787</v>
      </c>
      <c r="F33" s="302">
        <f>'School Bus Table'!$B$11*12</f>
        <v>139500</v>
      </c>
      <c r="G33" s="303" t="s">
        <v>543</v>
      </c>
      <c r="H33" s="304">
        <v>3.6</v>
      </c>
      <c r="I33" s="305">
        <v>5</v>
      </c>
      <c r="J33" s="306">
        <f>((D33-(E33/I33))*F33*H33*I33)/1000000</f>
        <v>221.25394348048076</v>
      </c>
      <c r="K33" s="281"/>
      <c r="L33" s="30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row>
    <row r="34" spans="1:65" s="289" customFormat="1" ht="12.75" x14ac:dyDescent="0.2">
      <c r="A34" s="279"/>
      <c r="B34" s="287"/>
      <c r="C34" s="344">
        <v>2032</v>
      </c>
      <c r="D34" s="307">
        <v>88.87</v>
      </c>
      <c r="E34" s="345">
        <f>'School Bus Table'!$T$10</f>
        <v>3.7806183184373787</v>
      </c>
      <c r="F34" s="302">
        <f>'School Bus Table'!$B$11*12</f>
        <v>139500</v>
      </c>
      <c r="G34" s="303" t="s">
        <v>543</v>
      </c>
      <c r="H34" s="304">
        <v>3.6</v>
      </c>
      <c r="I34" s="305">
        <v>5</v>
      </c>
      <c r="J34" s="306">
        <f>((D34-(E34/I34))*F34*H34*I34)/1000000</f>
        <v>221.25394348048076</v>
      </c>
      <c r="K34" s="281"/>
      <c r="L34" s="30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row>
    <row r="35" spans="1:65" s="289" customFormat="1" ht="12.75" x14ac:dyDescent="0.2">
      <c r="A35" s="279"/>
      <c r="B35" s="287"/>
      <c r="C35" s="344">
        <v>2033</v>
      </c>
      <c r="D35" s="307">
        <v>88.87</v>
      </c>
      <c r="E35" s="345">
        <f>'School Bus Table'!$T$10</f>
        <v>3.7806183184373787</v>
      </c>
      <c r="F35" s="302">
        <f>'School Bus Table'!$B$11*12</f>
        <v>139500</v>
      </c>
      <c r="G35" s="303" t="s">
        <v>543</v>
      </c>
      <c r="H35" s="304">
        <v>3.6</v>
      </c>
      <c r="I35" s="305">
        <v>5</v>
      </c>
      <c r="J35" s="306">
        <f>((D35-(E35/I35))*F35*H35*I35)/1000000</f>
        <v>221.25394348048076</v>
      </c>
      <c r="K35" s="281"/>
      <c r="L35" s="30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row>
    <row r="36" spans="1:65" s="289" customFormat="1" ht="12.75" x14ac:dyDescent="0.2">
      <c r="A36" s="279"/>
      <c r="B36" s="287"/>
      <c r="C36" s="344">
        <v>2034</v>
      </c>
      <c r="D36" s="307">
        <v>88.87</v>
      </c>
      <c r="E36" s="345">
        <f>'School Bus Table'!$T$10</f>
        <v>3.7806183184373787</v>
      </c>
      <c r="F36" s="302">
        <f>'School Bus Table'!$B$11*12</f>
        <v>139500</v>
      </c>
      <c r="G36" s="303" t="s">
        <v>543</v>
      </c>
      <c r="H36" s="304">
        <v>3.6</v>
      </c>
      <c r="I36" s="305">
        <v>5</v>
      </c>
      <c r="J36" s="306">
        <f>((D36-(E36/I36))*F36*H36*I36)/1000000</f>
        <v>221.25394348048076</v>
      </c>
      <c r="K36" s="281"/>
      <c r="L36" s="309">
        <f>SUM(J23:J37)</f>
        <v>3360.9437322072113</v>
      </c>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row>
    <row r="37" spans="1:65" s="281" customFormat="1" ht="12.75" x14ac:dyDescent="0.2">
      <c r="A37" s="279"/>
      <c r="C37" s="394">
        <v>2035</v>
      </c>
      <c r="D37" s="307">
        <v>88.87</v>
      </c>
      <c r="E37" s="345">
        <f>'School Bus Table'!$T$10</f>
        <v>3.7806183184373787</v>
      </c>
      <c r="F37" s="302">
        <f>'School Bus Table'!$B$11*12</f>
        <v>139500</v>
      </c>
      <c r="G37" s="303" t="s">
        <v>543</v>
      </c>
      <c r="H37" s="304">
        <v>3.6</v>
      </c>
      <c r="I37" s="305">
        <v>5</v>
      </c>
      <c r="J37" s="306">
        <f>((D37-(E37/I37))*F37*H37*I37)/1000000</f>
        <v>221.25394348048076</v>
      </c>
      <c r="L37" s="310"/>
    </row>
    <row r="38" spans="1:65" s="281" customFormat="1" ht="12.75" x14ac:dyDescent="0.2">
      <c r="A38" s="279"/>
      <c r="B38" s="279"/>
      <c r="C38" s="279"/>
      <c r="D38" s="279"/>
      <c r="E38" s="448"/>
      <c r="F38" s="444"/>
      <c r="G38" s="445"/>
      <c r="H38" s="448"/>
      <c r="I38" s="448"/>
      <c r="J38" s="447"/>
      <c r="L38" s="310"/>
    </row>
    <row r="39" spans="1:65" s="281" customFormat="1" ht="12.75" customHeight="1" x14ac:dyDescent="0.2">
      <c r="A39" s="279"/>
      <c r="B39" s="893" t="s">
        <v>544</v>
      </c>
      <c r="C39" s="300">
        <v>2016</v>
      </c>
      <c r="D39" s="300">
        <v>99.39</v>
      </c>
      <c r="E39" s="301">
        <v>5.08</v>
      </c>
      <c r="F39" s="302">
        <f>F18</f>
        <v>0</v>
      </c>
      <c r="G39" s="303" t="s">
        <v>543</v>
      </c>
      <c r="H39" s="304">
        <v>3.6</v>
      </c>
      <c r="I39" s="305">
        <v>5</v>
      </c>
      <c r="J39" s="306">
        <f>((D39-(E39/I39))*F39*H39*I39)/1000000</f>
        <v>0</v>
      </c>
      <c r="K39" s="279"/>
    </row>
    <row r="40" spans="1:65" s="281" customFormat="1" ht="12.75" x14ac:dyDescent="0.2">
      <c r="A40" s="279"/>
      <c r="B40" s="893"/>
      <c r="C40" s="300">
        <v>2017</v>
      </c>
      <c r="D40" s="300">
        <v>99.14</v>
      </c>
      <c r="E40" s="301">
        <v>5.08</v>
      </c>
      <c r="F40" s="302">
        <f>F39</f>
        <v>0</v>
      </c>
      <c r="G40" s="303" t="s">
        <v>543</v>
      </c>
      <c r="H40" s="304">
        <v>3.6</v>
      </c>
      <c r="I40" s="305">
        <v>5</v>
      </c>
      <c r="J40" s="306">
        <f>((D40-(E40/I40))*F40*H40*I40)/1000000</f>
        <v>0</v>
      </c>
      <c r="K40" s="279"/>
    </row>
    <row r="41" spans="1:65" s="281" customFormat="1" ht="12.75" x14ac:dyDescent="0.2">
      <c r="A41" s="279"/>
      <c r="B41" s="893"/>
      <c r="C41" s="300">
        <v>2018</v>
      </c>
      <c r="D41" s="300">
        <v>98.61</v>
      </c>
      <c r="E41" s="301">
        <v>5.08</v>
      </c>
      <c r="F41" s="302">
        <f t="shared" ref="F41:F58" si="2">F40</f>
        <v>0</v>
      </c>
      <c r="G41" s="303" t="s">
        <v>543</v>
      </c>
      <c r="H41" s="304">
        <v>3.6</v>
      </c>
      <c r="I41" s="305">
        <v>5</v>
      </c>
      <c r="J41" s="306">
        <f>((D41-(E41/I41))*F41*H41*I41)/1000000</f>
        <v>0</v>
      </c>
      <c r="K41" s="279"/>
    </row>
    <row r="42" spans="1:65" s="281" customFormat="1" ht="12.75" x14ac:dyDescent="0.2">
      <c r="A42" s="279"/>
      <c r="B42" s="893"/>
      <c r="C42" s="300">
        <v>2019</v>
      </c>
      <c r="D42" s="307">
        <v>97.26</v>
      </c>
      <c r="E42" s="301">
        <v>5.08</v>
      </c>
      <c r="F42" s="302">
        <f t="shared" si="2"/>
        <v>0</v>
      </c>
      <c r="G42" s="303" t="s">
        <v>543</v>
      </c>
      <c r="H42" s="304">
        <v>3.6</v>
      </c>
      <c r="I42" s="305">
        <v>5</v>
      </c>
      <c r="J42" s="306">
        <f t="shared" ref="J42:J58" si="3">((D42-(E42/I42))*F42*H42*I42)/1000000</f>
        <v>0</v>
      </c>
      <c r="K42" s="279"/>
    </row>
    <row r="43" spans="1:65" s="281" customFormat="1" ht="12.75" x14ac:dyDescent="0.2">
      <c r="A43" s="279"/>
      <c r="B43" s="893"/>
      <c r="C43" s="300">
        <v>2020</v>
      </c>
      <c r="D43" s="307">
        <v>96.27</v>
      </c>
      <c r="E43" s="301">
        <v>5.08</v>
      </c>
      <c r="F43" s="302">
        <v>0</v>
      </c>
      <c r="G43" s="303" t="s">
        <v>543</v>
      </c>
      <c r="H43" s="304">
        <v>3.6</v>
      </c>
      <c r="I43" s="305">
        <v>5</v>
      </c>
      <c r="J43" s="306">
        <f t="shared" si="3"/>
        <v>0</v>
      </c>
      <c r="K43" s="279"/>
    </row>
    <row r="44" spans="1:65" s="281" customFormat="1" ht="12.75" x14ac:dyDescent="0.2">
      <c r="A44" s="279"/>
      <c r="B44" s="893"/>
      <c r="C44" s="300">
        <v>2021</v>
      </c>
      <c r="D44" s="307">
        <v>95.29</v>
      </c>
      <c r="E44" s="301">
        <v>5.08</v>
      </c>
      <c r="F44" s="302">
        <f>'School Bus Table'!B11*12</f>
        <v>139500</v>
      </c>
      <c r="G44" s="303" t="s">
        <v>543</v>
      </c>
      <c r="H44" s="304">
        <v>3.6</v>
      </c>
      <c r="I44" s="305">
        <v>5</v>
      </c>
      <c r="J44" s="306">
        <f t="shared" si="3"/>
        <v>236.72201400000003</v>
      </c>
      <c r="K44" s="279"/>
    </row>
    <row r="45" spans="1:65" s="281" customFormat="1" ht="12.75" x14ac:dyDescent="0.2">
      <c r="A45" s="279"/>
      <c r="B45" s="893"/>
      <c r="C45" s="300">
        <v>2022</v>
      </c>
      <c r="D45" s="307">
        <v>93.81</v>
      </c>
      <c r="E45" s="301">
        <v>5.08</v>
      </c>
      <c r="F45" s="302">
        <f t="shared" si="2"/>
        <v>139500</v>
      </c>
      <c r="G45" s="303" t="s">
        <v>543</v>
      </c>
      <c r="H45" s="304">
        <v>3.6</v>
      </c>
      <c r="I45" s="305">
        <v>5</v>
      </c>
      <c r="J45" s="306">
        <f t="shared" si="3"/>
        <v>233.00573400000002</v>
      </c>
      <c r="K45" s="279"/>
    </row>
    <row r="46" spans="1:65" s="281" customFormat="1" ht="12.75" x14ac:dyDescent="0.2">
      <c r="A46" s="279"/>
      <c r="B46" s="893"/>
      <c r="C46" s="300">
        <v>2023</v>
      </c>
      <c r="D46" s="307">
        <v>92.32</v>
      </c>
      <c r="E46" s="301">
        <v>5.08</v>
      </c>
      <c r="F46" s="302">
        <f t="shared" si="2"/>
        <v>139500</v>
      </c>
      <c r="G46" s="303" t="s">
        <v>543</v>
      </c>
      <c r="H46" s="304">
        <v>3.6</v>
      </c>
      <c r="I46" s="305">
        <v>5</v>
      </c>
      <c r="J46" s="306">
        <f t="shared" si="3"/>
        <v>229.26434399999999</v>
      </c>
      <c r="K46" s="279"/>
    </row>
    <row r="47" spans="1:65" s="281" customFormat="1" ht="12.75" x14ac:dyDescent="0.2">
      <c r="A47" s="279"/>
      <c r="B47" s="893"/>
      <c r="C47" s="300">
        <v>2024</v>
      </c>
      <c r="D47" s="307">
        <v>90.84</v>
      </c>
      <c r="E47" s="301">
        <v>5.08</v>
      </c>
      <c r="F47" s="302">
        <f t="shared" si="2"/>
        <v>139500</v>
      </c>
      <c r="G47" s="303" t="s">
        <v>543</v>
      </c>
      <c r="H47" s="304">
        <v>3.6</v>
      </c>
      <c r="I47" s="305">
        <v>5</v>
      </c>
      <c r="J47" s="306">
        <f t="shared" si="3"/>
        <v>225.54806400000004</v>
      </c>
      <c r="K47" s="279"/>
    </row>
    <row r="48" spans="1:65" s="281" customFormat="1" ht="12.75" x14ac:dyDescent="0.2">
      <c r="A48" s="279"/>
      <c r="B48" s="893"/>
      <c r="C48" s="300">
        <v>2025</v>
      </c>
      <c r="D48" s="307">
        <v>88.87</v>
      </c>
      <c r="E48" s="301">
        <v>5.08</v>
      </c>
      <c r="F48" s="302">
        <f t="shared" si="2"/>
        <v>139500</v>
      </c>
      <c r="G48" s="303" t="s">
        <v>543</v>
      </c>
      <c r="H48" s="304">
        <v>3.6</v>
      </c>
      <c r="I48" s="305">
        <v>5</v>
      </c>
      <c r="J48" s="306">
        <f t="shared" si="3"/>
        <v>220.60139400000003</v>
      </c>
      <c r="K48" s="279"/>
    </row>
    <row r="49" spans="1:12" s="281" customFormat="1" ht="12.75" x14ac:dyDescent="0.2">
      <c r="A49" s="279"/>
      <c r="B49" s="287"/>
      <c r="C49" s="308">
        <v>2026</v>
      </c>
      <c r="D49" s="307">
        <v>88.87</v>
      </c>
      <c r="E49" s="301">
        <v>5.08</v>
      </c>
      <c r="F49" s="302">
        <f t="shared" si="2"/>
        <v>139500</v>
      </c>
      <c r="G49" s="303" t="s">
        <v>543</v>
      </c>
      <c r="H49" s="304">
        <v>3.6</v>
      </c>
      <c r="I49" s="305">
        <v>5</v>
      </c>
      <c r="J49" s="306">
        <f t="shared" si="3"/>
        <v>220.60139400000003</v>
      </c>
      <c r="K49" s="279"/>
    </row>
    <row r="50" spans="1:12" s="281" customFormat="1" ht="12.75" x14ac:dyDescent="0.2">
      <c r="A50" s="279"/>
      <c r="B50" s="287"/>
      <c r="C50" s="308">
        <v>2027</v>
      </c>
      <c r="D50" s="307">
        <v>88.87</v>
      </c>
      <c r="E50" s="301">
        <v>5.08</v>
      </c>
      <c r="F50" s="302">
        <f t="shared" si="2"/>
        <v>139500</v>
      </c>
      <c r="G50" s="303" t="s">
        <v>543</v>
      </c>
      <c r="H50" s="304">
        <v>3.6</v>
      </c>
      <c r="I50" s="305">
        <v>5</v>
      </c>
      <c r="J50" s="306">
        <f t="shared" si="3"/>
        <v>220.60139400000003</v>
      </c>
      <c r="K50" s="279"/>
    </row>
    <row r="51" spans="1:12" s="281" customFormat="1" ht="12.75" x14ac:dyDescent="0.2">
      <c r="A51" s="279"/>
      <c r="B51" s="287"/>
      <c r="C51" s="308">
        <v>2028</v>
      </c>
      <c r="D51" s="307">
        <v>88.87</v>
      </c>
      <c r="E51" s="301">
        <v>5.08</v>
      </c>
      <c r="F51" s="302">
        <f t="shared" si="2"/>
        <v>139500</v>
      </c>
      <c r="G51" s="303" t="s">
        <v>543</v>
      </c>
      <c r="H51" s="304">
        <v>3.6</v>
      </c>
      <c r="I51" s="305">
        <v>5</v>
      </c>
      <c r="J51" s="306">
        <f t="shared" si="3"/>
        <v>220.60139400000003</v>
      </c>
      <c r="K51" s="279"/>
    </row>
    <row r="52" spans="1:12" s="281" customFormat="1" ht="12.75" x14ac:dyDescent="0.2">
      <c r="A52" s="279"/>
      <c r="B52" s="287"/>
      <c r="C52" s="308">
        <v>2029</v>
      </c>
      <c r="D52" s="307">
        <v>88.87</v>
      </c>
      <c r="E52" s="301">
        <v>5.08</v>
      </c>
      <c r="F52" s="302">
        <f t="shared" si="2"/>
        <v>139500</v>
      </c>
      <c r="G52" s="303" t="s">
        <v>543</v>
      </c>
      <c r="H52" s="304">
        <v>3.6</v>
      </c>
      <c r="I52" s="305">
        <v>5</v>
      </c>
      <c r="J52" s="306">
        <f t="shared" si="3"/>
        <v>220.60139400000003</v>
      </c>
      <c r="K52" s="279"/>
    </row>
    <row r="53" spans="1:12" s="281" customFormat="1" ht="12.75" x14ac:dyDescent="0.2">
      <c r="A53" s="279"/>
      <c r="B53" s="287"/>
      <c r="C53" s="308">
        <v>2030</v>
      </c>
      <c r="D53" s="307">
        <v>88.87</v>
      </c>
      <c r="E53" s="301">
        <v>5.08</v>
      </c>
      <c r="F53" s="302">
        <f t="shared" si="2"/>
        <v>139500</v>
      </c>
      <c r="G53" s="303" t="s">
        <v>543</v>
      </c>
      <c r="H53" s="304">
        <v>3.6</v>
      </c>
      <c r="I53" s="305">
        <v>5</v>
      </c>
      <c r="J53" s="306">
        <f t="shared" si="3"/>
        <v>220.60139400000003</v>
      </c>
      <c r="K53" s="279"/>
    </row>
    <row r="54" spans="1:12" s="281" customFormat="1" ht="12.75" x14ac:dyDescent="0.2">
      <c r="A54" s="279"/>
      <c r="B54" s="287"/>
      <c r="C54" s="308">
        <v>2031</v>
      </c>
      <c r="D54" s="307">
        <v>88.87</v>
      </c>
      <c r="E54" s="301">
        <v>5.08</v>
      </c>
      <c r="F54" s="302">
        <f t="shared" si="2"/>
        <v>139500</v>
      </c>
      <c r="G54" s="303" t="s">
        <v>543</v>
      </c>
      <c r="H54" s="304">
        <v>3.6</v>
      </c>
      <c r="I54" s="305">
        <v>5</v>
      </c>
      <c r="J54" s="306">
        <f t="shared" si="3"/>
        <v>220.60139400000003</v>
      </c>
      <c r="L54" s="309"/>
    </row>
    <row r="55" spans="1:12" s="281" customFormat="1" ht="12.75" x14ac:dyDescent="0.2">
      <c r="A55" s="279"/>
      <c r="B55" s="287"/>
      <c r="C55" s="344">
        <v>2032</v>
      </c>
      <c r="D55" s="307">
        <v>88.87</v>
      </c>
      <c r="E55" s="301">
        <v>5.08</v>
      </c>
      <c r="F55" s="302">
        <f t="shared" si="2"/>
        <v>139500</v>
      </c>
      <c r="G55" s="303" t="s">
        <v>543</v>
      </c>
      <c r="H55" s="304">
        <v>3.6</v>
      </c>
      <c r="I55" s="305">
        <v>5</v>
      </c>
      <c r="J55" s="306">
        <f t="shared" si="3"/>
        <v>220.60139400000003</v>
      </c>
      <c r="L55" s="309"/>
    </row>
    <row r="56" spans="1:12" s="281" customFormat="1" ht="12.75" x14ac:dyDescent="0.2">
      <c r="A56" s="279"/>
      <c r="B56" s="287"/>
      <c r="C56" s="344">
        <v>2033</v>
      </c>
      <c r="D56" s="307">
        <v>88.87</v>
      </c>
      <c r="E56" s="301">
        <v>5.08</v>
      </c>
      <c r="F56" s="302">
        <f t="shared" si="2"/>
        <v>139500</v>
      </c>
      <c r="G56" s="303" t="s">
        <v>543</v>
      </c>
      <c r="H56" s="304">
        <v>3.6</v>
      </c>
      <c r="I56" s="305">
        <v>5</v>
      </c>
      <c r="J56" s="306">
        <f t="shared" si="3"/>
        <v>220.60139400000003</v>
      </c>
      <c r="L56" s="309"/>
    </row>
    <row r="57" spans="1:12" s="281" customFormat="1" ht="12.75" x14ac:dyDescent="0.2">
      <c r="A57" s="279"/>
      <c r="B57" s="287"/>
      <c r="C57" s="344">
        <v>2034</v>
      </c>
      <c r="D57" s="307">
        <v>88.87</v>
      </c>
      <c r="E57" s="301">
        <v>5.08</v>
      </c>
      <c r="F57" s="302">
        <f t="shared" si="2"/>
        <v>139500</v>
      </c>
      <c r="G57" s="303" t="s">
        <v>543</v>
      </c>
      <c r="H57" s="304">
        <v>3.6</v>
      </c>
      <c r="I57" s="305">
        <v>5</v>
      </c>
      <c r="J57" s="306">
        <f t="shared" si="3"/>
        <v>220.60139400000003</v>
      </c>
      <c r="L57" s="309">
        <f>SUM(J44:J58)</f>
        <v>3351.155490000001</v>
      </c>
    </row>
    <row r="58" spans="1:12" s="279" customFormat="1" ht="12.75" x14ac:dyDescent="0.2">
      <c r="C58" s="394">
        <v>2035</v>
      </c>
      <c r="D58" s="307">
        <v>88.87</v>
      </c>
      <c r="E58" s="301">
        <v>5.08</v>
      </c>
      <c r="F58" s="302">
        <f t="shared" si="2"/>
        <v>139500</v>
      </c>
      <c r="G58" s="303" t="s">
        <v>543</v>
      </c>
      <c r="H58" s="304">
        <v>3.6</v>
      </c>
      <c r="I58" s="305">
        <v>5</v>
      </c>
      <c r="J58" s="306">
        <f t="shared" si="3"/>
        <v>220.60139400000003</v>
      </c>
    </row>
    <row r="59" spans="1:12" s="279" customFormat="1" ht="12.75" x14ac:dyDescent="0.2">
      <c r="D59" s="442"/>
      <c r="E59" s="443"/>
      <c r="F59" s="444"/>
      <c r="G59" s="445"/>
      <c r="H59" s="448"/>
      <c r="I59" s="448"/>
      <c r="J59" s="447"/>
    </row>
    <row r="60" spans="1:12" s="281" customFormat="1" ht="12.75" x14ac:dyDescent="0.2">
      <c r="A60" s="279"/>
      <c r="B60" s="893" t="s">
        <v>98</v>
      </c>
      <c r="C60" s="300">
        <v>2016</v>
      </c>
      <c r="D60" s="300">
        <v>99.39</v>
      </c>
      <c r="E60" s="301">
        <v>80.88</v>
      </c>
      <c r="F60" s="302">
        <v>0</v>
      </c>
      <c r="G60" s="303" t="s">
        <v>542</v>
      </c>
      <c r="H60" s="312">
        <v>89.63</v>
      </c>
      <c r="I60" s="313">
        <v>0.9</v>
      </c>
      <c r="J60" s="306">
        <f>IF(((D60-(E60/I60))*F60*H60*I60)/1000000&gt;1,((D60-(E60/I60))*F60*H60*I60)/1000000,0)</f>
        <v>0</v>
      </c>
      <c r="K60" s="279"/>
      <c r="L60" s="393"/>
    </row>
    <row r="61" spans="1:12" s="281" customFormat="1" ht="12.75" x14ac:dyDescent="0.2">
      <c r="A61" s="279"/>
      <c r="B61" s="893"/>
      <c r="C61" s="300">
        <v>2017</v>
      </c>
      <c r="D61" s="300">
        <v>99.14</v>
      </c>
      <c r="E61" s="301">
        <v>80.88</v>
      </c>
      <c r="F61" s="302">
        <v>0</v>
      </c>
      <c r="G61" s="303" t="s">
        <v>542</v>
      </c>
      <c r="H61" s="312">
        <v>89.63</v>
      </c>
      <c r="I61" s="313">
        <v>0.9</v>
      </c>
      <c r="J61" s="306">
        <f t="shared" ref="J61:J79" si="4">IF(((D61-(E61/I61))*F61*H61*I61)/1000000&gt;1,((D61-(E61/I61))*F61*H61*I61)/1000000,0)</f>
        <v>0</v>
      </c>
      <c r="K61" s="279"/>
      <c r="L61" s="314"/>
    </row>
    <row r="62" spans="1:12" s="281" customFormat="1" ht="12.75" x14ac:dyDescent="0.2">
      <c r="A62" s="279"/>
      <c r="B62" s="893"/>
      <c r="C62" s="300">
        <v>2018</v>
      </c>
      <c r="D62" s="300">
        <v>98.61</v>
      </c>
      <c r="E62" s="301">
        <v>80.88</v>
      </c>
      <c r="F62" s="302">
        <v>0</v>
      </c>
      <c r="G62" s="303" t="s">
        <v>542</v>
      </c>
      <c r="H62" s="312">
        <v>89.63</v>
      </c>
      <c r="I62" s="313">
        <v>0.9</v>
      </c>
      <c r="J62" s="306">
        <f t="shared" si="4"/>
        <v>0</v>
      </c>
      <c r="K62" s="279"/>
      <c r="L62" s="314"/>
    </row>
    <row r="63" spans="1:12" s="281" customFormat="1" ht="12.75" x14ac:dyDescent="0.2">
      <c r="A63" s="279"/>
      <c r="B63" s="893"/>
      <c r="C63" s="300">
        <v>2019</v>
      </c>
      <c r="D63" s="307">
        <v>97.26</v>
      </c>
      <c r="E63" s="301">
        <v>80.88</v>
      </c>
      <c r="F63" s="302">
        <v>0</v>
      </c>
      <c r="G63" s="303" t="s">
        <v>542</v>
      </c>
      <c r="H63" s="312">
        <v>89.63</v>
      </c>
      <c r="I63" s="313">
        <v>0.9</v>
      </c>
      <c r="J63" s="306">
        <f t="shared" si="4"/>
        <v>0</v>
      </c>
      <c r="K63" s="279"/>
      <c r="L63" s="314"/>
    </row>
    <row r="64" spans="1:12" s="281" customFormat="1" ht="12.75" x14ac:dyDescent="0.2">
      <c r="A64" s="279"/>
      <c r="B64" s="893"/>
      <c r="C64" s="300">
        <v>2020</v>
      </c>
      <c r="D64" s="307">
        <v>96.27</v>
      </c>
      <c r="E64" s="301">
        <v>80.88</v>
      </c>
      <c r="F64" s="302">
        <v>0</v>
      </c>
      <c r="G64" s="303" t="s">
        <v>542</v>
      </c>
      <c r="H64" s="312">
        <v>89.63</v>
      </c>
      <c r="I64" s="313">
        <v>0.9</v>
      </c>
      <c r="J64" s="306">
        <f t="shared" si="4"/>
        <v>0</v>
      </c>
      <c r="K64" s="279"/>
      <c r="L64" s="314"/>
    </row>
    <row r="65" spans="1:12" s="281" customFormat="1" ht="12.75" x14ac:dyDescent="0.2">
      <c r="A65" s="279"/>
      <c r="B65" s="893"/>
      <c r="C65" s="300">
        <v>2021</v>
      </c>
      <c r="D65" s="307">
        <v>95.29</v>
      </c>
      <c r="E65" s="301">
        <v>80.88</v>
      </c>
      <c r="F65" s="302">
        <f>'School Bus Table'!F70</f>
        <v>17772.511848341233</v>
      </c>
      <c r="G65" s="303" t="s">
        <v>542</v>
      </c>
      <c r="H65" s="312">
        <v>89.63</v>
      </c>
      <c r="I65" s="313">
        <v>0.9</v>
      </c>
      <c r="J65" s="427">
        <f t="shared" si="4"/>
        <v>7.7751901066350904</v>
      </c>
      <c r="K65" s="279"/>
      <c r="L65" s="314"/>
    </row>
    <row r="66" spans="1:12" s="281" customFormat="1" ht="12.75" x14ac:dyDescent="0.2">
      <c r="A66" s="279"/>
      <c r="B66" s="893"/>
      <c r="C66" s="300">
        <v>2022</v>
      </c>
      <c r="D66" s="307">
        <v>93.81</v>
      </c>
      <c r="E66" s="301">
        <v>80.88</v>
      </c>
      <c r="F66" s="302">
        <f t="shared" ref="F66:F79" si="5">F65</f>
        <v>17772.511848341233</v>
      </c>
      <c r="G66" s="303" t="s">
        <v>542</v>
      </c>
      <c r="H66" s="312">
        <v>89.63</v>
      </c>
      <c r="I66" s="313">
        <v>0.9</v>
      </c>
      <c r="J66" s="306">
        <f t="shared" si="4"/>
        <v>5.6533803909952747</v>
      </c>
      <c r="K66" s="279"/>
      <c r="L66" s="314"/>
    </row>
    <row r="67" spans="1:12" s="281" customFormat="1" ht="12.75" x14ac:dyDescent="0.2">
      <c r="A67" s="279"/>
      <c r="B67" s="893"/>
      <c r="C67" s="300">
        <v>2023</v>
      </c>
      <c r="D67" s="307">
        <v>92.32</v>
      </c>
      <c r="E67" s="301">
        <v>80.88</v>
      </c>
      <c r="F67" s="302">
        <f t="shared" si="5"/>
        <v>17772.511848341233</v>
      </c>
      <c r="G67" s="303" t="s">
        <v>542</v>
      </c>
      <c r="H67" s="312">
        <v>89.63</v>
      </c>
      <c r="I67" s="313">
        <v>0.9</v>
      </c>
      <c r="J67" s="306">
        <f t="shared" si="4"/>
        <v>3.5172341232227486</v>
      </c>
      <c r="K67" s="279"/>
      <c r="L67" s="314"/>
    </row>
    <row r="68" spans="1:12" s="281" customFormat="1" ht="12.75" x14ac:dyDescent="0.2">
      <c r="A68" s="279"/>
      <c r="B68" s="893"/>
      <c r="C68" s="300">
        <v>2024</v>
      </c>
      <c r="D68" s="307">
        <v>90.84</v>
      </c>
      <c r="E68" s="301">
        <v>80.88</v>
      </c>
      <c r="F68" s="302">
        <f t="shared" si="5"/>
        <v>17772.511848341233</v>
      </c>
      <c r="G68" s="303" t="s">
        <v>542</v>
      </c>
      <c r="H68" s="312">
        <v>89.63</v>
      </c>
      <c r="I68" s="313">
        <v>0.9</v>
      </c>
      <c r="J68" s="306">
        <f t="shared" si="4"/>
        <v>1.3954244075829529</v>
      </c>
      <c r="K68" s="279"/>
      <c r="L68" s="314"/>
    </row>
    <row r="69" spans="1:12" s="281" customFormat="1" ht="12.75" x14ac:dyDescent="0.2">
      <c r="A69" s="279"/>
      <c r="B69" s="893"/>
      <c r="C69" s="300">
        <v>2025</v>
      </c>
      <c r="D69" s="307">
        <v>88.87</v>
      </c>
      <c r="E69" s="301">
        <v>80.88</v>
      </c>
      <c r="F69" s="302">
        <f t="shared" si="5"/>
        <v>17772.511848341233</v>
      </c>
      <c r="G69" s="303" t="s">
        <v>542</v>
      </c>
      <c r="H69" s="312">
        <v>89.63</v>
      </c>
      <c r="I69" s="313">
        <v>0.9</v>
      </c>
      <c r="J69" s="306">
        <f t="shared" si="4"/>
        <v>0</v>
      </c>
      <c r="K69" s="279"/>
      <c r="L69" s="314"/>
    </row>
    <row r="70" spans="1:12" s="281" customFormat="1" ht="12.75" x14ac:dyDescent="0.2">
      <c r="A70" s="279"/>
      <c r="B70" s="287"/>
      <c r="C70" s="308">
        <v>2026</v>
      </c>
      <c r="D70" s="307">
        <v>88.87</v>
      </c>
      <c r="E70" s="301">
        <v>80.88</v>
      </c>
      <c r="F70" s="302">
        <f t="shared" si="5"/>
        <v>17772.511848341233</v>
      </c>
      <c r="G70" s="303" t="s">
        <v>542</v>
      </c>
      <c r="H70" s="312">
        <v>89.63</v>
      </c>
      <c r="I70" s="313">
        <v>0.9</v>
      </c>
      <c r="J70" s="306">
        <f t="shared" si="4"/>
        <v>0</v>
      </c>
      <c r="K70" s="279"/>
      <c r="L70" s="314"/>
    </row>
    <row r="71" spans="1:12" s="281" customFormat="1" ht="12.75" x14ac:dyDescent="0.2">
      <c r="A71" s="279"/>
      <c r="B71" s="287"/>
      <c r="C71" s="308">
        <v>2027</v>
      </c>
      <c r="D71" s="307">
        <v>88.87</v>
      </c>
      <c r="E71" s="301">
        <v>80.88</v>
      </c>
      <c r="F71" s="302">
        <f t="shared" si="5"/>
        <v>17772.511848341233</v>
      </c>
      <c r="G71" s="303" t="s">
        <v>542</v>
      </c>
      <c r="H71" s="312">
        <v>89.63</v>
      </c>
      <c r="I71" s="313">
        <v>0.9</v>
      </c>
      <c r="J71" s="306">
        <f t="shared" si="4"/>
        <v>0</v>
      </c>
      <c r="K71" s="279"/>
      <c r="L71" s="314"/>
    </row>
    <row r="72" spans="1:12" s="281" customFormat="1" ht="12.75" x14ac:dyDescent="0.2">
      <c r="A72" s="279"/>
      <c r="B72" s="287"/>
      <c r="C72" s="308">
        <v>2028</v>
      </c>
      <c r="D72" s="307">
        <v>88.87</v>
      </c>
      <c r="E72" s="301">
        <v>80.88</v>
      </c>
      <c r="F72" s="302">
        <f t="shared" si="5"/>
        <v>17772.511848341233</v>
      </c>
      <c r="G72" s="303" t="s">
        <v>542</v>
      </c>
      <c r="H72" s="312">
        <v>89.63</v>
      </c>
      <c r="I72" s="313">
        <v>0.9</v>
      </c>
      <c r="J72" s="306">
        <f t="shared" si="4"/>
        <v>0</v>
      </c>
      <c r="K72" s="279"/>
      <c r="L72" s="314"/>
    </row>
    <row r="73" spans="1:12" s="281" customFormat="1" ht="12.75" x14ac:dyDescent="0.2">
      <c r="A73" s="279"/>
      <c r="B73" s="287"/>
      <c r="C73" s="308">
        <v>2029</v>
      </c>
      <c r="D73" s="307">
        <v>88.87</v>
      </c>
      <c r="E73" s="301">
        <v>80.88</v>
      </c>
      <c r="F73" s="302">
        <f t="shared" si="5"/>
        <v>17772.511848341233</v>
      </c>
      <c r="G73" s="303" t="s">
        <v>542</v>
      </c>
      <c r="H73" s="312">
        <v>89.63</v>
      </c>
      <c r="I73" s="313">
        <v>0.9</v>
      </c>
      <c r="J73" s="306">
        <f t="shared" si="4"/>
        <v>0</v>
      </c>
      <c r="K73" s="279"/>
      <c r="L73" s="314"/>
    </row>
    <row r="74" spans="1:12" s="281" customFormat="1" ht="12.75" x14ac:dyDescent="0.2">
      <c r="A74" s="279"/>
      <c r="B74" s="287"/>
      <c r="C74" s="308">
        <v>2030</v>
      </c>
      <c r="D74" s="307">
        <v>88.87</v>
      </c>
      <c r="E74" s="301">
        <v>80.88</v>
      </c>
      <c r="F74" s="302">
        <f t="shared" si="5"/>
        <v>17772.511848341233</v>
      </c>
      <c r="G74" s="303" t="s">
        <v>542</v>
      </c>
      <c r="H74" s="312">
        <v>89.63</v>
      </c>
      <c r="I74" s="313">
        <v>0.9</v>
      </c>
      <c r="J74" s="306">
        <f t="shared" si="4"/>
        <v>0</v>
      </c>
      <c r="K74" s="279"/>
      <c r="L74" s="314"/>
    </row>
    <row r="75" spans="1:12" s="281" customFormat="1" ht="12.75" x14ac:dyDescent="0.2">
      <c r="A75" s="279"/>
      <c r="B75" s="287"/>
      <c r="C75" s="308">
        <v>2031</v>
      </c>
      <c r="D75" s="307">
        <v>88.87</v>
      </c>
      <c r="E75" s="301">
        <v>80.88</v>
      </c>
      <c r="F75" s="302">
        <f t="shared" si="5"/>
        <v>17772.511848341233</v>
      </c>
      <c r="G75" s="303" t="s">
        <v>542</v>
      </c>
      <c r="H75" s="312">
        <v>89.63</v>
      </c>
      <c r="I75" s="313">
        <v>0.9</v>
      </c>
      <c r="J75" s="306">
        <f t="shared" si="4"/>
        <v>0</v>
      </c>
      <c r="L75" s="309">
        <f>SUM(J65:J79)</f>
        <v>18.341229028436068</v>
      </c>
    </row>
    <row r="76" spans="1:12" s="281" customFormat="1" ht="12.75" x14ac:dyDescent="0.2">
      <c r="A76" s="279"/>
      <c r="B76" s="287"/>
      <c r="C76" s="344">
        <v>2032</v>
      </c>
      <c r="D76" s="307">
        <v>88.87</v>
      </c>
      <c r="E76" s="301">
        <v>80.88</v>
      </c>
      <c r="F76" s="302">
        <f t="shared" si="5"/>
        <v>17772.511848341233</v>
      </c>
      <c r="G76" s="303" t="s">
        <v>542</v>
      </c>
      <c r="H76" s="312">
        <v>89.63</v>
      </c>
      <c r="I76" s="313">
        <v>0.9</v>
      </c>
      <c r="J76" s="306">
        <f t="shared" si="4"/>
        <v>0</v>
      </c>
      <c r="L76" s="309"/>
    </row>
    <row r="77" spans="1:12" s="281" customFormat="1" ht="12.75" x14ac:dyDescent="0.2">
      <c r="A77" s="279"/>
      <c r="B77" s="287"/>
      <c r="C77" s="344">
        <v>2033</v>
      </c>
      <c r="D77" s="307">
        <v>88.87</v>
      </c>
      <c r="E77" s="301">
        <v>80.88</v>
      </c>
      <c r="F77" s="302">
        <f t="shared" si="5"/>
        <v>17772.511848341233</v>
      </c>
      <c r="G77" s="303" t="s">
        <v>542</v>
      </c>
      <c r="H77" s="312">
        <v>89.63</v>
      </c>
      <c r="I77" s="313">
        <v>0.9</v>
      </c>
      <c r="J77" s="306">
        <f t="shared" si="4"/>
        <v>0</v>
      </c>
      <c r="L77" s="309"/>
    </row>
    <row r="78" spans="1:12" s="281" customFormat="1" ht="12.75" x14ac:dyDescent="0.2">
      <c r="A78" s="279"/>
      <c r="B78" s="287"/>
      <c r="C78" s="344">
        <v>2034</v>
      </c>
      <c r="D78" s="307">
        <v>88.87</v>
      </c>
      <c r="E78" s="301">
        <v>80.88</v>
      </c>
      <c r="F78" s="302">
        <f t="shared" si="5"/>
        <v>17772.511848341233</v>
      </c>
      <c r="G78" s="303" t="s">
        <v>542</v>
      </c>
      <c r="H78" s="312">
        <v>89.63</v>
      </c>
      <c r="I78" s="313">
        <v>0.9</v>
      </c>
      <c r="J78" s="306">
        <f t="shared" si="4"/>
        <v>0</v>
      </c>
      <c r="L78" s="309">
        <f>SUM(J65:J79)</f>
        <v>18.341229028436068</v>
      </c>
    </row>
    <row r="79" spans="1:12" s="279" customFormat="1" ht="12.75" x14ac:dyDescent="0.2">
      <c r="C79" s="394">
        <v>2035</v>
      </c>
      <c r="D79" s="307">
        <v>88.87</v>
      </c>
      <c r="E79" s="301">
        <v>80.88</v>
      </c>
      <c r="F79" s="302">
        <f t="shared" si="5"/>
        <v>17772.511848341233</v>
      </c>
      <c r="G79" s="303" t="s">
        <v>542</v>
      </c>
      <c r="H79" s="312">
        <v>89.63</v>
      </c>
      <c r="I79" s="313">
        <v>0.9</v>
      </c>
      <c r="J79" s="306">
        <f t="shared" si="4"/>
        <v>0</v>
      </c>
    </row>
    <row r="80" spans="1:12" s="279" customFormat="1" ht="12.75" x14ac:dyDescent="0.2">
      <c r="D80" s="442"/>
      <c r="E80" s="443"/>
      <c r="F80" s="444"/>
      <c r="G80" s="445"/>
      <c r="H80" s="443"/>
      <c r="I80" s="446"/>
      <c r="J80" s="447"/>
    </row>
    <row r="81" spans="2:12" s="279" customFormat="1" ht="12.75" x14ac:dyDescent="0.2">
      <c r="B81" s="894" t="s">
        <v>734</v>
      </c>
      <c r="C81" s="394">
        <v>2021</v>
      </c>
      <c r="D81" s="307">
        <v>95.29</v>
      </c>
      <c r="E81" s="301">
        <v>39.26</v>
      </c>
      <c r="F81" s="302"/>
      <c r="G81" s="303" t="s">
        <v>542</v>
      </c>
      <c r="H81" s="312">
        <v>89.63</v>
      </c>
      <c r="I81" s="313">
        <v>0.9</v>
      </c>
      <c r="J81" s="306"/>
    </row>
    <row r="82" spans="2:12" s="279" customFormat="1" ht="12.75" x14ac:dyDescent="0.2">
      <c r="B82" s="894"/>
      <c r="C82" s="394">
        <v>2022</v>
      </c>
      <c r="D82" s="307">
        <v>93.81</v>
      </c>
      <c r="E82" s="301">
        <v>39.26</v>
      </c>
      <c r="F82" s="302"/>
      <c r="G82" s="303" t="s">
        <v>542</v>
      </c>
      <c r="H82" s="312">
        <v>89.63</v>
      </c>
      <c r="I82" s="313">
        <v>0.9</v>
      </c>
      <c r="J82" s="306"/>
    </row>
    <row r="83" spans="2:12" s="279" customFormat="1" ht="12.75" x14ac:dyDescent="0.2">
      <c r="B83" s="894"/>
      <c r="C83" s="394">
        <v>2023</v>
      </c>
      <c r="D83" s="307">
        <v>92.32</v>
      </c>
      <c r="E83" s="301">
        <v>39.26</v>
      </c>
      <c r="F83" s="302"/>
      <c r="G83" s="303" t="s">
        <v>542</v>
      </c>
      <c r="H83" s="312">
        <v>89.63</v>
      </c>
      <c r="I83" s="313">
        <v>0.9</v>
      </c>
      <c r="J83" s="306"/>
    </row>
    <row r="84" spans="2:12" s="279" customFormat="1" ht="12.75" x14ac:dyDescent="0.2">
      <c r="B84" s="894"/>
      <c r="C84" s="394">
        <v>2024</v>
      </c>
      <c r="D84" s="307">
        <v>90.84</v>
      </c>
      <c r="E84" s="301">
        <v>39.26</v>
      </c>
      <c r="F84" s="302"/>
      <c r="G84" s="303" t="s">
        <v>542</v>
      </c>
      <c r="H84" s="312">
        <v>89.63</v>
      </c>
      <c r="I84" s="313">
        <v>0.9</v>
      </c>
      <c r="J84" s="306"/>
    </row>
    <row r="85" spans="2:12" s="279" customFormat="1" ht="12.75" x14ac:dyDescent="0.2">
      <c r="B85" s="894"/>
      <c r="C85" s="394">
        <v>2025</v>
      </c>
      <c r="D85" s="307">
        <v>88.87</v>
      </c>
      <c r="E85" s="301">
        <v>39.26</v>
      </c>
      <c r="F85" s="302"/>
      <c r="G85" s="303" t="s">
        <v>542</v>
      </c>
      <c r="H85" s="312">
        <v>89.63</v>
      </c>
      <c r="I85" s="313">
        <v>0.9</v>
      </c>
      <c r="J85" s="306"/>
    </row>
    <row r="86" spans="2:12" s="279" customFormat="1" ht="12.75" x14ac:dyDescent="0.2">
      <c r="B86" s="894"/>
      <c r="C86" s="394">
        <v>2026</v>
      </c>
      <c r="D86" s="307">
        <v>88.87</v>
      </c>
      <c r="E86" s="301">
        <v>39.26</v>
      </c>
      <c r="F86" s="302"/>
      <c r="G86" s="303" t="s">
        <v>542</v>
      </c>
      <c r="H86" s="312">
        <v>89.63</v>
      </c>
      <c r="I86" s="313">
        <v>0.9</v>
      </c>
      <c r="J86" s="306"/>
    </row>
    <row r="87" spans="2:12" s="279" customFormat="1" ht="12.75" x14ac:dyDescent="0.2">
      <c r="B87" s="894"/>
      <c r="C87" s="394">
        <v>2027</v>
      </c>
      <c r="D87" s="307">
        <v>88.87</v>
      </c>
      <c r="E87" s="301">
        <v>39.26</v>
      </c>
      <c r="F87" s="302"/>
      <c r="G87" s="303" t="s">
        <v>542</v>
      </c>
      <c r="H87" s="312">
        <v>89.63</v>
      </c>
      <c r="I87" s="313">
        <v>0.9</v>
      </c>
      <c r="J87" s="306"/>
    </row>
    <row r="88" spans="2:12" s="279" customFormat="1" ht="12.75" x14ac:dyDescent="0.2">
      <c r="B88" s="894"/>
      <c r="C88" s="394">
        <v>2028</v>
      </c>
      <c r="D88" s="307">
        <v>88.87</v>
      </c>
      <c r="E88" s="301">
        <v>39.26</v>
      </c>
      <c r="F88" s="302"/>
      <c r="G88" s="303" t="s">
        <v>542</v>
      </c>
      <c r="H88" s="312">
        <v>89.63</v>
      </c>
      <c r="I88" s="313">
        <v>0.9</v>
      </c>
      <c r="J88" s="306"/>
    </row>
    <row r="89" spans="2:12" s="279" customFormat="1" ht="12.75" x14ac:dyDescent="0.2">
      <c r="B89" s="894"/>
      <c r="C89" s="394">
        <v>2029</v>
      </c>
      <c r="D89" s="307">
        <v>88.87</v>
      </c>
      <c r="E89" s="301">
        <v>39.26</v>
      </c>
      <c r="F89" s="302"/>
      <c r="G89" s="303" t="s">
        <v>542</v>
      </c>
      <c r="H89" s="312">
        <v>89.63</v>
      </c>
      <c r="I89" s="313">
        <v>0.9</v>
      </c>
      <c r="J89" s="306"/>
    </row>
    <row r="90" spans="2:12" s="279" customFormat="1" ht="12.75" x14ac:dyDescent="0.2">
      <c r="B90" s="894"/>
      <c r="C90" s="394">
        <v>2030</v>
      </c>
      <c r="D90" s="307">
        <v>88.87</v>
      </c>
      <c r="E90" s="301">
        <v>39.26</v>
      </c>
      <c r="F90" s="302"/>
      <c r="G90" s="303" t="s">
        <v>542</v>
      </c>
      <c r="H90" s="312">
        <v>89.63</v>
      </c>
      <c r="I90" s="313">
        <v>0.9</v>
      </c>
      <c r="J90" s="306"/>
    </row>
    <row r="91" spans="2:12" s="279" customFormat="1" ht="12.75" x14ac:dyDescent="0.2">
      <c r="B91" s="894"/>
      <c r="C91" s="394">
        <v>2031</v>
      </c>
      <c r="D91" s="307">
        <v>88.87</v>
      </c>
      <c r="E91" s="301">
        <v>39.26</v>
      </c>
      <c r="F91" s="302"/>
      <c r="G91" s="303" t="s">
        <v>542</v>
      </c>
      <c r="H91" s="312">
        <v>89.63</v>
      </c>
      <c r="I91" s="313">
        <v>0.9</v>
      </c>
      <c r="J91" s="306"/>
    </row>
    <row r="92" spans="2:12" s="279" customFormat="1" ht="12.75" x14ac:dyDescent="0.2">
      <c r="B92" s="894"/>
      <c r="C92" s="394">
        <v>2032</v>
      </c>
      <c r="D92" s="307">
        <v>88.87</v>
      </c>
      <c r="E92" s="301">
        <v>39.26</v>
      </c>
      <c r="F92" s="302"/>
      <c r="G92" s="303" t="s">
        <v>542</v>
      </c>
      <c r="H92" s="312">
        <v>89.63</v>
      </c>
      <c r="I92" s="313">
        <v>0.9</v>
      </c>
      <c r="J92" s="306"/>
    </row>
    <row r="93" spans="2:12" s="279" customFormat="1" ht="12.75" x14ac:dyDescent="0.2">
      <c r="B93" s="894"/>
      <c r="C93" s="394">
        <v>2033</v>
      </c>
      <c r="D93" s="307">
        <v>88.87</v>
      </c>
      <c r="E93" s="301">
        <v>39.26</v>
      </c>
      <c r="F93" s="302"/>
      <c r="G93" s="303" t="s">
        <v>542</v>
      </c>
      <c r="H93" s="312">
        <v>89.63</v>
      </c>
      <c r="I93" s="313">
        <v>0.9</v>
      </c>
      <c r="J93" s="306"/>
    </row>
    <row r="94" spans="2:12" s="279" customFormat="1" ht="12.75" x14ac:dyDescent="0.2">
      <c r="B94" s="894"/>
      <c r="C94" s="394">
        <v>2034</v>
      </c>
      <c r="D94" s="307">
        <v>88.87</v>
      </c>
      <c r="E94" s="301">
        <v>39.26</v>
      </c>
      <c r="F94" s="302"/>
      <c r="G94" s="303" t="s">
        <v>542</v>
      </c>
      <c r="H94" s="312">
        <v>89.63</v>
      </c>
      <c r="I94" s="313">
        <v>0.9</v>
      </c>
      <c r="J94" s="306"/>
    </row>
    <row r="95" spans="2:12" s="279" customFormat="1" ht="12.75" x14ac:dyDescent="0.2">
      <c r="B95" s="895"/>
      <c r="C95" s="394">
        <v>2035</v>
      </c>
      <c r="D95" s="307">
        <v>88.87</v>
      </c>
      <c r="E95" s="301">
        <v>39.26</v>
      </c>
      <c r="F95" s="302"/>
      <c r="G95" s="303" t="s">
        <v>542</v>
      </c>
      <c r="H95" s="312">
        <v>89.63</v>
      </c>
      <c r="I95" s="313">
        <v>0.9</v>
      </c>
      <c r="J95" s="306"/>
      <c r="L95" s="309">
        <f>SUM(J81:J95)</f>
        <v>0</v>
      </c>
    </row>
    <row r="96" spans="2:12" s="279" customFormat="1" ht="12.75" x14ac:dyDescent="0.2">
      <c r="B96" s="395"/>
      <c r="D96" s="442"/>
      <c r="E96" s="443"/>
      <c r="F96" s="444"/>
      <c r="G96" s="445"/>
      <c r="H96" s="443"/>
      <c r="I96" s="446"/>
      <c r="J96" s="447"/>
      <c r="L96" s="309"/>
    </row>
    <row r="97" spans="1:12" s="281" customFormat="1" ht="12.75" x14ac:dyDescent="0.2">
      <c r="A97" s="432"/>
      <c r="B97" s="887" t="s">
        <v>545</v>
      </c>
      <c r="C97" s="433">
        <v>2016</v>
      </c>
      <c r="D97" s="433">
        <v>99.39</v>
      </c>
      <c r="E97" s="433">
        <v>38.92</v>
      </c>
      <c r="F97" s="434">
        <f>'[1]Default Data'!H9</f>
        <v>30303.0303030303</v>
      </c>
      <c r="G97" s="435" t="s">
        <v>542</v>
      </c>
      <c r="H97" s="433">
        <v>119.55</v>
      </c>
      <c r="I97" s="436">
        <v>1</v>
      </c>
      <c r="J97" s="437">
        <f>((D97-(E97/I97))*F97*H97*I97)/1000000</f>
        <v>219.06631818181816</v>
      </c>
      <c r="K97" s="432"/>
      <c r="L97" s="432"/>
    </row>
    <row r="98" spans="1:12" s="281" customFormat="1" ht="12.75" x14ac:dyDescent="0.2">
      <c r="A98" s="432"/>
      <c r="B98" s="887"/>
      <c r="C98" s="433">
        <v>2017</v>
      </c>
      <c r="D98" s="433">
        <v>99.14</v>
      </c>
      <c r="E98" s="433">
        <v>38.92</v>
      </c>
      <c r="F98" s="434">
        <f>F97</f>
        <v>30303.0303030303</v>
      </c>
      <c r="G98" s="435" t="s">
        <v>542</v>
      </c>
      <c r="H98" s="433">
        <v>119.55</v>
      </c>
      <c r="I98" s="436">
        <v>1</v>
      </c>
      <c r="J98" s="437">
        <f t="shared" ref="J98:J112" si="6">((D98-(E98/I98))*F98*H98*I98)/1000000</f>
        <v>218.16063636363634</v>
      </c>
      <c r="K98" s="432"/>
      <c r="L98" s="432"/>
    </row>
    <row r="99" spans="1:12" s="281" customFormat="1" ht="12.75" x14ac:dyDescent="0.2">
      <c r="A99" s="432"/>
      <c r="B99" s="887"/>
      <c r="C99" s="433">
        <v>2018</v>
      </c>
      <c r="D99" s="433">
        <v>98.61</v>
      </c>
      <c r="E99" s="433">
        <v>38.92</v>
      </c>
      <c r="F99" s="434">
        <f t="shared" ref="F99:F112" si="7">F98</f>
        <v>30303.0303030303</v>
      </c>
      <c r="G99" s="435" t="s">
        <v>542</v>
      </c>
      <c r="H99" s="433">
        <v>126.13</v>
      </c>
      <c r="I99" s="436">
        <v>1</v>
      </c>
      <c r="J99" s="437">
        <f t="shared" si="6"/>
        <v>228.14241515151514</v>
      </c>
      <c r="K99" s="432"/>
      <c r="L99" s="432"/>
    </row>
    <row r="100" spans="1:12" s="281" customFormat="1" ht="12.75" x14ac:dyDescent="0.2">
      <c r="A100" s="432"/>
      <c r="B100" s="887"/>
      <c r="C100" s="433">
        <v>2019</v>
      </c>
      <c r="D100" s="438">
        <v>97.26</v>
      </c>
      <c r="E100" s="433">
        <v>38.92</v>
      </c>
      <c r="F100" s="434">
        <f t="shared" si="7"/>
        <v>30303.0303030303</v>
      </c>
      <c r="G100" s="435" t="s">
        <v>542</v>
      </c>
      <c r="H100" s="433">
        <v>126.13</v>
      </c>
      <c r="I100" s="436">
        <v>1</v>
      </c>
      <c r="J100" s="437">
        <f t="shared" si="6"/>
        <v>222.9825515151515</v>
      </c>
      <c r="K100" s="432"/>
      <c r="L100" s="432"/>
    </row>
    <row r="101" spans="1:12" s="281" customFormat="1" ht="12.75" x14ac:dyDescent="0.2">
      <c r="A101" s="432"/>
      <c r="B101" s="887"/>
      <c r="C101" s="433">
        <v>2020</v>
      </c>
      <c r="D101" s="438">
        <v>96.27</v>
      </c>
      <c r="E101" s="433">
        <v>38.92</v>
      </c>
      <c r="F101" s="434">
        <f t="shared" si="7"/>
        <v>30303.0303030303</v>
      </c>
      <c r="G101" s="435" t="s">
        <v>542</v>
      </c>
      <c r="H101" s="433">
        <v>126.13</v>
      </c>
      <c r="I101" s="436">
        <v>1</v>
      </c>
      <c r="J101" s="437">
        <f t="shared" si="6"/>
        <v>219.19865151515148</v>
      </c>
      <c r="K101" s="432"/>
      <c r="L101" s="432"/>
    </row>
    <row r="102" spans="1:12" s="281" customFormat="1" ht="12.75" x14ac:dyDescent="0.2">
      <c r="A102" s="432"/>
      <c r="B102" s="887"/>
      <c r="C102" s="433">
        <v>2021</v>
      </c>
      <c r="D102" s="438">
        <v>95.29</v>
      </c>
      <c r="E102" s="433">
        <v>38.92</v>
      </c>
      <c r="F102" s="434">
        <f t="shared" si="7"/>
        <v>30303.0303030303</v>
      </c>
      <c r="G102" s="435" t="s">
        <v>542</v>
      </c>
      <c r="H102" s="433">
        <v>126.13</v>
      </c>
      <c r="I102" s="436">
        <v>1</v>
      </c>
      <c r="J102" s="437">
        <f t="shared" si="6"/>
        <v>215.45297272727271</v>
      </c>
      <c r="K102" s="432"/>
      <c r="L102" s="432"/>
    </row>
    <row r="103" spans="1:12" s="281" customFormat="1" ht="12.75" x14ac:dyDescent="0.2">
      <c r="A103" s="432"/>
      <c r="B103" s="887"/>
      <c r="C103" s="433">
        <v>2022</v>
      </c>
      <c r="D103" s="438">
        <v>93.81</v>
      </c>
      <c r="E103" s="433">
        <v>38.92</v>
      </c>
      <c r="F103" s="434">
        <f t="shared" si="7"/>
        <v>30303.0303030303</v>
      </c>
      <c r="G103" s="435" t="s">
        <v>542</v>
      </c>
      <c r="H103" s="433">
        <v>126.13</v>
      </c>
      <c r="I103" s="436">
        <v>1</v>
      </c>
      <c r="J103" s="437">
        <f t="shared" si="6"/>
        <v>209.7962333333333</v>
      </c>
      <c r="K103" s="432"/>
      <c r="L103" s="432"/>
    </row>
    <row r="104" spans="1:12" s="281" customFormat="1" ht="12.75" x14ac:dyDescent="0.2">
      <c r="A104" s="432"/>
      <c r="B104" s="887"/>
      <c r="C104" s="433">
        <v>2023</v>
      </c>
      <c r="D104" s="438">
        <v>92.32</v>
      </c>
      <c r="E104" s="433">
        <v>38.92</v>
      </c>
      <c r="F104" s="434">
        <f t="shared" si="7"/>
        <v>30303.0303030303</v>
      </c>
      <c r="G104" s="435" t="s">
        <v>542</v>
      </c>
      <c r="H104" s="433">
        <v>126.13</v>
      </c>
      <c r="I104" s="436">
        <v>1</v>
      </c>
      <c r="J104" s="437">
        <f t="shared" si="6"/>
        <v>204.10127272727269</v>
      </c>
      <c r="K104" s="432"/>
      <c r="L104" s="432"/>
    </row>
    <row r="105" spans="1:12" s="281" customFormat="1" ht="12.75" x14ac:dyDescent="0.2">
      <c r="A105" s="432"/>
      <c r="B105" s="887"/>
      <c r="C105" s="433">
        <v>2024</v>
      </c>
      <c r="D105" s="438">
        <v>90.84</v>
      </c>
      <c r="E105" s="433">
        <v>38.92</v>
      </c>
      <c r="F105" s="434">
        <f t="shared" si="7"/>
        <v>30303.0303030303</v>
      </c>
      <c r="G105" s="435" t="s">
        <v>542</v>
      </c>
      <c r="H105" s="433">
        <v>126.13</v>
      </c>
      <c r="I105" s="436">
        <v>1</v>
      </c>
      <c r="J105" s="437">
        <f t="shared" si="6"/>
        <v>198.44453333333331</v>
      </c>
      <c r="K105" s="432"/>
      <c r="L105" s="432"/>
    </row>
    <row r="106" spans="1:12" s="281" customFormat="1" ht="12.75" x14ac:dyDescent="0.2">
      <c r="A106" s="432"/>
      <c r="B106" s="887"/>
      <c r="C106" s="433">
        <v>2025</v>
      </c>
      <c r="D106" s="438">
        <v>88.87</v>
      </c>
      <c r="E106" s="433">
        <v>38.92</v>
      </c>
      <c r="F106" s="434">
        <f t="shared" si="7"/>
        <v>30303.0303030303</v>
      </c>
      <c r="G106" s="435" t="s">
        <v>542</v>
      </c>
      <c r="H106" s="433">
        <v>126.13</v>
      </c>
      <c r="I106" s="436">
        <v>1</v>
      </c>
      <c r="J106" s="437">
        <f t="shared" si="6"/>
        <v>190.91495454545452</v>
      </c>
      <c r="K106" s="432"/>
      <c r="L106" s="432"/>
    </row>
    <row r="107" spans="1:12" s="281" customFormat="1" ht="12.75" x14ac:dyDescent="0.2">
      <c r="A107" s="432"/>
      <c r="B107" s="439"/>
      <c r="C107" s="433">
        <v>2026</v>
      </c>
      <c r="D107" s="438">
        <v>88.87</v>
      </c>
      <c r="E107" s="433">
        <v>38.92</v>
      </c>
      <c r="F107" s="434">
        <f t="shared" si="7"/>
        <v>30303.0303030303</v>
      </c>
      <c r="G107" s="435" t="s">
        <v>542</v>
      </c>
      <c r="H107" s="433">
        <v>126.13</v>
      </c>
      <c r="I107" s="436">
        <v>1</v>
      </c>
      <c r="J107" s="437">
        <f t="shared" si="6"/>
        <v>190.91495454545452</v>
      </c>
      <c r="K107" s="432"/>
      <c r="L107" s="432"/>
    </row>
    <row r="108" spans="1:12" s="281" customFormat="1" ht="12.75" x14ac:dyDescent="0.2">
      <c r="A108" s="432"/>
      <c r="B108" s="439"/>
      <c r="C108" s="433">
        <v>2027</v>
      </c>
      <c r="D108" s="438">
        <v>88.87</v>
      </c>
      <c r="E108" s="433">
        <v>38.92</v>
      </c>
      <c r="F108" s="434">
        <f t="shared" si="7"/>
        <v>30303.0303030303</v>
      </c>
      <c r="G108" s="435" t="s">
        <v>542</v>
      </c>
      <c r="H108" s="433">
        <v>126.13</v>
      </c>
      <c r="I108" s="436">
        <v>1</v>
      </c>
      <c r="J108" s="437">
        <f t="shared" si="6"/>
        <v>190.91495454545452</v>
      </c>
      <c r="K108" s="432"/>
      <c r="L108" s="432"/>
    </row>
    <row r="109" spans="1:12" s="281" customFormat="1" ht="12.75" x14ac:dyDescent="0.2">
      <c r="A109" s="432"/>
      <c r="B109" s="439"/>
      <c r="C109" s="433">
        <v>2028</v>
      </c>
      <c r="D109" s="438">
        <v>88.87</v>
      </c>
      <c r="E109" s="433">
        <v>38.92</v>
      </c>
      <c r="F109" s="434">
        <f t="shared" si="7"/>
        <v>30303.0303030303</v>
      </c>
      <c r="G109" s="435" t="s">
        <v>542</v>
      </c>
      <c r="H109" s="433">
        <v>126.13</v>
      </c>
      <c r="I109" s="436">
        <v>1</v>
      </c>
      <c r="J109" s="437">
        <f t="shared" si="6"/>
        <v>190.91495454545452</v>
      </c>
      <c r="K109" s="432"/>
      <c r="L109" s="432"/>
    </row>
    <row r="110" spans="1:12" s="281" customFormat="1" ht="12.75" x14ac:dyDescent="0.2">
      <c r="A110" s="432"/>
      <c r="B110" s="439"/>
      <c r="C110" s="433">
        <v>2029</v>
      </c>
      <c r="D110" s="438">
        <v>88.87</v>
      </c>
      <c r="E110" s="433">
        <v>38.92</v>
      </c>
      <c r="F110" s="434">
        <f t="shared" si="7"/>
        <v>30303.0303030303</v>
      </c>
      <c r="G110" s="435" t="s">
        <v>542</v>
      </c>
      <c r="H110" s="433">
        <v>126.13</v>
      </c>
      <c r="I110" s="436">
        <v>1</v>
      </c>
      <c r="J110" s="437">
        <f t="shared" si="6"/>
        <v>190.91495454545452</v>
      </c>
      <c r="K110" s="432"/>
      <c r="L110" s="432"/>
    </row>
    <row r="111" spans="1:12" s="281" customFormat="1" ht="12.75" x14ac:dyDescent="0.2">
      <c r="A111" s="432"/>
      <c r="B111" s="439"/>
      <c r="C111" s="433">
        <v>2030</v>
      </c>
      <c r="D111" s="438">
        <v>88.87</v>
      </c>
      <c r="E111" s="433">
        <v>38.92</v>
      </c>
      <c r="F111" s="434">
        <f t="shared" si="7"/>
        <v>30303.0303030303</v>
      </c>
      <c r="G111" s="435" t="s">
        <v>542</v>
      </c>
      <c r="H111" s="433">
        <v>126.13</v>
      </c>
      <c r="I111" s="436">
        <v>1</v>
      </c>
      <c r="J111" s="437">
        <f t="shared" si="6"/>
        <v>190.91495454545452</v>
      </c>
      <c r="K111" s="432"/>
      <c r="L111" s="432"/>
    </row>
    <row r="112" spans="1:12" s="281" customFormat="1" ht="12.75" x14ac:dyDescent="0.2">
      <c r="A112" s="432"/>
      <c r="B112" s="439"/>
      <c r="C112" s="433">
        <v>2031</v>
      </c>
      <c r="D112" s="438">
        <v>88.87</v>
      </c>
      <c r="E112" s="433">
        <v>38.92</v>
      </c>
      <c r="F112" s="434">
        <f t="shared" si="7"/>
        <v>30303.0303030303</v>
      </c>
      <c r="G112" s="435" t="s">
        <v>542</v>
      </c>
      <c r="H112" s="433">
        <v>126.13</v>
      </c>
      <c r="I112" s="436">
        <v>1</v>
      </c>
      <c r="J112" s="437">
        <f t="shared" si="6"/>
        <v>190.91495454545452</v>
      </c>
      <c r="K112" s="432"/>
      <c r="L112" s="440">
        <f>SUM(J101:J112)</f>
        <v>2383.3983454545451</v>
      </c>
    </row>
    <row r="113" spans="1:12" s="279" customFormat="1" ht="12.75" x14ac:dyDescent="0.2">
      <c r="F113" s="311"/>
      <c r="G113" s="280"/>
      <c r="I113" s="315"/>
      <c r="J113" s="309"/>
      <c r="L113" s="316"/>
    </row>
    <row r="114" spans="1:12" s="279" customFormat="1" ht="12.75" x14ac:dyDescent="0.2">
      <c r="A114" s="432"/>
      <c r="B114" s="887" t="s">
        <v>546</v>
      </c>
      <c r="C114" s="433">
        <v>2016</v>
      </c>
      <c r="D114" s="433">
        <v>99.39</v>
      </c>
      <c r="E114" s="433">
        <v>44.74</v>
      </c>
      <c r="F114" s="434">
        <f>F60</f>
        <v>0</v>
      </c>
      <c r="G114" s="435" t="s">
        <v>542</v>
      </c>
      <c r="H114" s="433">
        <v>119.55</v>
      </c>
      <c r="I114" s="436">
        <v>1</v>
      </c>
      <c r="J114" s="437">
        <f>((D114-(E114/I114))*F114*H114*I114)/1000000</f>
        <v>0</v>
      </c>
      <c r="K114" s="432"/>
      <c r="L114" s="441"/>
    </row>
    <row r="115" spans="1:12" s="279" customFormat="1" ht="12.75" x14ac:dyDescent="0.2">
      <c r="A115" s="432"/>
      <c r="B115" s="887"/>
      <c r="C115" s="433">
        <v>2017</v>
      </c>
      <c r="D115" s="433">
        <v>99.14</v>
      </c>
      <c r="E115" s="433">
        <v>44.74</v>
      </c>
      <c r="F115" s="434">
        <f>F114</f>
        <v>0</v>
      </c>
      <c r="G115" s="435" t="s">
        <v>542</v>
      </c>
      <c r="H115" s="433">
        <v>119.55</v>
      </c>
      <c r="I115" s="436">
        <v>1</v>
      </c>
      <c r="J115" s="437">
        <f t="shared" ref="J115:J129" si="8">((D115-(E115/I115))*F115*H115*I115)/1000000</f>
        <v>0</v>
      </c>
      <c r="K115" s="432"/>
      <c r="L115" s="432"/>
    </row>
    <row r="116" spans="1:12" s="279" customFormat="1" ht="12.75" x14ac:dyDescent="0.2">
      <c r="A116" s="432"/>
      <c r="B116" s="887"/>
      <c r="C116" s="433">
        <v>2018</v>
      </c>
      <c r="D116" s="433">
        <v>98.61</v>
      </c>
      <c r="E116" s="433">
        <v>44.74</v>
      </c>
      <c r="F116" s="434">
        <f t="shared" ref="F116:F129" si="9">F115</f>
        <v>0</v>
      </c>
      <c r="G116" s="435" t="s">
        <v>542</v>
      </c>
      <c r="H116" s="433">
        <v>126.13</v>
      </c>
      <c r="I116" s="436">
        <v>1</v>
      </c>
      <c r="J116" s="437">
        <f t="shared" si="8"/>
        <v>0</v>
      </c>
      <c r="K116" s="432"/>
      <c r="L116" s="432"/>
    </row>
    <row r="117" spans="1:12" s="279" customFormat="1" ht="12.75" x14ac:dyDescent="0.2">
      <c r="A117" s="432"/>
      <c r="B117" s="887"/>
      <c r="C117" s="433">
        <v>2019</v>
      </c>
      <c r="D117" s="438">
        <v>97.26</v>
      </c>
      <c r="E117" s="433">
        <v>44.74</v>
      </c>
      <c r="F117" s="434">
        <f t="shared" si="9"/>
        <v>0</v>
      </c>
      <c r="G117" s="435" t="s">
        <v>542</v>
      </c>
      <c r="H117" s="433">
        <v>126.13</v>
      </c>
      <c r="I117" s="436">
        <v>1</v>
      </c>
      <c r="J117" s="437">
        <f t="shared" si="8"/>
        <v>0</v>
      </c>
      <c r="K117" s="432"/>
      <c r="L117" s="432"/>
    </row>
    <row r="118" spans="1:12" s="279" customFormat="1" ht="12.75" x14ac:dyDescent="0.2">
      <c r="A118" s="432"/>
      <c r="B118" s="887"/>
      <c r="C118" s="433">
        <v>2020</v>
      </c>
      <c r="D118" s="438">
        <v>96.27</v>
      </c>
      <c r="E118" s="433">
        <v>44.74</v>
      </c>
      <c r="F118" s="434">
        <f t="shared" si="9"/>
        <v>0</v>
      </c>
      <c r="G118" s="435" t="s">
        <v>542</v>
      </c>
      <c r="H118" s="433">
        <v>126.13</v>
      </c>
      <c r="I118" s="436">
        <v>1</v>
      </c>
      <c r="J118" s="437">
        <f t="shared" si="8"/>
        <v>0</v>
      </c>
      <c r="K118" s="432"/>
      <c r="L118" s="432"/>
    </row>
    <row r="119" spans="1:12" s="279" customFormat="1" ht="12.75" x14ac:dyDescent="0.2">
      <c r="A119" s="432"/>
      <c r="B119" s="887"/>
      <c r="C119" s="433">
        <v>2021</v>
      </c>
      <c r="D119" s="438">
        <v>95.29</v>
      </c>
      <c r="E119" s="433">
        <v>44.74</v>
      </c>
      <c r="F119" s="434">
        <f t="shared" si="9"/>
        <v>0</v>
      </c>
      <c r="G119" s="435" t="s">
        <v>542</v>
      </c>
      <c r="H119" s="433">
        <v>126.13</v>
      </c>
      <c r="I119" s="436">
        <v>1</v>
      </c>
      <c r="J119" s="437">
        <f t="shared" si="8"/>
        <v>0</v>
      </c>
      <c r="K119" s="432"/>
      <c r="L119" s="432"/>
    </row>
    <row r="120" spans="1:12" s="279" customFormat="1" ht="12.75" x14ac:dyDescent="0.2">
      <c r="A120" s="432"/>
      <c r="B120" s="887"/>
      <c r="C120" s="433">
        <v>2022</v>
      </c>
      <c r="D120" s="438">
        <v>93.81</v>
      </c>
      <c r="E120" s="433">
        <v>44.74</v>
      </c>
      <c r="F120" s="434">
        <f t="shared" si="9"/>
        <v>0</v>
      </c>
      <c r="G120" s="435" t="s">
        <v>542</v>
      </c>
      <c r="H120" s="433">
        <v>126.13</v>
      </c>
      <c r="I120" s="436">
        <v>1</v>
      </c>
      <c r="J120" s="437">
        <f t="shared" si="8"/>
        <v>0</v>
      </c>
      <c r="K120" s="432"/>
      <c r="L120" s="432"/>
    </row>
    <row r="121" spans="1:12" s="279" customFormat="1" ht="12.75" x14ac:dyDescent="0.2">
      <c r="A121" s="432"/>
      <c r="B121" s="887"/>
      <c r="C121" s="433">
        <v>2023</v>
      </c>
      <c r="D121" s="438">
        <v>92.32</v>
      </c>
      <c r="E121" s="433">
        <v>44.74</v>
      </c>
      <c r="F121" s="434">
        <f t="shared" si="9"/>
        <v>0</v>
      </c>
      <c r="G121" s="435" t="s">
        <v>542</v>
      </c>
      <c r="H121" s="433">
        <v>126.13</v>
      </c>
      <c r="I121" s="436">
        <v>1</v>
      </c>
      <c r="J121" s="437">
        <f t="shared" si="8"/>
        <v>0</v>
      </c>
      <c r="K121" s="432"/>
      <c r="L121" s="432"/>
    </row>
    <row r="122" spans="1:12" s="279" customFormat="1" ht="12.75" x14ac:dyDescent="0.2">
      <c r="A122" s="432"/>
      <c r="B122" s="887"/>
      <c r="C122" s="433">
        <v>2024</v>
      </c>
      <c r="D122" s="438">
        <v>90.84</v>
      </c>
      <c r="E122" s="433">
        <v>44.74</v>
      </c>
      <c r="F122" s="434">
        <f t="shared" si="9"/>
        <v>0</v>
      </c>
      <c r="G122" s="435" t="s">
        <v>542</v>
      </c>
      <c r="H122" s="433">
        <v>126.13</v>
      </c>
      <c r="I122" s="436">
        <v>1</v>
      </c>
      <c r="J122" s="437">
        <f t="shared" si="8"/>
        <v>0</v>
      </c>
      <c r="K122" s="432"/>
      <c r="L122" s="432"/>
    </row>
    <row r="123" spans="1:12" s="279" customFormat="1" ht="12.75" x14ac:dyDescent="0.2">
      <c r="A123" s="432"/>
      <c r="B123" s="887"/>
      <c r="C123" s="433">
        <v>2025</v>
      </c>
      <c r="D123" s="438">
        <v>88.87</v>
      </c>
      <c r="E123" s="433">
        <v>44.74</v>
      </c>
      <c r="F123" s="434">
        <f t="shared" si="9"/>
        <v>0</v>
      </c>
      <c r="G123" s="435" t="s">
        <v>542</v>
      </c>
      <c r="H123" s="433">
        <v>126.13</v>
      </c>
      <c r="I123" s="436">
        <v>1</v>
      </c>
      <c r="J123" s="437">
        <f t="shared" si="8"/>
        <v>0</v>
      </c>
      <c r="K123" s="432"/>
      <c r="L123" s="432"/>
    </row>
    <row r="124" spans="1:12" s="279" customFormat="1" ht="12.75" x14ac:dyDescent="0.2">
      <c r="A124" s="432"/>
      <c r="B124" s="439"/>
      <c r="C124" s="433">
        <v>2026</v>
      </c>
      <c r="D124" s="438">
        <v>88.87</v>
      </c>
      <c r="E124" s="433">
        <v>44.74</v>
      </c>
      <c r="F124" s="434">
        <f t="shared" si="9"/>
        <v>0</v>
      </c>
      <c r="G124" s="435" t="s">
        <v>542</v>
      </c>
      <c r="H124" s="433">
        <v>126.13</v>
      </c>
      <c r="I124" s="436">
        <v>1</v>
      </c>
      <c r="J124" s="437">
        <f t="shared" si="8"/>
        <v>0</v>
      </c>
      <c r="K124" s="432"/>
      <c r="L124" s="432"/>
    </row>
    <row r="125" spans="1:12" s="279" customFormat="1" ht="12.75" x14ac:dyDescent="0.2">
      <c r="A125" s="432"/>
      <c r="B125" s="439"/>
      <c r="C125" s="433">
        <v>2027</v>
      </c>
      <c r="D125" s="438">
        <v>88.87</v>
      </c>
      <c r="E125" s="433">
        <v>44.74</v>
      </c>
      <c r="F125" s="434">
        <f t="shared" si="9"/>
        <v>0</v>
      </c>
      <c r="G125" s="435" t="s">
        <v>542</v>
      </c>
      <c r="H125" s="433">
        <v>126.13</v>
      </c>
      <c r="I125" s="436">
        <v>1</v>
      </c>
      <c r="J125" s="437">
        <f t="shared" si="8"/>
        <v>0</v>
      </c>
      <c r="K125" s="432"/>
      <c r="L125" s="432"/>
    </row>
    <row r="126" spans="1:12" s="279" customFormat="1" ht="12.75" x14ac:dyDescent="0.2">
      <c r="A126" s="432"/>
      <c r="B126" s="439"/>
      <c r="C126" s="433">
        <v>2028</v>
      </c>
      <c r="D126" s="438">
        <v>88.87</v>
      </c>
      <c r="E126" s="433">
        <v>44.74</v>
      </c>
      <c r="F126" s="434">
        <f t="shared" si="9"/>
        <v>0</v>
      </c>
      <c r="G126" s="435" t="s">
        <v>542</v>
      </c>
      <c r="H126" s="433">
        <v>126.13</v>
      </c>
      <c r="I126" s="436">
        <v>1</v>
      </c>
      <c r="J126" s="437">
        <f t="shared" si="8"/>
        <v>0</v>
      </c>
      <c r="K126" s="432"/>
      <c r="L126" s="432"/>
    </row>
    <row r="127" spans="1:12" s="279" customFormat="1" ht="12.75" x14ac:dyDescent="0.2">
      <c r="A127" s="432"/>
      <c r="B127" s="439"/>
      <c r="C127" s="433">
        <v>2029</v>
      </c>
      <c r="D127" s="438">
        <v>88.87</v>
      </c>
      <c r="E127" s="433">
        <v>44.74</v>
      </c>
      <c r="F127" s="434">
        <f t="shared" si="9"/>
        <v>0</v>
      </c>
      <c r="G127" s="435" t="s">
        <v>542</v>
      </c>
      <c r="H127" s="433">
        <v>126.13</v>
      </c>
      <c r="I127" s="436">
        <v>1</v>
      </c>
      <c r="J127" s="437">
        <f t="shared" si="8"/>
        <v>0</v>
      </c>
      <c r="K127" s="432"/>
      <c r="L127" s="432"/>
    </row>
    <row r="128" spans="1:12" s="279" customFormat="1" ht="12.75" x14ac:dyDescent="0.2">
      <c r="A128" s="432"/>
      <c r="B128" s="439"/>
      <c r="C128" s="433">
        <v>2030</v>
      </c>
      <c r="D128" s="438">
        <v>88.87</v>
      </c>
      <c r="E128" s="433">
        <v>44.74</v>
      </c>
      <c r="F128" s="434">
        <f t="shared" si="9"/>
        <v>0</v>
      </c>
      <c r="G128" s="435" t="s">
        <v>542</v>
      </c>
      <c r="H128" s="433">
        <v>126.13</v>
      </c>
      <c r="I128" s="436">
        <v>1</v>
      </c>
      <c r="J128" s="437">
        <f t="shared" si="8"/>
        <v>0</v>
      </c>
      <c r="K128" s="432"/>
      <c r="L128" s="432"/>
    </row>
    <row r="129" spans="1:12" s="279" customFormat="1" ht="12.75" x14ac:dyDescent="0.2">
      <c r="A129" s="432"/>
      <c r="B129" s="439"/>
      <c r="C129" s="433">
        <v>2031</v>
      </c>
      <c r="D129" s="438">
        <v>88.87</v>
      </c>
      <c r="E129" s="433">
        <v>44.74</v>
      </c>
      <c r="F129" s="434">
        <f t="shared" si="9"/>
        <v>0</v>
      </c>
      <c r="G129" s="435" t="s">
        <v>542</v>
      </c>
      <c r="H129" s="433">
        <v>126.13</v>
      </c>
      <c r="I129" s="436">
        <v>1</v>
      </c>
      <c r="J129" s="437">
        <f t="shared" si="8"/>
        <v>0</v>
      </c>
      <c r="K129" s="432"/>
      <c r="L129" s="440">
        <f>SUM(J118:J129)</f>
        <v>0</v>
      </c>
    </row>
    <row r="130" spans="1:12" s="279" customFormat="1" ht="12.75" x14ac:dyDescent="0.2">
      <c r="F130" s="311"/>
      <c r="G130" s="280"/>
      <c r="I130" s="315"/>
      <c r="J130" s="309"/>
    </row>
    <row r="131" spans="1:12" s="279" customFormat="1" ht="12.75" x14ac:dyDescent="0.2">
      <c r="A131" s="432"/>
      <c r="B131" s="887" t="s">
        <v>547</v>
      </c>
      <c r="C131" s="433">
        <v>2016</v>
      </c>
      <c r="D131" s="433">
        <v>99.39</v>
      </c>
      <c r="E131" s="433">
        <v>44.74</v>
      </c>
      <c r="F131" s="434">
        <f>F60</f>
        <v>0</v>
      </c>
      <c r="G131" s="435" t="s">
        <v>542</v>
      </c>
      <c r="H131" s="433">
        <v>119.55</v>
      </c>
      <c r="I131" s="436">
        <v>1</v>
      </c>
      <c r="J131" s="437">
        <f>((D131-(E131/I131))*F131*H131*I131)/1000000</f>
        <v>0</v>
      </c>
      <c r="K131" s="432"/>
      <c r="L131" s="432"/>
    </row>
    <row r="132" spans="1:12" s="279" customFormat="1" ht="12.75" x14ac:dyDescent="0.2">
      <c r="A132" s="432"/>
      <c r="B132" s="887"/>
      <c r="C132" s="433">
        <v>2017</v>
      </c>
      <c r="D132" s="433">
        <v>99.14</v>
      </c>
      <c r="E132" s="433">
        <v>44.74</v>
      </c>
      <c r="F132" s="434">
        <f>F131</f>
        <v>0</v>
      </c>
      <c r="G132" s="435" t="s">
        <v>542</v>
      </c>
      <c r="H132" s="433">
        <v>119.55</v>
      </c>
      <c r="I132" s="436">
        <v>1</v>
      </c>
      <c r="J132" s="437">
        <f t="shared" ref="J132:J146" si="10">((D132-(E132/I132))*F132*H132*I132)/1000000</f>
        <v>0</v>
      </c>
      <c r="K132" s="432"/>
      <c r="L132" s="432"/>
    </row>
    <row r="133" spans="1:12" s="279" customFormat="1" ht="12.75" x14ac:dyDescent="0.2">
      <c r="A133" s="432"/>
      <c r="B133" s="887"/>
      <c r="C133" s="433">
        <v>2018</v>
      </c>
      <c r="D133" s="433">
        <v>98.61</v>
      </c>
      <c r="E133" s="433">
        <v>44.74</v>
      </c>
      <c r="F133" s="434">
        <f t="shared" ref="F133:F146" si="11">F132</f>
        <v>0</v>
      </c>
      <c r="G133" s="435" t="s">
        <v>542</v>
      </c>
      <c r="H133" s="433">
        <v>129.65</v>
      </c>
      <c r="I133" s="436">
        <v>1</v>
      </c>
      <c r="J133" s="437">
        <f t="shared" si="10"/>
        <v>0</v>
      </c>
      <c r="K133" s="432"/>
      <c r="L133" s="432"/>
    </row>
    <row r="134" spans="1:12" s="279" customFormat="1" ht="12.75" x14ac:dyDescent="0.2">
      <c r="A134" s="432"/>
      <c r="B134" s="887"/>
      <c r="C134" s="433">
        <v>2019</v>
      </c>
      <c r="D134" s="438">
        <v>97.26</v>
      </c>
      <c r="E134" s="433">
        <v>44.74</v>
      </c>
      <c r="F134" s="434">
        <f t="shared" si="11"/>
        <v>0</v>
      </c>
      <c r="G134" s="435" t="s">
        <v>542</v>
      </c>
      <c r="H134" s="433">
        <v>129.65</v>
      </c>
      <c r="I134" s="436">
        <v>1</v>
      </c>
      <c r="J134" s="437">
        <f t="shared" si="10"/>
        <v>0</v>
      </c>
      <c r="K134" s="432"/>
      <c r="L134" s="432"/>
    </row>
    <row r="135" spans="1:12" s="279" customFormat="1" ht="12.75" x14ac:dyDescent="0.2">
      <c r="A135" s="432"/>
      <c r="B135" s="887"/>
      <c r="C135" s="433">
        <v>2020</v>
      </c>
      <c r="D135" s="438">
        <v>96.27</v>
      </c>
      <c r="E135" s="433">
        <v>44.74</v>
      </c>
      <c r="F135" s="434">
        <f t="shared" si="11"/>
        <v>0</v>
      </c>
      <c r="G135" s="435" t="s">
        <v>542</v>
      </c>
      <c r="H135" s="433">
        <v>129.65</v>
      </c>
      <c r="I135" s="436">
        <v>1</v>
      </c>
      <c r="J135" s="437">
        <f t="shared" si="10"/>
        <v>0</v>
      </c>
      <c r="K135" s="432"/>
      <c r="L135" s="432"/>
    </row>
    <row r="136" spans="1:12" s="279" customFormat="1" ht="12.75" x14ac:dyDescent="0.2">
      <c r="A136" s="432"/>
      <c r="B136" s="887"/>
      <c r="C136" s="433">
        <v>2021</v>
      </c>
      <c r="D136" s="438">
        <v>95.29</v>
      </c>
      <c r="E136" s="433">
        <v>44.74</v>
      </c>
      <c r="F136" s="434">
        <f t="shared" si="11"/>
        <v>0</v>
      </c>
      <c r="G136" s="435" t="s">
        <v>542</v>
      </c>
      <c r="H136" s="433">
        <v>129.65</v>
      </c>
      <c r="I136" s="436">
        <v>1</v>
      </c>
      <c r="J136" s="437">
        <f t="shared" si="10"/>
        <v>0</v>
      </c>
      <c r="K136" s="432"/>
      <c r="L136" s="432"/>
    </row>
    <row r="137" spans="1:12" s="279" customFormat="1" ht="12.75" x14ac:dyDescent="0.2">
      <c r="A137" s="432"/>
      <c r="B137" s="887"/>
      <c r="C137" s="433">
        <v>2022</v>
      </c>
      <c r="D137" s="438">
        <v>93.81</v>
      </c>
      <c r="E137" s="433">
        <v>44.74</v>
      </c>
      <c r="F137" s="434">
        <f t="shared" si="11"/>
        <v>0</v>
      </c>
      <c r="G137" s="435" t="s">
        <v>542</v>
      </c>
      <c r="H137" s="433">
        <v>129.65</v>
      </c>
      <c r="I137" s="436">
        <v>1</v>
      </c>
      <c r="J137" s="437">
        <f t="shared" si="10"/>
        <v>0</v>
      </c>
      <c r="K137" s="432"/>
      <c r="L137" s="432"/>
    </row>
    <row r="138" spans="1:12" s="279" customFormat="1" ht="12.75" x14ac:dyDescent="0.2">
      <c r="A138" s="432"/>
      <c r="B138" s="887"/>
      <c r="C138" s="433">
        <v>2023</v>
      </c>
      <c r="D138" s="438">
        <v>92.32</v>
      </c>
      <c r="E138" s="433">
        <v>44.74</v>
      </c>
      <c r="F138" s="434">
        <f t="shared" si="11"/>
        <v>0</v>
      </c>
      <c r="G138" s="435" t="s">
        <v>542</v>
      </c>
      <c r="H138" s="433">
        <v>129.65</v>
      </c>
      <c r="I138" s="436">
        <v>1</v>
      </c>
      <c r="J138" s="437">
        <f t="shared" si="10"/>
        <v>0</v>
      </c>
      <c r="K138" s="432"/>
      <c r="L138" s="432"/>
    </row>
    <row r="139" spans="1:12" s="279" customFormat="1" ht="12.75" x14ac:dyDescent="0.2">
      <c r="A139" s="432"/>
      <c r="B139" s="887"/>
      <c r="C139" s="433">
        <v>2024</v>
      </c>
      <c r="D139" s="438">
        <v>90.84</v>
      </c>
      <c r="E139" s="433">
        <v>44.74</v>
      </c>
      <c r="F139" s="434">
        <f t="shared" si="11"/>
        <v>0</v>
      </c>
      <c r="G139" s="435" t="s">
        <v>542</v>
      </c>
      <c r="H139" s="433">
        <v>129.65</v>
      </c>
      <c r="I139" s="436">
        <v>1</v>
      </c>
      <c r="J139" s="437">
        <f t="shared" si="10"/>
        <v>0</v>
      </c>
      <c r="K139" s="432"/>
      <c r="L139" s="432"/>
    </row>
    <row r="140" spans="1:12" s="279" customFormat="1" ht="12.75" x14ac:dyDescent="0.2">
      <c r="A140" s="432"/>
      <c r="B140" s="887"/>
      <c r="C140" s="433">
        <v>2025</v>
      </c>
      <c r="D140" s="438">
        <v>88.87</v>
      </c>
      <c r="E140" s="433">
        <v>44.74</v>
      </c>
      <c r="F140" s="434">
        <f t="shared" si="11"/>
        <v>0</v>
      </c>
      <c r="G140" s="435" t="s">
        <v>542</v>
      </c>
      <c r="H140" s="433">
        <v>129.65</v>
      </c>
      <c r="I140" s="436">
        <v>1</v>
      </c>
      <c r="J140" s="437">
        <f t="shared" si="10"/>
        <v>0</v>
      </c>
      <c r="K140" s="432"/>
      <c r="L140" s="432"/>
    </row>
    <row r="141" spans="1:12" s="279" customFormat="1" ht="12.75" x14ac:dyDescent="0.2">
      <c r="A141" s="432"/>
      <c r="B141" s="439"/>
      <c r="C141" s="433">
        <v>2026</v>
      </c>
      <c r="D141" s="438">
        <v>88.87</v>
      </c>
      <c r="E141" s="433">
        <v>44.74</v>
      </c>
      <c r="F141" s="434">
        <f t="shared" si="11"/>
        <v>0</v>
      </c>
      <c r="G141" s="435" t="s">
        <v>542</v>
      </c>
      <c r="H141" s="433">
        <v>129.65</v>
      </c>
      <c r="I141" s="436">
        <v>1</v>
      </c>
      <c r="J141" s="437">
        <f t="shared" si="10"/>
        <v>0</v>
      </c>
      <c r="K141" s="432"/>
      <c r="L141" s="432"/>
    </row>
    <row r="142" spans="1:12" s="279" customFormat="1" ht="12.75" x14ac:dyDescent="0.2">
      <c r="A142" s="432"/>
      <c r="B142" s="439"/>
      <c r="C142" s="433">
        <v>2027</v>
      </c>
      <c r="D142" s="438">
        <v>88.87</v>
      </c>
      <c r="E142" s="433">
        <v>44.74</v>
      </c>
      <c r="F142" s="434">
        <f t="shared" si="11"/>
        <v>0</v>
      </c>
      <c r="G142" s="435" t="s">
        <v>542</v>
      </c>
      <c r="H142" s="433">
        <v>129.65</v>
      </c>
      <c r="I142" s="436">
        <v>1</v>
      </c>
      <c r="J142" s="437">
        <f t="shared" si="10"/>
        <v>0</v>
      </c>
      <c r="K142" s="432"/>
      <c r="L142" s="432"/>
    </row>
    <row r="143" spans="1:12" s="279" customFormat="1" ht="12.75" x14ac:dyDescent="0.2">
      <c r="A143" s="432"/>
      <c r="B143" s="439"/>
      <c r="C143" s="433">
        <v>2028</v>
      </c>
      <c r="D143" s="438">
        <v>88.87</v>
      </c>
      <c r="E143" s="433">
        <v>44.74</v>
      </c>
      <c r="F143" s="434">
        <f t="shared" si="11"/>
        <v>0</v>
      </c>
      <c r="G143" s="435" t="s">
        <v>542</v>
      </c>
      <c r="H143" s="433">
        <v>129.65</v>
      </c>
      <c r="I143" s="436">
        <v>1</v>
      </c>
      <c r="J143" s="437">
        <f t="shared" si="10"/>
        <v>0</v>
      </c>
      <c r="K143" s="432"/>
      <c r="L143" s="432"/>
    </row>
    <row r="144" spans="1:12" s="279" customFormat="1" ht="12.75" x14ac:dyDescent="0.2">
      <c r="A144" s="432"/>
      <c r="B144" s="439"/>
      <c r="C144" s="433">
        <v>2029</v>
      </c>
      <c r="D144" s="438">
        <v>88.87</v>
      </c>
      <c r="E144" s="433">
        <v>44.74</v>
      </c>
      <c r="F144" s="434">
        <f t="shared" si="11"/>
        <v>0</v>
      </c>
      <c r="G144" s="435" t="s">
        <v>542</v>
      </c>
      <c r="H144" s="433">
        <v>129.65</v>
      </c>
      <c r="I144" s="436">
        <v>1</v>
      </c>
      <c r="J144" s="437">
        <f t="shared" si="10"/>
        <v>0</v>
      </c>
      <c r="K144" s="432"/>
      <c r="L144" s="432"/>
    </row>
    <row r="145" spans="1:12" s="279" customFormat="1" ht="12.75" x14ac:dyDescent="0.2">
      <c r="A145" s="432"/>
      <c r="B145" s="439"/>
      <c r="C145" s="433">
        <v>2030</v>
      </c>
      <c r="D145" s="438">
        <v>88.87</v>
      </c>
      <c r="E145" s="433">
        <v>44.74</v>
      </c>
      <c r="F145" s="434">
        <f t="shared" si="11"/>
        <v>0</v>
      </c>
      <c r="G145" s="435" t="s">
        <v>542</v>
      </c>
      <c r="H145" s="433">
        <v>129.65</v>
      </c>
      <c r="I145" s="436">
        <v>1</v>
      </c>
      <c r="J145" s="437">
        <f t="shared" si="10"/>
        <v>0</v>
      </c>
      <c r="K145" s="432"/>
      <c r="L145" s="432"/>
    </row>
    <row r="146" spans="1:12" s="279" customFormat="1" ht="12.75" x14ac:dyDescent="0.2">
      <c r="A146" s="432"/>
      <c r="B146" s="439"/>
      <c r="C146" s="433">
        <v>2031</v>
      </c>
      <c r="D146" s="438">
        <v>88.87</v>
      </c>
      <c r="E146" s="433">
        <v>44.74</v>
      </c>
      <c r="F146" s="434">
        <f t="shared" si="11"/>
        <v>0</v>
      </c>
      <c r="G146" s="435" t="s">
        <v>542</v>
      </c>
      <c r="H146" s="433">
        <v>129.65</v>
      </c>
      <c r="I146" s="436">
        <v>1</v>
      </c>
      <c r="J146" s="437">
        <f t="shared" si="10"/>
        <v>0</v>
      </c>
      <c r="K146" s="432"/>
      <c r="L146" s="440">
        <f>SUM(J135:J146)</f>
        <v>0</v>
      </c>
    </row>
    <row r="147" spans="1:12" s="281" customFormat="1" ht="12.75" x14ac:dyDescent="0.2">
      <c r="A147" s="279"/>
    </row>
    <row r="148" spans="1:12" s="281" customFormat="1" ht="12.75" x14ac:dyDescent="0.2">
      <c r="A148" s="432"/>
      <c r="B148" s="887" t="s">
        <v>548</v>
      </c>
      <c r="C148" s="433">
        <v>2016</v>
      </c>
      <c r="D148" s="433">
        <v>99.39</v>
      </c>
      <c r="E148" s="433">
        <v>44.74</v>
      </c>
      <c r="F148" s="434">
        <f>F97</f>
        <v>30303.0303030303</v>
      </c>
      <c r="G148" s="435" t="s">
        <v>542</v>
      </c>
      <c r="H148" s="433">
        <v>119.55</v>
      </c>
      <c r="I148" s="436">
        <v>1</v>
      </c>
      <c r="J148" s="437">
        <f>((D148-(E148/I148))*F148*H148*I148)/1000000</f>
        <v>197.98204545454544</v>
      </c>
      <c r="K148" s="432"/>
      <c r="L148" s="441"/>
    </row>
    <row r="149" spans="1:12" s="281" customFormat="1" ht="12.75" x14ac:dyDescent="0.2">
      <c r="A149" s="432"/>
      <c r="B149" s="887"/>
      <c r="C149" s="433">
        <v>2017</v>
      </c>
      <c r="D149" s="433">
        <v>99.14</v>
      </c>
      <c r="E149" s="433">
        <v>44.74</v>
      </c>
      <c r="F149" s="434">
        <f>F148</f>
        <v>30303.0303030303</v>
      </c>
      <c r="G149" s="435" t="s">
        <v>542</v>
      </c>
      <c r="H149" s="433">
        <v>119.55</v>
      </c>
      <c r="I149" s="436">
        <v>1</v>
      </c>
      <c r="J149" s="437">
        <f t="shared" ref="J149:J163" si="12">((D149-(E149/I149))*F149*H149*I149)/1000000</f>
        <v>197.07636363636362</v>
      </c>
      <c r="K149" s="432"/>
      <c r="L149" s="432"/>
    </row>
    <row r="150" spans="1:12" s="281" customFormat="1" ht="12.75" x14ac:dyDescent="0.2">
      <c r="A150" s="432"/>
      <c r="B150" s="887"/>
      <c r="C150" s="433">
        <v>2018</v>
      </c>
      <c r="D150" s="433">
        <v>98.61</v>
      </c>
      <c r="E150" s="433">
        <v>44.74</v>
      </c>
      <c r="F150" s="434">
        <f t="shared" ref="F150:F163" si="13">F149</f>
        <v>30303.0303030303</v>
      </c>
      <c r="G150" s="435" t="s">
        <v>542</v>
      </c>
      <c r="H150" s="433">
        <v>126.13</v>
      </c>
      <c r="I150" s="436">
        <v>1</v>
      </c>
      <c r="J150" s="437">
        <f t="shared" si="12"/>
        <v>205.89766969696967</v>
      </c>
      <c r="K150" s="432"/>
      <c r="L150" s="432"/>
    </row>
    <row r="151" spans="1:12" s="281" customFormat="1" ht="12.75" x14ac:dyDescent="0.2">
      <c r="A151" s="432"/>
      <c r="B151" s="887"/>
      <c r="C151" s="433">
        <v>2019</v>
      </c>
      <c r="D151" s="438">
        <v>97.26</v>
      </c>
      <c r="E151" s="433">
        <v>44.74</v>
      </c>
      <c r="F151" s="434">
        <f t="shared" si="13"/>
        <v>30303.0303030303</v>
      </c>
      <c r="G151" s="435" t="s">
        <v>542</v>
      </c>
      <c r="H151" s="433">
        <v>126.13</v>
      </c>
      <c r="I151" s="436">
        <v>1</v>
      </c>
      <c r="J151" s="437">
        <f t="shared" si="12"/>
        <v>200.73780606060603</v>
      </c>
      <c r="K151" s="432"/>
      <c r="L151" s="432"/>
    </row>
    <row r="152" spans="1:12" s="281" customFormat="1" ht="12.75" x14ac:dyDescent="0.2">
      <c r="A152" s="432"/>
      <c r="B152" s="887"/>
      <c r="C152" s="433">
        <v>2020</v>
      </c>
      <c r="D152" s="438">
        <v>96.27</v>
      </c>
      <c r="E152" s="433">
        <v>44.74</v>
      </c>
      <c r="F152" s="434">
        <f t="shared" si="13"/>
        <v>30303.0303030303</v>
      </c>
      <c r="G152" s="435" t="s">
        <v>542</v>
      </c>
      <c r="H152" s="433">
        <v>126.13</v>
      </c>
      <c r="I152" s="436">
        <v>1</v>
      </c>
      <c r="J152" s="437">
        <f t="shared" si="12"/>
        <v>196.95390606060602</v>
      </c>
      <c r="K152" s="432"/>
      <c r="L152" s="432"/>
    </row>
    <row r="153" spans="1:12" s="281" customFormat="1" ht="12.75" x14ac:dyDescent="0.2">
      <c r="A153" s="432"/>
      <c r="B153" s="887"/>
      <c r="C153" s="433">
        <v>2021</v>
      </c>
      <c r="D153" s="438">
        <v>95.29</v>
      </c>
      <c r="E153" s="433">
        <v>44.74</v>
      </c>
      <c r="F153" s="434">
        <f t="shared" si="13"/>
        <v>30303.0303030303</v>
      </c>
      <c r="G153" s="435" t="s">
        <v>542</v>
      </c>
      <c r="H153" s="433">
        <v>126.13</v>
      </c>
      <c r="I153" s="436">
        <v>1</v>
      </c>
      <c r="J153" s="437">
        <f t="shared" si="12"/>
        <v>193.20822727272727</v>
      </c>
      <c r="K153" s="432"/>
      <c r="L153" s="432"/>
    </row>
    <row r="154" spans="1:12" s="281" customFormat="1" ht="12.75" x14ac:dyDescent="0.2">
      <c r="A154" s="432"/>
      <c r="B154" s="887"/>
      <c r="C154" s="433">
        <v>2022</v>
      </c>
      <c r="D154" s="438">
        <v>93.81</v>
      </c>
      <c r="E154" s="433">
        <v>44.74</v>
      </c>
      <c r="F154" s="434">
        <f t="shared" si="13"/>
        <v>30303.0303030303</v>
      </c>
      <c r="G154" s="435" t="s">
        <v>542</v>
      </c>
      <c r="H154" s="433">
        <v>126.13</v>
      </c>
      <c r="I154" s="436">
        <v>1</v>
      </c>
      <c r="J154" s="437">
        <f t="shared" si="12"/>
        <v>187.55148787878784</v>
      </c>
      <c r="K154" s="432"/>
      <c r="L154" s="432"/>
    </row>
    <row r="155" spans="1:12" s="281" customFormat="1" ht="12.75" x14ac:dyDescent="0.2">
      <c r="A155" s="432"/>
      <c r="B155" s="887"/>
      <c r="C155" s="433">
        <v>2023</v>
      </c>
      <c r="D155" s="438">
        <v>92.32</v>
      </c>
      <c r="E155" s="433">
        <v>44.74</v>
      </c>
      <c r="F155" s="434">
        <f t="shared" si="13"/>
        <v>30303.0303030303</v>
      </c>
      <c r="G155" s="435" t="s">
        <v>542</v>
      </c>
      <c r="H155" s="433">
        <v>126.13</v>
      </c>
      <c r="I155" s="436">
        <v>1</v>
      </c>
      <c r="J155" s="437">
        <f t="shared" si="12"/>
        <v>181.85652727272722</v>
      </c>
      <c r="K155" s="432"/>
      <c r="L155" s="432"/>
    </row>
    <row r="156" spans="1:12" s="281" customFormat="1" ht="12.75" x14ac:dyDescent="0.2">
      <c r="A156" s="432"/>
      <c r="B156" s="887"/>
      <c r="C156" s="433">
        <v>2024</v>
      </c>
      <c r="D156" s="438">
        <v>90.84</v>
      </c>
      <c r="E156" s="433">
        <v>44.74</v>
      </c>
      <c r="F156" s="434">
        <f t="shared" si="13"/>
        <v>30303.0303030303</v>
      </c>
      <c r="G156" s="435" t="s">
        <v>542</v>
      </c>
      <c r="H156" s="433">
        <v>126.13</v>
      </c>
      <c r="I156" s="436">
        <v>1</v>
      </c>
      <c r="J156" s="437">
        <f t="shared" si="12"/>
        <v>176.19978787878784</v>
      </c>
      <c r="K156" s="432"/>
      <c r="L156" s="432"/>
    </row>
    <row r="157" spans="1:12" s="281" customFormat="1" ht="12.75" x14ac:dyDescent="0.2">
      <c r="A157" s="432"/>
      <c r="B157" s="887"/>
      <c r="C157" s="433">
        <v>2025</v>
      </c>
      <c r="D157" s="438">
        <v>88.87</v>
      </c>
      <c r="E157" s="433">
        <v>44.74</v>
      </c>
      <c r="F157" s="434">
        <f t="shared" si="13"/>
        <v>30303.0303030303</v>
      </c>
      <c r="G157" s="435" t="s">
        <v>542</v>
      </c>
      <c r="H157" s="433">
        <v>126.13</v>
      </c>
      <c r="I157" s="436">
        <v>1</v>
      </c>
      <c r="J157" s="437">
        <f t="shared" si="12"/>
        <v>168.67020909090908</v>
      </c>
      <c r="K157" s="432"/>
      <c r="L157" s="432"/>
    </row>
    <row r="158" spans="1:12" s="281" customFormat="1" ht="12.75" x14ac:dyDescent="0.2">
      <c r="A158" s="432"/>
      <c r="B158" s="439"/>
      <c r="C158" s="433">
        <v>2026</v>
      </c>
      <c r="D158" s="438">
        <v>88.87</v>
      </c>
      <c r="E158" s="433">
        <v>44.74</v>
      </c>
      <c r="F158" s="434">
        <f t="shared" si="13"/>
        <v>30303.0303030303</v>
      </c>
      <c r="G158" s="435" t="s">
        <v>542</v>
      </c>
      <c r="H158" s="433">
        <v>126.13</v>
      </c>
      <c r="I158" s="436">
        <v>1</v>
      </c>
      <c r="J158" s="437">
        <f t="shared" si="12"/>
        <v>168.67020909090908</v>
      </c>
      <c r="K158" s="432"/>
      <c r="L158" s="432"/>
    </row>
    <row r="159" spans="1:12" s="281" customFormat="1" ht="12.75" x14ac:dyDescent="0.2">
      <c r="A159" s="432"/>
      <c r="B159" s="439"/>
      <c r="C159" s="433">
        <v>2027</v>
      </c>
      <c r="D159" s="438">
        <v>88.87</v>
      </c>
      <c r="E159" s="433">
        <v>44.74</v>
      </c>
      <c r="F159" s="434">
        <f t="shared" si="13"/>
        <v>30303.0303030303</v>
      </c>
      <c r="G159" s="435" t="s">
        <v>542</v>
      </c>
      <c r="H159" s="433">
        <v>126.13</v>
      </c>
      <c r="I159" s="436">
        <v>1</v>
      </c>
      <c r="J159" s="437">
        <f t="shared" si="12"/>
        <v>168.67020909090908</v>
      </c>
      <c r="K159" s="432"/>
      <c r="L159" s="432"/>
    </row>
    <row r="160" spans="1:12" s="281" customFormat="1" ht="12.75" x14ac:dyDescent="0.2">
      <c r="A160" s="432"/>
      <c r="B160" s="439"/>
      <c r="C160" s="433">
        <v>2028</v>
      </c>
      <c r="D160" s="438">
        <v>88.87</v>
      </c>
      <c r="E160" s="433">
        <v>44.74</v>
      </c>
      <c r="F160" s="434">
        <f t="shared" si="13"/>
        <v>30303.0303030303</v>
      </c>
      <c r="G160" s="435" t="s">
        <v>542</v>
      </c>
      <c r="H160" s="433">
        <v>126.13</v>
      </c>
      <c r="I160" s="436">
        <v>1</v>
      </c>
      <c r="J160" s="437">
        <f t="shared" si="12"/>
        <v>168.67020909090908</v>
      </c>
      <c r="K160" s="432"/>
      <c r="L160" s="432"/>
    </row>
    <row r="161" spans="1:12" s="281" customFormat="1" ht="12.75" x14ac:dyDescent="0.2">
      <c r="A161" s="432"/>
      <c r="B161" s="439"/>
      <c r="C161" s="433">
        <v>2029</v>
      </c>
      <c r="D161" s="438">
        <v>88.87</v>
      </c>
      <c r="E161" s="433">
        <v>44.74</v>
      </c>
      <c r="F161" s="434">
        <f t="shared" si="13"/>
        <v>30303.0303030303</v>
      </c>
      <c r="G161" s="435" t="s">
        <v>542</v>
      </c>
      <c r="H161" s="433">
        <v>126.13</v>
      </c>
      <c r="I161" s="436">
        <v>1</v>
      </c>
      <c r="J161" s="437">
        <f t="shared" si="12"/>
        <v>168.67020909090908</v>
      </c>
      <c r="K161" s="432"/>
      <c r="L161" s="432"/>
    </row>
    <row r="162" spans="1:12" s="281" customFormat="1" ht="12.75" x14ac:dyDescent="0.2">
      <c r="A162" s="432"/>
      <c r="B162" s="439"/>
      <c r="C162" s="433">
        <v>2030</v>
      </c>
      <c r="D162" s="438">
        <v>88.87</v>
      </c>
      <c r="E162" s="433">
        <v>44.74</v>
      </c>
      <c r="F162" s="434">
        <f t="shared" si="13"/>
        <v>30303.0303030303</v>
      </c>
      <c r="G162" s="435" t="s">
        <v>542</v>
      </c>
      <c r="H162" s="433">
        <v>126.13</v>
      </c>
      <c r="I162" s="436">
        <v>1</v>
      </c>
      <c r="J162" s="437">
        <f t="shared" si="12"/>
        <v>168.67020909090908</v>
      </c>
      <c r="K162" s="432"/>
      <c r="L162" s="432"/>
    </row>
    <row r="163" spans="1:12" s="279" customFormat="1" ht="12.75" x14ac:dyDescent="0.2">
      <c r="A163" s="432"/>
      <c r="B163" s="439"/>
      <c r="C163" s="433">
        <v>2031</v>
      </c>
      <c r="D163" s="438">
        <v>88.87</v>
      </c>
      <c r="E163" s="433">
        <v>44.74</v>
      </c>
      <c r="F163" s="434">
        <f t="shared" si="13"/>
        <v>30303.0303030303</v>
      </c>
      <c r="G163" s="435" t="s">
        <v>542</v>
      </c>
      <c r="H163" s="433">
        <v>126.13</v>
      </c>
      <c r="I163" s="436">
        <v>1</v>
      </c>
      <c r="J163" s="437">
        <f t="shared" si="12"/>
        <v>168.67020909090908</v>
      </c>
      <c r="K163" s="432"/>
      <c r="L163" s="440">
        <f>SUM(J152:J163)</f>
        <v>2116.4613999999997</v>
      </c>
    </row>
    <row r="164" spans="1:12" s="281" customFormat="1" ht="12.75" x14ac:dyDescent="0.2">
      <c r="A164" s="279"/>
      <c r="B164" s="279"/>
      <c r="C164" s="279"/>
      <c r="D164" s="279"/>
      <c r="E164" s="279"/>
      <c r="F164" s="311"/>
      <c r="G164" s="280"/>
      <c r="H164" s="279"/>
      <c r="I164" s="315"/>
      <c r="J164" s="309"/>
      <c r="K164" s="279"/>
      <c r="L164" s="279"/>
    </row>
    <row r="165" spans="1:12" s="281" customFormat="1" ht="12.75" x14ac:dyDescent="0.2">
      <c r="A165" s="432"/>
      <c r="B165" s="887" t="s">
        <v>549</v>
      </c>
      <c r="C165" s="433">
        <v>2016</v>
      </c>
      <c r="D165" s="433">
        <v>99.39</v>
      </c>
      <c r="E165" s="433">
        <v>44.74</v>
      </c>
      <c r="F165" s="434">
        <f>F97</f>
        <v>30303.0303030303</v>
      </c>
      <c r="G165" s="435" t="s">
        <v>542</v>
      </c>
      <c r="H165" s="433">
        <v>119.55</v>
      </c>
      <c r="I165" s="436">
        <v>1</v>
      </c>
      <c r="J165" s="437">
        <f>((D165-(E165/I165))*F165*H165*I165)/1000000</f>
        <v>197.98204545454544</v>
      </c>
      <c r="K165" s="432"/>
      <c r="L165" s="432"/>
    </row>
    <row r="166" spans="1:12" s="281" customFormat="1" ht="12.75" x14ac:dyDescent="0.2">
      <c r="A166" s="432"/>
      <c r="B166" s="887"/>
      <c r="C166" s="433">
        <v>2017</v>
      </c>
      <c r="D166" s="433">
        <v>99.14</v>
      </c>
      <c r="E166" s="433">
        <v>44.74</v>
      </c>
      <c r="F166" s="434">
        <f>F165</f>
        <v>30303.0303030303</v>
      </c>
      <c r="G166" s="435" t="s">
        <v>542</v>
      </c>
      <c r="H166" s="433">
        <v>119.55</v>
      </c>
      <c r="I166" s="436">
        <v>1</v>
      </c>
      <c r="J166" s="437">
        <f t="shared" ref="J166:J180" si="14">((D166-(E166/I166))*F166*H166*I166)/1000000</f>
        <v>197.07636363636362</v>
      </c>
      <c r="K166" s="432"/>
      <c r="L166" s="432"/>
    </row>
    <row r="167" spans="1:12" s="281" customFormat="1" ht="12.75" x14ac:dyDescent="0.2">
      <c r="A167" s="432"/>
      <c r="B167" s="887"/>
      <c r="C167" s="433">
        <v>2018</v>
      </c>
      <c r="D167" s="433">
        <v>98.61</v>
      </c>
      <c r="E167" s="433">
        <v>44.74</v>
      </c>
      <c r="F167" s="434">
        <f t="shared" ref="F167:F180" si="15">F166</f>
        <v>30303.0303030303</v>
      </c>
      <c r="G167" s="435" t="s">
        <v>542</v>
      </c>
      <c r="H167" s="433">
        <v>129.65</v>
      </c>
      <c r="I167" s="436">
        <v>1</v>
      </c>
      <c r="J167" s="437">
        <f t="shared" si="14"/>
        <v>211.64380303030299</v>
      </c>
      <c r="K167" s="432"/>
      <c r="L167" s="432"/>
    </row>
    <row r="168" spans="1:12" s="281" customFormat="1" ht="12.75" x14ac:dyDescent="0.2">
      <c r="A168" s="432"/>
      <c r="B168" s="887"/>
      <c r="C168" s="433">
        <v>2019</v>
      </c>
      <c r="D168" s="438">
        <v>97.26</v>
      </c>
      <c r="E168" s="433">
        <v>44.74</v>
      </c>
      <c r="F168" s="434">
        <f t="shared" si="15"/>
        <v>30303.0303030303</v>
      </c>
      <c r="G168" s="435" t="s">
        <v>542</v>
      </c>
      <c r="H168" s="433">
        <v>129.65</v>
      </c>
      <c r="I168" s="436">
        <v>1</v>
      </c>
      <c r="J168" s="437">
        <f t="shared" si="14"/>
        <v>206.33993939393937</v>
      </c>
      <c r="K168" s="432"/>
      <c r="L168" s="432"/>
    </row>
    <row r="169" spans="1:12" s="281" customFormat="1" ht="12.75" x14ac:dyDescent="0.2">
      <c r="A169" s="432"/>
      <c r="B169" s="887"/>
      <c r="C169" s="433">
        <v>2020</v>
      </c>
      <c r="D169" s="438">
        <v>96.27</v>
      </c>
      <c r="E169" s="433">
        <v>44.74</v>
      </c>
      <c r="F169" s="434">
        <f t="shared" si="15"/>
        <v>30303.0303030303</v>
      </c>
      <c r="G169" s="435" t="s">
        <v>542</v>
      </c>
      <c r="H169" s="433">
        <v>129.65</v>
      </c>
      <c r="I169" s="436">
        <v>1</v>
      </c>
      <c r="J169" s="437">
        <f t="shared" si="14"/>
        <v>202.45043939393935</v>
      </c>
      <c r="K169" s="432"/>
      <c r="L169" s="432"/>
    </row>
    <row r="170" spans="1:12" s="281" customFormat="1" ht="12.75" x14ac:dyDescent="0.2">
      <c r="A170" s="432"/>
      <c r="B170" s="887"/>
      <c r="C170" s="433">
        <v>2021</v>
      </c>
      <c r="D170" s="438">
        <v>95.29</v>
      </c>
      <c r="E170" s="433">
        <v>44.74</v>
      </c>
      <c r="F170" s="434">
        <f t="shared" si="15"/>
        <v>30303.0303030303</v>
      </c>
      <c r="G170" s="435" t="s">
        <v>542</v>
      </c>
      <c r="H170" s="433">
        <v>129.65</v>
      </c>
      <c r="I170" s="436">
        <v>1</v>
      </c>
      <c r="J170" s="437">
        <f t="shared" si="14"/>
        <v>198.60022727272727</v>
      </c>
      <c r="K170" s="432"/>
      <c r="L170" s="432"/>
    </row>
    <row r="171" spans="1:12" s="281" customFormat="1" ht="12.75" x14ac:dyDescent="0.2">
      <c r="A171" s="432"/>
      <c r="B171" s="887"/>
      <c r="C171" s="433">
        <v>2022</v>
      </c>
      <c r="D171" s="438">
        <v>93.81</v>
      </c>
      <c r="E171" s="433">
        <v>44.74</v>
      </c>
      <c r="F171" s="434">
        <f t="shared" si="15"/>
        <v>30303.0303030303</v>
      </c>
      <c r="G171" s="435" t="s">
        <v>542</v>
      </c>
      <c r="H171" s="433">
        <v>129.65</v>
      </c>
      <c r="I171" s="436">
        <v>1</v>
      </c>
      <c r="J171" s="437">
        <f t="shared" si="14"/>
        <v>192.78562121212119</v>
      </c>
      <c r="K171" s="432"/>
      <c r="L171" s="432"/>
    </row>
    <row r="172" spans="1:12" s="281" customFormat="1" ht="12.75" x14ac:dyDescent="0.2">
      <c r="A172" s="432"/>
      <c r="B172" s="887"/>
      <c r="C172" s="433">
        <v>2023</v>
      </c>
      <c r="D172" s="438">
        <v>92.32</v>
      </c>
      <c r="E172" s="433">
        <v>44.74</v>
      </c>
      <c r="F172" s="434">
        <f t="shared" si="15"/>
        <v>30303.0303030303</v>
      </c>
      <c r="G172" s="435" t="s">
        <v>542</v>
      </c>
      <c r="H172" s="433">
        <v>129.65</v>
      </c>
      <c r="I172" s="436">
        <v>1</v>
      </c>
      <c r="J172" s="437">
        <f t="shared" si="14"/>
        <v>186.93172727272722</v>
      </c>
      <c r="K172" s="432"/>
      <c r="L172" s="432"/>
    </row>
    <row r="173" spans="1:12" s="281" customFormat="1" ht="12.75" x14ac:dyDescent="0.2">
      <c r="A173" s="432"/>
      <c r="B173" s="887"/>
      <c r="C173" s="433">
        <v>2024</v>
      </c>
      <c r="D173" s="438">
        <v>90.84</v>
      </c>
      <c r="E173" s="433">
        <v>44.74</v>
      </c>
      <c r="F173" s="434">
        <f t="shared" si="15"/>
        <v>30303.0303030303</v>
      </c>
      <c r="G173" s="435" t="s">
        <v>542</v>
      </c>
      <c r="H173" s="433">
        <v>129.65</v>
      </c>
      <c r="I173" s="436">
        <v>1</v>
      </c>
      <c r="J173" s="437">
        <f t="shared" si="14"/>
        <v>181.11712121212119</v>
      </c>
      <c r="K173" s="432"/>
      <c r="L173" s="432"/>
    </row>
    <row r="174" spans="1:12" s="281" customFormat="1" ht="12.75" x14ac:dyDescent="0.2">
      <c r="A174" s="432"/>
      <c r="B174" s="887"/>
      <c r="C174" s="433">
        <v>2025</v>
      </c>
      <c r="D174" s="438">
        <v>88.87</v>
      </c>
      <c r="E174" s="433">
        <v>44.74</v>
      </c>
      <c r="F174" s="434">
        <f t="shared" si="15"/>
        <v>30303.0303030303</v>
      </c>
      <c r="G174" s="435" t="s">
        <v>542</v>
      </c>
      <c r="H174" s="433">
        <v>129.65</v>
      </c>
      <c r="I174" s="436">
        <v>1</v>
      </c>
      <c r="J174" s="437">
        <f t="shared" si="14"/>
        <v>173.37740909090908</v>
      </c>
      <c r="K174" s="432"/>
      <c r="L174" s="432"/>
    </row>
    <row r="175" spans="1:12" s="281" customFormat="1" ht="12.75" x14ac:dyDescent="0.2">
      <c r="A175" s="432"/>
      <c r="B175" s="439"/>
      <c r="C175" s="433">
        <v>2026</v>
      </c>
      <c r="D175" s="438">
        <v>88.87</v>
      </c>
      <c r="E175" s="433">
        <v>44.74</v>
      </c>
      <c r="F175" s="434">
        <f t="shared" si="15"/>
        <v>30303.0303030303</v>
      </c>
      <c r="G175" s="435" t="s">
        <v>542</v>
      </c>
      <c r="H175" s="433">
        <v>129.65</v>
      </c>
      <c r="I175" s="436">
        <v>1</v>
      </c>
      <c r="J175" s="437">
        <f t="shared" si="14"/>
        <v>173.37740909090908</v>
      </c>
      <c r="K175" s="432"/>
      <c r="L175" s="432"/>
    </row>
    <row r="176" spans="1:12" s="281" customFormat="1" ht="12.75" x14ac:dyDescent="0.2">
      <c r="A176" s="432"/>
      <c r="B176" s="439"/>
      <c r="C176" s="433">
        <v>2027</v>
      </c>
      <c r="D176" s="438">
        <v>88.87</v>
      </c>
      <c r="E176" s="433">
        <v>44.74</v>
      </c>
      <c r="F176" s="434">
        <f t="shared" si="15"/>
        <v>30303.0303030303</v>
      </c>
      <c r="G176" s="435" t="s">
        <v>542</v>
      </c>
      <c r="H176" s="433">
        <v>129.65</v>
      </c>
      <c r="I176" s="436">
        <v>1</v>
      </c>
      <c r="J176" s="437">
        <f t="shared" si="14"/>
        <v>173.37740909090908</v>
      </c>
      <c r="K176" s="432"/>
      <c r="L176" s="432"/>
    </row>
    <row r="177" spans="1:12" s="281" customFormat="1" ht="12.75" x14ac:dyDescent="0.2">
      <c r="A177" s="432"/>
      <c r="B177" s="439"/>
      <c r="C177" s="433">
        <v>2028</v>
      </c>
      <c r="D177" s="438">
        <v>88.87</v>
      </c>
      <c r="E177" s="433">
        <v>44.74</v>
      </c>
      <c r="F177" s="434">
        <f t="shared" si="15"/>
        <v>30303.0303030303</v>
      </c>
      <c r="G177" s="435" t="s">
        <v>542</v>
      </c>
      <c r="H177" s="433">
        <v>129.65</v>
      </c>
      <c r="I177" s="436">
        <v>1</v>
      </c>
      <c r="J177" s="437">
        <f t="shared" si="14"/>
        <v>173.37740909090908</v>
      </c>
      <c r="K177" s="432"/>
      <c r="L177" s="432"/>
    </row>
    <row r="178" spans="1:12" s="281" customFormat="1" ht="12.75" x14ac:dyDescent="0.2">
      <c r="A178" s="432"/>
      <c r="B178" s="439"/>
      <c r="C178" s="433">
        <v>2029</v>
      </c>
      <c r="D178" s="438">
        <v>88.87</v>
      </c>
      <c r="E178" s="433">
        <v>44.74</v>
      </c>
      <c r="F178" s="434">
        <f t="shared" si="15"/>
        <v>30303.0303030303</v>
      </c>
      <c r="G178" s="435" t="s">
        <v>542</v>
      </c>
      <c r="H178" s="433">
        <v>129.65</v>
      </c>
      <c r="I178" s="436">
        <v>1</v>
      </c>
      <c r="J178" s="437">
        <f t="shared" si="14"/>
        <v>173.37740909090908</v>
      </c>
      <c r="K178" s="432"/>
      <c r="L178" s="432"/>
    </row>
    <row r="179" spans="1:12" s="281" customFormat="1" ht="12.75" x14ac:dyDescent="0.2">
      <c r="A179" s="432"/>
      <c r="B179" s="439"/>
      <c r="C179" s="433">
        <v>2030</v>
      </c>
      <c r="D179" s="438">
        <v>88.87</v>
      </c>
      <c r="E179" s="433">
        <v>44.74</v>
      </c>
      <c r="F179" s="434">
        <f t="shared" si="15"/>
        <v>30303.0303030303</v>
      </c>
      <c r="G179" s="435" t="s">
        <v>542</v>
      </c>
      <c r="H179" s="433">
        <v>129.65</v>
      </c>
      <c r="I179" s="436">
        <v>1</v>
      </c>
      <c r="J179" s="437">
        <f t="shared" si="14"/>
        <v>173.37740909090908</v>
      </c>
      <c r="K179" s="432"/>
      <c r="L179" s="432"/>
    </row>
    <row r="180" spans="1:12" s="279" customFormat="1" ht="12.75" x14ac:dyDescent="0.2">
      <c r="A180" s="432"/>
      <c r="B180" s="439"/>
      <c r="C180" s="433">
        <v>2031</v>
      </c>
      <c r="D180" s="438">
        <v>88.87</v>
      </c>
      <c r="E180" s="433">
        <v>44.74</v>
      </c>
      <c r="F180" s="434">
        <f t="shared" si="15"/>
        <v>30303.0303030303</v>
      </c>
      <c r="G180" s="435" t="s">
        <v>542</v>
      </c>
      <c r="H180" s="433">
        <v>129.65</v>
      </c>
      <c r="I180" s="436">
        <v>1</v>
      </c>
      <c r="J180" s="437">
        <f t="shared" si="14"/>
        <v>173.37740909090908</v>
      </c>
      <c r="K180" s="432"/>
      <c r="L180" s="440">
        <f>SUM(J169:J180)</f>
        <v>2175.5270000000005</v>
      </c>
    </row>
    <row r="181" spans="1:12" s="281" customFormat="1" ht="12.75" x14ac:dyDescent="0.2">
      <c r="B181" s="287"/>
      <c r="C181" s="300"/>
      <c r="D181" s="307"/>
      <c r="E181" s="300"/>
      <c r="F181" s="317"/>
      <c r="G181" s="303"/>
      <c r="H181" s="300"/>
      <c r="I181" s="318"/>
      <c r="J181" s="319"/>
      <c r="L181" s="320"/>
    </row>
    <row r="182" spans="1:12" s="281" customFormat="1" ht="12.75" x14ac:dyDescent="0.2">
      <c r="A182" s="279"/>
      <c r="B182" s="893" t="s">
        <v>550</v>
      </c>
      <c r="C182" s="300">
        <v>2016</v>
      </c>
      <c r="D182" s="300">
        <v>99.39</v>
      </c>
      <c r="E182" s="321">
        <v>79.98</v>
      </c>
      <c r="F182" s="302"/>
      <c r="G182" s="303" t="s">
        <v>551</v>
      </c>
      <c r="H182" s="312">
        <v>105.5</v>
      </c>
      <c r="I182" s="322">
        <v>0.9</v>
      </c>
      <c r="J182" s="306">
        <f>IF(((D182-(E182/I182))*F182*H182*I182)/1000000&gt;1,((D182-(E182/I182))*F182*H182*I182)/1000000,0)</f>
        <v>0</v>
      </c>
      <c r="K182" s="279"/>
      <c r="L182" s="310"/>
    </row>
    <row r="183" spans="1:12" s="281" customFormat="1" ht="12.75" x14ac:dyDescent="0.2">
      <c r="A183" s="279"/>
      <c r="B183" s="893"/>
      <c r="C183" s="300">
        <v>2017</v>
      </c>
      <c r="D183" s="300">
        <v>99.14</v>
      </c>
      <c r="E183" s="321">
        <v>79.98</v>
      </c>
      <c r="F183" s="302">
        <f>F182</f>
        <v>0</v>
      </c>
      <c r="G183" s="303" t="s">
        <v>551</v>
      </c>
      <c r="H183" s="312">
        <v>105.5</v>
      </c>
      <c r="I183" s="322">
        <v>0.9</v>
      </c>
      <c r="J183" s="306">
        <f t="shared" ref="J183:J201" si="16">IF(((D183-(E183/I183))*F183*H183*I183)/1000000&gt;1,((D183-(E183/I183))*F183*H183*I183)/1000000,0)</f>
        <v>0</v>
      </c>
      <c r="K183" s="279"/>
      <c r="L183" s="310"/>
    </row>
    <row r="184" spans="1:12" s="281" customFormat="1" ht="12.75" x14ac:dyDescent="0.2">
      <c r="A184" s="279"/>
      <c r="B184" s="893"/>
      <c r="C184" s="300">
        <v>2018</v>
      </c>
      <c r="D184" s="300">
        <v>98.61</v>
      </c>
      <c r="E184" s="321">
        <v>79.98</v>
      </c>
      <c r="F184" s="302">
        <f t="shared" ref="F184:F201" si="17">F183</f>
        <v>0</v>
      </c>
      <c r="G184" s="303" t="s">
        <v>551</v>
      </c>
      <c r="H184" s="312">
        <v>105.5</v>
      </c>
      <c r="I184" s="322">
        <v>0.9</v>
      </c>
      <c r="J184" s="306">
        <f t="shared" si="16"/>
        <v>0</v>
      </c>
      <c r="K184" s="279"/>
      <c r="L184" s="310"/>
    </row>
    <row r="185" spans="1:12" s="281" customFormat="1" ht="12.75" x14ac:dyDescent="0.2">
      <c r="A185" s="279"/>
      <c r="B185" s="893"/>
      <c r="C185" s="300">
        <v>2019</v>
      </c>
      <c r="D185" s="307">
        <v>97.26</v>
      </c>
      <c r="E185" s="321">
        <v>79.98</v>
      </c>
      <c r="F185" s="302">
        <f t="shared" si="17"/>
        <v>0</v>
      </c>
      <c r="G185" s="303" t="s">
        <v>551</v>
      </c>
      <c r="H185" s="312">
        <v>105.5</v>
      </c>
      <c r="I185" s="322">
        <v>0.9</v>
      </c>
      <c r="J185" s="306">
        <f t="shared" si="16"/>
        <v>0</v>
      </c>
      <c r="K185" s="279"/>
      <c r="L185" s="310"/>
    </row>
    <row r="186" spans="1:12" s="281" customFormat="1" ht="12.75" x14ac:dyDescent="0.2">
      <c r="A186" s="279"/>
      <c r="B186" s="893"/>
      <c r="C186" s="300">
        <v>2020</v>
      </c>
      <c r="D186" s="307">
        <v>96.27</v>
      </c>
      <c r="E186" s="321">
        <v>79.98</v>
      </c>
      <c r="F186" s="302">
        <v>0</v>
      </c>
      <c r="G186" s="303" t="s">
        <v>551</v>
      </c>
      <c r="H186" s="312">
        <v>105.5</v>
      </c>
      <c r="I186" s="322">
        <v>0.9</v>
      </c>
      <c r="J186" s="306">
        <f t="shared" si="16"/>
        <v>0</v>
      </c>
      <c r="K186" s="279"/>
      <c r="L186" s="310"/>
    </row>
    <row r="187" spans="1:12" s="281" customFormat="1" ht="12.75" x14ac:dyDescent="0.2">
      <c r="A187" s="279"/>
      <c r="B187" s="893"/>
      <c r="C187" s="300">
        <v>2021</v>
      </c>
      <c r="D187" s="307">
        <v>95.29</v>
      </c>
      <c r="E187" s="321">
        <v>79.98</v>
      </c>
      <c r="F187" s="302">
        <f>'School Bus Table'!F111</f>
        <v>15889.830508474577</v>
      </c>
      <c r="G187" s="303" t="s">
        <v>551</v>
      </c>
      <c r="H187" s="312">
        <v>105.5</v>
      </c>
      <c r="I187" s="322">
        <v>0.9</v>
      </c>
      <c r="J187" s="306">
        <f t="shared" si="16"/>
        <v>9.6911361228813533</v>
      </c>
      <c r="K187" s="279"/>
      <c r="L187" s="310"/>
    </row>
    <row r="188" spans="1:12" s="281" customFormat="1" ht="12.75" x14ac:dyDescent="0.2">
      <c r="A188" s="279"/>
      <c r="B188" s="893"/>
      <c r="C188" s="300">
        <v>2022</v>
      </c>
      <c r="D188" s="307">
        <v>93.81</v>
      </c>
      <c r="E188" s="321">
        <v>79.98</v>
      </c>
      <c r="F188" s="302">
        <f t="shared" si="17"/>
        <v>15889.830508474577</v>
      </c>
      <c r="G188" s="303" t="s">
        <v>551</v>
      </c>
      <c r="H188" s="312">
        <v>105.5</v>
      </c>
      <c r="I188" s="322">
        <v>0.9</v>
      </c>
      <c r="J188" s="306">
        <f t="shared" si="16"/>
        <v>7.4582018008474504</v>
      </c>
      <c r="K188" s="279"/>
      <c r="L188" s="310"/>
    </row>
    <row r="189" spans="1:12" s="281" customFormat="1" ht="12.75" x14ac:dyDescent="0.2">
      <c r="A189" s="279"/>
      <c r="B189" s="893"/>
      <c r="C189" s="300">
        <v>2023</v>
      </c>
      <c r="D189" s="307">
        <v>92.32</v>
      </c>
      <c r="E189" s="321">
        <v>79.98</v>
      </c>
      <c r="F189" s="302">
        <f t="shared" si="17"/>
        <v>15889.830508474577</v>
      </c>
      <c r="G189" s="303" t="s">
        <v>551</v>
      </c>
      <c r="H189" s="312">
        <v>105.5</v>
      </c>
      <c r="I189" s="322">
        <v>0.9</v>
      </c>
      <c r="J189" s="306">
        <f t="shared" si="16"/>
        <v>5.2101800847457413</v>
      </c>
      <c r="K189" s="279"/>
      <c r="L189" s="310"/>
    </row>
    <row r="190" spans="1:12" s="281" customFormat="1" ht="12.75" x14ac:dyDescent="0.2">
      <c r="A190" s="279"/>
      <c r="B190" s="893"/>
      <c r="C190" s="300">
        <v>2024</v>
      </c>
      <c r="D190" s="307">
        <v>90.84</v>
      </c>
      <c r="E190" s="321">
        <v>79.98</v>
      </c>
      <c r="F190" s="302">
        <f t="shared" si="17"/>
        <v>15889.830508474577</v>
      </c>
      <c r="G190" s="303" t="s">
        <v>551</v>
      </c>
      <c r="H190" s="312">
        <v>105.5</v>
      </c>
      <c r="I190" s="322">
        <v>0.9</v>
      </c>
      <c r="J190" s="306">
        <f t="shared" si="16"/>
        <v>2.9772457627118585</v>
      </c>
      <c r="K190" s="279"/>
      <c r="L190" s="310"/>
    </row>
    <row r="191" spans="1:12" s="281" customFormat="1" ht="12.75" x14ac:dyDescent="0.2">
      <c r="A191" s="279"/>
      <c r="B191" s="893"/>
      <c r="C191" s="300">
        <v>2025</v>
      </c>
      <c r="D191" s="307">
        <v>88.87</v>
      </c>
      <c r="E191" s="321">
        <v>79.98</v>
      </c>
      <c r="F191" s="302">
        <f t="shared" si="17"/>
        <v>15889.830508474577</v>
      </c>
      <c r="G191" s="303" t="s">
        <v>551</v>
      </c>
      <c r="H191" s="312">
        <v>105.5</v>
      </c>
      <c r="I191" s="322">
        <v>0.9</v>
      </c>
      <c r="J191" s="306">
        <f t="shared" si="16"/>
        <v>0</v>
      </c>
      <c r="K191" s="279"/>
      <c r="L191" s="310"/>
    </row>
    <row r="192" spans="1:12" s="281" customFormat="1" ht="12.75" x14ac:dyDescent="0.2">
      <c r="A192" s="279"/>
      <c r="B192" s="287"/>
      <c r="C192" s="308">
        <v>2026</v>
      </c>
      <c r="D192" s="307">
        <v>88.87</v>
      </c>
      <c r="E192" s="321">
        <v>79.98</v>
      </c>
      <c r="F192" s="302">
        <f t="shared" si="17"/>
        <v>15889.830508474577</v>
      </c>
      <c r="G192" s="303" t="s">
        <v>551</v>
      </c>
      <c r="H192" s="312">
        <v>105.5</v>
      </c>
      <c r="I192" s="322">
        <v>0.9</v>
      </c>
      <c r="J192" s="306">
        <f t="shared" si="16"/>
        <v>0</v>
      </c>
      <c r="K192" s="279"/>
      <c r="L192" s="310"/>
    </row>
    <row r="193" spans="1:12" s="281" customFormat="1" ht="12.75" x14ac:dyDescent="0.2">
      <c r="A193" s="279"/>
      <c r="B193" s="287"/>
      <c r="C193" s="308">
        <v>2027</v>
      </c>
      <c r="D193" s="307">
        <v>88.87</v>
      </c>
      <c r="E193" s="321">
        <v>79.98</v>
      </c>
      <c r="F193" s="302">
        <f t="shared" si="17"/>
        <v>15889.830508474577</v>
      </c>
      <c r="G193" s="303" t="s">
        <v>551</v>
      </c>
      <c r="H193" s="312">
        <v>105.5</v>
      </c>
      <c r="I193" s="322">
        <v>0.9</v>
      </c>
      <c r="J193" s="306">
        <f t="shared" si="16"/>
        <v>0</v>
      </c>
      <c r="K193" s="279"/>
      <c r="L193" s="310"/>
    </row>
    <row r="194" spans="1:12" s="281" customFormat="1" ht="12.75" x14ac:dyDescent="0.2">
      <c r="A194" s="279"/>
      <c r="B194" s="287"/>
      <c r="C194" s="308">
        <v>2028</v>
      </c>
      <c r="D194" s="307">
        <v>88.87</v>
      </c>
      <c r="E194" s="321">
        <v>79.98</v>
      </c>
      <c r="F194" s="302">
        <f t="shared" si="17"/>
        <v>15889.830508474577</v>
      </c>
      <c r="G194" s="303" t="s">
        <v>551</v>
      </c>
      <c r="H194" s="312">
        <v>105.5</v>
      </c>
      <c r="I194" s="322">
        <v>0.9</v>
      </c>
      <c r="J194" s="306">
        <f t="shared" si="16"/>
        <v>0</v>
      </c>
      <c r="K194" s="279"/>
      <c r="L194" s="310"/>
    </row>
    <row r="195" spans="1:12" s="281" customFormat="1" ht="12.75" x14ac:dyDescent="0.2">
      <c r="A195" s="279"/>
      <c r="B195" s="287"/>
      <c r="C195" s="308">
        <v>2029</v>
      </c>
      <c r="D195" s="307">
        <v>88.87</v>
      </c>
      <c r="E195" s="321">
        <v>79.98</v>
      </c>
      <c r="F195" s="302">
        <f t="shared" si="17"/>
        <v>15889.830508474577</v>
      </c>
      <c r="G195" s="303" t="s">
        <v>551</v>
      </c>
      <c r="H195" s="312">
        <v>105.5</v>
      </c>
      <c r="I195" s="322">
        <v>0.9</v>
      </c>
      <c r="J195" s="306">
        <f t="shared" si="16"/>
        <v>0</v>
      </c>
      <c r="K195" s="279"/>
      <c r="L195" s="310"/>
    </row>
    <row r="196" spans="1:12" s="281" customFormat="1" ht="12.75" x14ac:dyDescent="0.2">
      <c r="A196" s="279"/>
      <c r="B196" s="287"/>
      <c r="C196" s="308">
        <v>2030</v>
      </c>
      <c r="D196" s="307">
        <v>88.87</v>
      </c>
      <c r="E196" s="321">
        <v>79.98</v>
      </c>
      <c r="F196" s="302">
        <f t="shared" si="17"/>
        <v>15889.830508474577</v>
      </c>
      <c r="G196" s="303" t="s">
        <v>551</v>
      </c>
      <c r="H196" s="312">
        <v>105.5</v>
      </c>
      <c r="I196" s="322">
        <v>0.9</v>
      </c>
      <c r="J196" s="306">
        <f t="shared" si="16"/>
        <v>0</v>
      </c>
      <c r="K196" s="279"/>
      <c r="L196" s="310"/>
    </row>
    <row r="197" spans="1:12" s="281" customFormat="1" ht="12.75" x14ac:dyDescent="0.2">
      <c r="A197" s="279"/>
      <c r="B197" s="287"/>
      <c r="C197" s="308">
        <v>2031</v>
      </c>
      <c r="D197" s="307">
        <v>88.87</v>
      </c>
      <c r="E197" s="321">
        <v>79.98</v>
      </c>
      <c r="F197" s="302">
        <f t="shared" si="17"/>
        <v>15889.830508474577</v>
      </c>
      <c r="G197" s="303" t="s">
        <v>551</v>
      </c>
      <c r="H197" s="312">
        <v>105.5</v>
      </c>
      <c r="I197" s="322">
        <v>0.9</v>
      </c>
      <c r="J197" s="306">
        <f t="shared" si="16"/>
        <v>0</v>
      </c>
      <c r="L197" s="309">
        <f>SUM(J187:J201)</f>
        <v>25.336763771186405</v>
      </c>
    </row>
    <row r="198" spans="1:12" s="281" customFormat="1" ht="12.75" x14ac:dyDescent="0.2">
      <c r="A198" s="279"/>
      <c r="B198" s="287"/>
      <c r="C198" s="344">
        <v>2032</v>
      </c>
      <c r="D198" s="307">
        <v>88.87</v>
      </c>
      <c r="E198" s="321">
        <v>79.98</v>
      </c>
      <c r="F198" s="302">
        <f t="shared" si="17"/>
        <v>15889.830508474577</v>
      </c>
      <c r="G198" s="303" t="s">
        <v>551</v>
      </c>
      <c r="H198" s="312">
        <v>105.5</v>
      </c>
      <c r="I198" s="322">
        <v>0.9</v>
      </c>
      <c r="J198" s="306">
        <f t="shared" si="16"/>
        <v>0</v>
      </c>
      <c r="L198" s="309"/>
    </row>
    <row r="199" spans="1:12" s="281" customFormat="1" ht="12.75" x14ac:dyDescent="0.2">
      <c r="A199" s="279"/>
      <c r="B199" s="287"/>
      <c r="C199" s="344">
        <v>2033</v>
      </c>
      <c r="D199" s="307">
        <v>88.87</v>
      </c>
      <c r="E199" s="321">
        <v>79.98</v>
      </c>
      <c r="F199" s="302">
        <f t="shared" si="17"/>
        <v>15889.830508474577</v>
      </c>
      <c r="G199" s="303" t="s">
        <v>551</v>
      </c>
      <c r="H199" s="312">
        <v>105.5</v>
      </c>
      <c r="I199" s="322">
        <v>0.9</v>
      </c>
      <c r="J199" s="306">
        <f t="shared" si="16"/>
        <v>0</v>
      </c>
      <c r="L199" s="309"/>
    </row>
    <row r="200" spans="1:12" s="281" customFormat="1" ht="12.75" x14ac:dyDescent="0.2">
      <c r="A200" s="279"/>
      <c r="B200" s="287"/>
      <c r="C200" s="344">
        <v>2034</v>
      </c>
      <c r="D200" s="307">
        <v>88.87</v>
      </c>
      <c r="E200" s="321">
        <v>79.98</v>
      </c>
      <c r="F200" s="302">
        <f t="shared" si="17"/>
        <v>15889.830508474577</v>
      </c>
      <c r="G200" s="303" t="s">
        <v>551</v>
      </c>
      <c r="H200" s="312">
        <v>105.5</v>
      </c>
      <c r="I200" s="322">
        <v>0.9</v>
      </c>
      <c r="J200" s="306">
        <f t="shared" si="16"/>
        <v>0</v>
      </c>
      <c r="L200" s="309"/>
    </row>
    <row r="201" spans="1:12" s="279" customFormat="1" ht="12.75" x14ac:dyDescent="0.2">
      <c r="C201" s="344">
        <v>2035</v>
      </c>
      <c r="D201" s="307">
        <v>88.87</v>
      </c>
      <c r="E201" s="321">
        <v>79.98</v>
      </c>
      <c r="F201" s="302">
        <f t="shared" si="17"/>
        <v>15889.830508474577</v>
      </c>
      <c r="G201" s="303" t="s">
        <v>551</v>
      </c>
      <c r="H201" s="312">
        <v>105.5</v>
      </c>
      <c r="I201" s="322">
        <v>0.9</v>
      </c>
      <c r="J201" s="306">
        <f t="shared" si="16"/>
        <v>0</v>
      </c>
    </row>
    <row r="202" spans="1:12" s="281" customFormat="1" ht="12.75" x14ac:dyDescent="0.2">
      <c r="A202" s="279"/>
      <c r="B202" s="893" t="s">
        <v>552</v>
      </c>
      <c r="C202" s="300">
        <v>2016</v>
      </c>
      <c r="D202" s="300">
        <v>99.39</v>
      </c>
      <c r="E202" s="301">
        <v>44.74</v>
      </c>
      <c r="F202" s="302"/>
      <c r="G202" s="303" t="s">
        <v>551</v>
      </c>
      <c r="H202" s="312">
        <v>105.5</v>
      </c>
      <c r="I202" s="322">
        <v>0.9</v>
      </c>
      <c r="J202" s="306">
        <f>((D202-(E202/I202))*F202*H202*I202)/1000000</f>
        <v>0</v>
      </c>
      <c r="K202" s="279"/>
      <c r="L202" s="310"/>
    </row>
    <row r="203" spans="1:12" s="281" customFormat="1" ht="12.75" x14ac:dyDescent="0.2">
      <c r="A203" s="279"/>
      <c r="B203" s="893"/>
      <c r="C203" s="300">
        <v>2017</v>
      </c>
      <c r="D203" s="300">
        <v>99.14</v>
      </c>
      <c r="E203" s="301">
        <v>44.74</v>
      </c>
      <c r="F203" s="302">
        <f>F202</f>
        <v>0</v>
      </c>
      <c r="G203" s="303" t="s">
        <v>551</v>
      </c>
      <c r="H203" s="312">
        <v>105.5</v>
      </c>
      <c r="I203" s="322">
        <v>0.9</v>
      </c>
      <c r="J203" s="306">
        <f t="shared" ref="J203:J221" si="18">((D203-(E203/I203))*F203*H203*I203)/1000000</f>
        <v>0</v>
      </c>
      <c r="K203" s="279"/>
      <c r="L203" s="310"/>
    </row>
    <row r="204" spans="1:12" s="281" customFormat="1" ht="12.75" x14ac:dyDescent="0.2">
      <c r="A204" s="279"/>
      <c r="B204" s="893"/>
      <c r="C204" s="300">
        <v>2018</v>
      </c>
      <c r="D204" s="300">
        <v>98.61</v>
      </c>
      <c r="E204" s="301">
        <v>44.74</v>
      </c>
      <c r="F204" s="302">
        <f t="shared" ref="F204:F216" si="19">F203</f>
        <v>0</v>
      </c>
      <c r="G204" s="303" t="s">
        <v>551</v>
      </c>
      <c r="H204" s="312">
        <v>105.5</v>
      </c>
      <c r="I204" s="322">
        <v>0.9</v>
      </c>
      <c r="J204" s="306">
        <f t="shared" si="18"/>
        <v>0</v>
      </c>
      <c r="K204" s="279"/>
      <c r="L204" s="310"/>
    </row>
    <row r="205" spans="1:12" s="281" customFormat="1" ht="12.75" x14ac:dyDescent="0.2">
      <c r="A205" s="279"/>
      <c r="B205" s="893"/>
      <c r="C205" s="300">
        <v>2019</v>
      </c>
      <c r="D205" s="307">
        <v>97.26</v>
      </c>
      <c r="E205" s="301">
        <v>44.74</v>
      </c>
      <c r="F205" s="302">
        <f t="shared" si="19"/>
        <v>0</v>
      </c>
      <c r="G205" s="303" t="s">
        <v>551</v>
      </c>
      <c r="H205" s="312">
        <v>105.5</v>
      </c>
      <c r="I205" s="322">
        <v>0.9</v>
      </c>
      <c r="J205" s="306">
        <f t="shared" si="18"/>
        <v>0</v>
      </c>
      <c r="K205" s="279"/>
      <c r="L205" s="310"/>
    </row>
    <row r="206" spans="1:12" s="281" customFormat="1" ht="12.75" x14ac:dyDescent="0.2">
      <c r="A206" s="279"/>
      <c r="B206" s="893"/>
      <c r="C206" s="300">
        <v>2020</v>
      </c>
      <c r="D206" s="307">
        <v>96.27</v>
      </c>
      <c r="E206" s="301">
        <v>44.74</v>
      </c>
      <c r="F206" s="302">
        <v>0</v>
      </c>
      <c r="G206" s="303" t="s">
        <v>551</v>
      </c>
      <c r="H206" s="312">
        <v>105.5</v>
      </c>
      <c r="I206" s="322">
        <v>0.9</v>
      </c>
      <c r="J206" s="306">
        <f t="shared" si="18"/>
        <v>0</v>
      </c>
      <c r="K206" s="279"/>
      <c r="L206" s="310"/>
    </row>
    <row r="207" spans="1:12" s="281" customFormat="1" ht="12.75" x14ac:dyDescent="0.2">
      <c r="A207" s="279"/>
      <c r="B207" s="893"/>
      <c r="C207" s="300">
        <v>2021</v>
      </c>
      <c r="D207" s="307">
        <v>95.29</v>
      </c>
      <c r="E207" s="301">
        <v>44.74</v>
      </c>
      <c r="F207" s="302">
        <f>'School Bus Table'!F122</f>
        <v>15889.830508474577</v>
      </c>
      <c r="G207" s="303" t="s">
        <v>551</v>
      </c>
      <c r="H207" s="312">
        <v>105.5</v>
      </c>
      <c r="I207" s="322">
        <v>0.9</v>
      </c>
      <c r="J207" s="306">
        <f t="shared" si="18"/>
        <v>68.766665783898304</v>
      </c>
      <c r="K207" s="279"/>
      <c r="L207" s="310"/>
    </row>
    <row r="208" spans="1:12" s="281" customFormat="1" ht="12.75" x14ac:dyDescent="0.2">
      <c r="A208" s="279"/>
      <c r="B208" s="893"/>
      <c r="C208" s="300">
        <v>2022</v>
      </c>
      <c r="D208" s="307">
        <v>93.81</v>
      </c>
      <c r="E208" s="301">
        <v>44.74</v>
      </c>
      <c r="F208" s="302">
        <f t="shared" si="19"/>
        <v>15889.830508474577</v>
      </c>
      <c r="G208" s="303" t="s">
        <v>551</v>
      </c>
      <c r="H208" s="312">
        <v>105.5</v>
      </c>
      <c r="I208" s="322">
        <v>0.9</v>
      </c>
      <c r="J208" s="306">
        <f t="shared" si="18"/>
        <v>66.53373146186442</v>
      </c>
      <c r="K208" s="279"/>
      <c r="L208" s="310"/>
    </row>
    <row r="209" spans="1:12" s="281" customFormat="1" ht="12.75" x14ac:dyDescent="0.2">
      <c r="A209" s="279"/>
      <c r="B209" s="893"/>
      <c r="C209" s="300">
        <v>2023</v>
      </c>
      <c r="D209" s="307">
        <v>92.32</v>
      </c>
      <c r="E209" s="301">
        <v>44.74</v>
      </c>
      <c r="F209" s="302">
        <f t="shared" si="19"/>
        <v>15889.830508474577</v>
      </c>
      <c r="G209" s="303" t="s">
        <v>551</v>
      </c>
      <c r="H209" s="312">
        <v>105.5</v>
      </c>
      <c r="I209" s="322">
        <v>0.9</v>
      </c>
      <c r="J209" s="306">
        <f t="shared" si="18"/>
        <v>64.285709745762702</v>
      </c>
      <c r="K209" s="279"/>
      <c r="L209" s="310"/>
    </row>
    <row r="210" spans="1:12" s="281" customFormat="1" ht="12.75" x14ac:dyDescent="0.2">
      <c r="A210" s="279"/>
      <c r="B210" s="893"/>
      <c r="C210" s="300">
        <v>2024</v>
      </c>
      <c r="D210" s="307">
        <v>90.84</v>
      </c>
      <c r="E210" s="301">
        <v>44.74</v>
      </c>
      <c r="F210" s="302">
        <f t="shared" si="19"/>
        <v>15889.830508474577</v>
      </c>
      <c r="G210" s="303" t="s">
        <v>551</v>
      </c>
      <c r="H210" s="312">
        <v>105.5</v>
      </c>
      <c r="I210" s="322">
        <v>0.9</v>
      </c>
      <c r="J210" s="306">
        <f t="shared" si="18"/>
        <v>62.052775423728825</v>
      </c>
      <c r="K210" s="279"/>
      <c r="L210" s="310"/>
    </row>
    <row r="211" spans="1:12" s="281" customFormat="1" ht="12.75" x14ac:dyDescent="0.2">
      <c r="A211" s="279"/>
      <c r="B211" s="893"/>
      <c r="C211" s="300">
        <v>2025</v>
      </c>
      <c r="D211" s="307">
        <v>88.87</v>
      </c>
      <c r="E211" s="301">
        <v>44.74</v>
      </c>
      <c r="F211" s="302">
        <f t="shared" si="19"/>
        <v>15889.830508474577</v>
      </c>
      <c r="G211" s="303" t="s">
        <v>551</v>
      </c>
      <c r="H211" s="312">
        <v>105.5</v>
      </c>
      <c r="I211" s="322">
        <v>0.9</v>
      </c>
      <c r="J211" s="306">
        <f t="shared" si="18"/>
        <v>59.080558792372898</v>
      </c>
      <c r="K211" s="279"/>
      <c r="L211" s="310"/>
    </row>
    <row r="212" spans="1:12" s="281" customFormat="1" ht="12.75" x14ac:dyDescent="0.2">
      <c r="A212" s="279"/>
      <c r="B212" s="287"/>
      <c r="C212" s="308">
        <v>2026</v>
      </c>
      <c r="D212" s="307">
        <v>88.87</v>
      </c>
      <c r="E212" s="301">
        <v>44.74</v>
      </c>
      <c r="F212" s="302">
        <f t="shared" si="19"/>
        <v>15889.830508474577</v>
      </c>
      <c r="G212" s="303" t="s">
        <v>551</v>
      </c>
      <c r="H212" s="312">
        <v>105.5</v>
      </c>
      <c r="I212" s="322">
        <v>0.9</v>
      </c>
      <c r="J212" s="306">
        <f t="shared" si="18"/>
        <v>59.080558792372898</v>
      </c>
      <c r="K212" s="279"/>
      <c r="L212" s="310"/>
    </row>
    <row r="213" spans="1:12" s="281" customFormat="1" ht="12.75" x14ac:dyDescent="0.2">
      <c r="A213" s="279"/>
      <c r="B213" s="287"/>
      <c r="C213" s="308">
        <v>2027</v>
      </c>
      <c r="D213" s="307">
        <v>88.87</v>
      </c>
      <c r="E213" s="301">
        <v>44.74</v>
      </c>
      <c r="F213" s="302">
        <f t="shared" si="19"/>
        <v>15889.830508474577</v>
      </c>
      <c r="G213" s="303" t="s">
        <v>551</v>
      </c>
      <c r="H213" s="312">
        <v>105.5</v>
      </c>
      <c r="I213" s="322">
        <v>0.9</v>
      </c>
      <c r="J213" s="306">
        <f t="shared" si="18"/>
        <v>59.080558792372898</v>
      </c>
      <c r="K213" s="279"/>
      <c r="L213" s="310"/>
    </row>
    <row r="214" spans="1:12" s="281" customFormat="1" ht="12.75" x14ac:dyDescent="0.2">
      <c r="A214" s="279"/>
      <c r="B214" s="287"/>
      <c r="C214" s="308">
        <v>2028</v>
      </c>
      <c r="D214" s="307">
        <v>88.87</v>
      </c>
      <c r="E214" s="301">
        <v>44.74</v>
      </c>
      <c r="F214" s="302">
        <f t="shared" si="19"/>
        <v>15889.830508474577</v>
      </c>
      <c r="G214" s="303" t="s">
        <v>551</v>
      </c>
      <c r="H214" s="312">
        <v>105.5</v>
      </c>
      <c r="I214" s="322">
        <v>0.9</v>
      </c>
      <c r="J214" s="306">
        <f t="shared" si="18"/>
        <v>59.080558792372898</v>
      </c>
      <c r="K214" s="279"/>
      <c r="L214" s="310"/>
    </row>
    <row r="215" spans="1:12" s="281" customFormat="1" ht="12.75" x14ac:dyDescent="0.2">
      <c r="A215" s="279"/>
      <c r="B215" s="287"/>
      <c r="C215" s="308">
        <v>2029</v>
      </c>
      <c r="D215" s="307">
        <v>88.87</v>
      </c>
      <c r="E215" s="301">
        <v>44.74</v>
      </c>
      <c r="F215" s="302">
        <f t="shared" si="19"/>
        <v>15889.830508474577</v>
      </c>
      <c r="G215" s="303" t="s">
        <v>551</v>
      </c>
      <c r="H215" s="312">
        <v>105.5</v>
      </c>
      <c r="I215" s="322">
        <v>0.9</v>
      </c>
      <c r="J215" s="306">
        <f t="shared" si="18"/>
        <v>59.080558792372898</v>
      </c>
      <c r="K215" s="279"/>
      <c r="L215" s="310"/>
    </row>
    <row r="216" spans="1:12" s="281" customFormat="1" ht="12.75" x14ac:dyDescent="0.2">
      <c r="A216" s="279"/>
      <c r="B216" s="287"/>
      <c r="C216" s="308">
        <v>2030</v>
      </c>
      <c r="D216" s="307">
        <v>88.87</v>
      </c>
      <c r="E216" s="301">
        <v>44.74</v>
      </c>
      <c r="F216" s="302">
        <f t="shared" si="19"/>
        <v>15889.830508474577</v>
      </c>
      <c r="G216" s="303" t="s">
        <v>551</v>
      </c>
      <c r="H216" s="312">
        <v>105.5</v>
      </c>
      <c r="I216" s="322">
        <v>0.9</v>
      </c>
      <c r="J216" s="306">
        <f t="shared" si="18"/>
        <v>59.080558792372898</v>
      </c>
      <c r="K216" s="279"/>
      <c r="L216" s="310"/>
    </row>
    <row r="217" spans="1:12" s="281" customFormat="1" ht="12.75" x14ac:dyDescent="0.2">
      <c r="A217" s="279"/>
      <c r="B217" s="287"/>
      <c r="C217" s="308">
        <v>2031</v>
      </c>
      <c r="D217" s="307">
        <v>88.87</v>
      </c>
      <c r="E217" s="301">
        <v>44.74</v>
      </c>
      <c r="F217" s="302">
        <f>F216</f>
        <v>15889.830508474577</v>
      </c>
      <c r="G217" s="303" t="s">
        <v>551</v>
      </c>
      <c r="H217" s="312">
        <v>105.5</v>
      </c>
      <c r="I217" s="322">
        <v>0.9</v>
      </c>
      <c r="J217" s="306">
        <f t="shared" si="18"/>
        <v>59.080558792372898</v>
      </c>
      <c r="L217" s="309">
        <f>SUM(J206:J217)</f>
        <v>675.2027939618647</v>
      </c>
    </row>
    <row r="218" spans="1:12" s="281" customFormat="1" ht="12.75" x14ac:dyDescent="0.2">
      <c r="A218" s="279"/>
      <c r="B218" s="287"/>
      <c r="C218" s="344">
        <v>2032</v>
      </c>
      <c r="D218" s="307">
        <v>88.87</v>
      </c>
      <c r="E218" s="301">
        <v>44.74</v>
      </c>
      <c r="F218" s="302">
        <f>F217</f>
        <v>15889.830508474577</v>
      </c>
      <c r="G218" s="303" t="s">
        <v>551</v>
      </c>
      <c r="H218" s="312">
        <v>105.5</v>
      </c>
      <c r="I218" s="322">
        <v>0.9</v>
      </c>
      <c r="J218" s="306">
        <f t="shared" si="18"/>
        <v>59.080558792372898</v>
      </c>
      <c r="L218" s="309"/>
    </row>
    <row r="219" spans="1:12" s="281" customFormat="1" ht="12.75" x14ac:dyDescent="0.2">
      <c r="A219" s="279"/>
      <c r="B219" s="287"/>
      <c r="C219" s="344">
        <v>2033</v>
      </c>
      <c r="D219" s="307">
        <v>88.87</v>
      </c>
      <c r="E219" s="301">
        <v>44.74</v>
      </c>
      <c r="F219" s="302">
        <f>F218</f>
        <v>15889.830508474577</v>
      </c>
      <c r="G219" s="303" t="s">
        <v>551</v>
      </c>
      <c r="H219" s="312">
        <v>105.5</v>
      </c>
      <c r="I219" s="322">
        <v>0.9</v>
      </c>
      <c r="J219" s="306">
        <f t="shared" si="18"/>
        <v>59.080558792372898</v>
      </c>
      <c r="L219" s="309"/>
    </row>
    <row r="220" spans="1:12" s="281" customFormat="1" ht="12.75" x14ac:dyDescent="0.2">
      <c r="A220" s="279"/>
      <c r="B220" s="287"/>
      <c r="C220" s="344">
        <v>2034</v>
      </c>
      <c r="D220" s="307">
        <v>88.87</v>
      </c>
      <c r="E220" s="301">
        <v>44.74</v>
      </c>
      <c r="F220" s="302">
        <f>F219</f>
        <v>15889.830508474577</v>
      </c>
      <c r="G220" s="303" t="s">
        <v>551</v>
      </c>
      <c r="H220" s="312">
        <v>105.5</v>
      </c>
      <c r="I220" s="322">
        <v>0.9</v>
      </c>
      <c r="J220" s="306">
        <f t="shared" si="18"/>
        <v>59.080558792372898</v>
      </c>
      <c r="L220" s="309">
        <f>SUM(J207:J221)</f>
        <v>911.5250291313564</v>
      </c>
    </row>
    <row r="221" spans="1:12" s="279" customFormat="1" ht="12.75" x14ac:dyDescent="0.2">
      <c r="C221" s="410">
        <v>2035</v>
      </c>
      <c r="D221" s="307">
        <v>88.87</v>
      </c>
      <c r="E221" s="301">
        <v>44.74</v>
      </c>
      <c r="F221" s="302">
        <f>F220</f>
        <v>15889.830508474577</v>
      </c>
      <c r="G221" s="303" t="s">
        <v>551</v>
      </c>
      <c r="H221" s="312">
        <v>105.5</v>
      </c>
      <c r="I221" s="322">
        <v>0.9</v>
      </c>
      <c r="J221" s="306">
        <f t="shared" si="18"/>
        <v>59.080558792372898</v>
      </c>
    </row>
    <row r="222" spans="1:12" s="289" customFormat="1" ht="12.75" x14ac:dyDescent="0.2">
      <c r="B222" s="892" t="s">
        <v>553</v>
      </c>
      <c r="C222" s="290">
        <v>2016</v>
      </c>
      <c r="D222" s="290">
        <v>98.37</v>
      </c>
      <c r="E222" s="290">
        <v>83.05</v>
      </c>
      <c r="F222" s="291">
        <v>100000</v>
      </c>
      <c r="G222" s="292" t="s">
        <v>542</v>
      </c>
      <c r="H222" s="323">
        <v>89.63</v>
      </c>
      <c r="I222" s="293">
        <v>0.9</v>
      </c>
      <c r="J222" s="294">
        <f>((D222-(E222/I222))*F222*H222*I222)/1000000</f>
        <v>49.144129000000092</v>
      </c>
      <c r="L222" s="324"/>
    </row>
    <row r="223" spans="1:12" s="289" customFormat="1" ht="12.75" x14ac:dyDescent="0.2">
      <c r="B223" s="892"/>
      <c r="C223" s="290">
        <v>2017</v>
      </c>
      <c r="D223" s="290">
        <v>98.13</v>
      </c>
      <c r="E223" s="290">
        <v>83.05</v>
      </c>
      <c r="F223" s="291">
        <v>100000</v>
      </c>
      <c r="G223" s="292" t="s">
        <v>542</v>
      </c>
      <c r="H223" s="323">
        <v>89.63</v>
      </c>
      <c r="I223" s="293">
        <v>0.9</v>
      </c>
      <c r="J223" s="294">
        <f t="shared" ref="J223:J231" si="20">((D223-(E223/I223))*F223*H223*I223)/1000000</f>
        <v>47.208121000000013</v>
      </c>
    </row>
    <row r="224" spans="1:12" s="289" customFormat="1" ht="12.75" x14ac:dyDescent="0.2">
      <c r="B224" s="892"/>
      <c r="C224" s="290">
        <v>2018</v>
      </c>
      <c r="D224" s="290">
        <v>97.66</v>
      </c>
      <c r="E224" s="290">
        <v>83.05</v>
      </c>
      <c r="F224" s="291">
        <v>100000</v>
      </c>
      <c r="G224" s="292" t="s">
        <v>542</v>
      </c>
      <c r="H224" s="323">
        <v>89.63</v>
      </c>
      <c r="I224" s="293">
        <v>0.9</v>
      </c>
      <c r="J224" s="294">
        <f t="shared" si="20"/>
        <v>43.416772000000023</v>
      </c>
    </row>
    <row r="225" spans="2:12" s="289" customFormat="1" ht="12.75" x14ac:dyDescent="0.2">
      <c r="B225" s="892"/>
      <c r="C225" s="290">
        <v>2019</v>
      </c>
      <c r="D225" s="296">
        <v>96.59</v>
      </c>
      <c r="E225" s="296">
        <v>80.88</v>
      </c>
      <c r="F225" s="291">
        <v>100000</v>
      </c>
      <c r="G225" s="292" t="s">
        <v>542</v>
      </c>
      <c r="H225" s="323">
        <v>89.63</v>
      </c>
      <c r="I225" s="293">
        <v>0.9</v>
      </c>
      <c r="J225" s="294">
        <f t="shared" si="20"/>
        <v>54.235113000000084</v>
      </c>
    </row>
    <row r="226" spans="2:12" s="289" customFormat="1" ht="12.75" x14ac:dyDescent="0.2">
      <c r="B226" s="892"/>
      <c r="C226" s="290">
        <v>2020</v>
      </c>
      <c r="D226" s="296">
        <v>95.61</v>
      </c>
      <c r="E226" s="296">
        <v>80.88</v>
      </c>
      <c r="F226" s="291">
        <v>100000</v>
      </c>
      <c r="G226" s="292" t="s">
        <v>542</v>
      </c>
      <c r="H226" s="323">
        <v>89.63</v>
      </c>
      <c r="I226" s="293">
        <v>0.9</v>
      </c>
      <c r="J226" s="294">
        <f t="shared" si="20"/>
        <v>46.329747000000047</v>
      </c>
    </row>
    <row r="227" spans="2:12" s="289" customFormat="1" ht="12.75" x14ac:dyDescent="0.2">
      <c r="B227" s="892"/>
      <c r="C227" s="290">
        <v>2021</v>
      </c>
      <c r="D227" s="296">
        <v>94.63</v>
      </c>
      <c r="E227" s="296">
        <v>80.88</v>
      </c>
      <c r="F227" s="291">
        <v>100000</v>
      </c>
      <c r="G227" s="292" t="s">
        <v>542</v>
      </c>
      <c r="H227" s="323">
        <v>89.63</v>
      </c>
      <c r="I227" s="293">
        <v>0.9</v>
      </c>
      <c r="J227" s="294">
        <f t="shared" si="20"/>
        <v>38.424381000000025</v>
      </c>
    </row>
    <row r="228" spans="2:12" s="289" customFormat="1" ht="12.75" x14ac:dyDescent="0.2">
      <c r="B228" s="892"/>
      <c r="C228" s="290">
        <v>2022</v>
      </c>
      <c r="D228" s="296">
        <v>93.15</v>
      </c>
      <c r="E228" s="296">
        <v>80.88</v>
      </c>
      <c r="F228" s="291">
        <v>100000</v>
      </c>
      <c r="G228" s="292" t="s">
        <v>542</v>
      </c>
      <c r="H228" s="323">
        <v>89.63</v>
      </c>
      <c r="I228" s="293">
        <v>0.9</v>
      </c>
      <c r="J228" s="294">
        <f t="shared" si="20"/>
        <v>26.485665000000097</v>
      </c>
    </row>
    <row r="229" spans="2:12" s="289" customFormat="1" ht="12.75" x14ac:dyDescent="0.2">
      <c r="B229" s="892"/>
      <c r="C229" s="290">
        <v>2023</v>
      </c>
      <c r="D229" s="296">
        <v>91.68</v>
      </c>
      <c r="E229" s="296">
        <v>80.88</v>
      </c>
      <c r="F229" s="291">
        <v>100000</v>
      </c>
      <c r="G229" s="292" t="s">
        <v>542</v>
      </c>
      <c r="H229" s="323">
        <v>89.63</v>
      </c>
      <c r="I229" s="293">
        <v>0.9</v>
      </c>
      <c r="J229" s="294">
        <f t="shared" si="20"/>
        <v>14.627616000000108</v>
      </c>
    </row>
    <row r="230" spans="2:12" s="289" customFormat="1" ht="12.75" x14ac:dyDescent="0.2">
      <c r="B230" s="892"/>
      <c r="C230" s="290">
        <v>2024</v>
      </c>
      <c r="D230" s="296">
        <v>90.21</v>
      </c>
      <c r="E230" s="296">
        <v>80.88</v>
      </c>
      <c r="F230" s="291">
        <v>100000</v>
      </c>
      <c r="G230" s="292" t="s">
        <v>542</v>
      </c>
      <c r="H230" s="323">
        <v>89.63</v>
      </c>
      <c r="I230" s="293">
        <v>0.9</v>
      </c>
      <c r="J230" s="294">
        <f t="shared" si="20"/>
        <v>2.769567000000003</v>
      </c>
    </row>
    <row r="231" spans="2:12" s="289" customFormat="1" ht="12.75" x14ac:dyDescent="0.2">
      <c r="B231" s="892"/>
      <c r="C231" s="290">
        <v>2025</v>
      </c>
      <c r="D231" s="296">
        <v>88.25</v>
      </c>
      <c r="E231" s="296">
        <v>80.88</v>
      </c>
      <c r="F231" s="291">
        <v>100000</v>
      </c>
      <c r="G231" s="292" t="s">
        <v>542</v>
      </c>
      <c r="H231" s="323">
        <v>89.63</v>
      </c>
      <c r="I231" s="293">
        <v>0.9</v>
      </c>
      <c r="J231" s="294">
        <f t="shared" si="20"/>
        <v>-13.041164999999948</v>
      </c>
    </row>
    <row r="232" spans="2:12" s="289" customFormat="1" x14ac:dyDescent="0.25">
      <c r="B232" s="325"/>
      <c r="C232" s="325"/>
      <c r="D232" s="325"/>
      <c r="E232" s="325"/>
      <c r="F232" s="325"/>
      <c r="G232" s="325"/>
      <c r="H232" s="325"/>
      <c r="I232" s="325"/>
      <c r="J232" s="325"/>
    </row>
    <row r="233" spans="2:12" s="289" customFormat="1" ht="12.75" x14ac:dyDescent="0.2">
      <c r="B233" s="892" t="s">
        <v>554</v>
      </c>
      <c r="C233" s="290">
        <v>2016</v>
      </c>
      <c r="D233" s="290"/>
      <c r="E233" s="290"/>
      <c r="F233" s="291"/>
      <c r="G233" s="292"/>
      <c r="H233" s="323"/>
      <c r="I233" s="293"/>
      <c r="J233" s="326"/>
      <c r="L233" s="324"/>
    </row>
    <row r="234" spans="2:12" s="289" customFormat="1" ht="12.75" x14ac:dyDescent="0.2">
      <c r="B234" s="892"/>
      <c r="C234" s="290">
        <v>2017</v>
      </c>
      <c r="D234" s="290"/>
      <c r="E234" s="290"/>
      <c r="F234" s="291"/>
      <c r="G234" s="292"/>
      <c r="H234" s="323"/>
      <c r="I234" s="293"/>
      <c r="J234" s="326"/>
    </row>
    <row r="235" spans="2:12" s="289" customFormat="1" ht="12.75" x14ac:dyDescent="0.2">
      <c r="B235" s="892"/>
      <c r="C235" s="290">
        <v>2018</v>
      </c>
      <c r="D235" s="296"/>
      <c r="E235" s="290"/>
      <c r="F235" s="291"/>
      <c r="G235" s="292"/>
      <c r="H235" s="323"/>
      <c r="I235" s="293"/>
      <c r="J235" s="326"/>
    </row>
    <row r="236" spans="2:12" s="289" customFormat="1" ht="12.75" x14ac:dyDescent="0.2">
      <c r="B236" s="892"/>
      <c r="C236" s="290">
        <v>2019</v>
      </c>
      <c r="D236" s="327">
        <v>90.8</v>
      </c>
      <c r="E236" s="290">
        <v>45</v>
      </c>
      <c r="F236" s="291">
        <v>100000</v>
      </c>
      <c r="G236" s="292" t="s">
        <v>542</v>
      </c>
      <c r="H236" s="323">
        <v>126.37</v>
      </c>
      <c r="I236" s="293">
        <v>1</v>
      </c>
      <c r="J236" s="294">
        <f t="shared" ref="J236:J242" si="21">((D236-(E236/I236))*F236*H236*I236)/1000000</f>
        <v>578.77459999999996</v>
      </c>
    </row>
    <row r="237" spans="2:12" s="289" customFormat="1" ht="12.75" x14ac:dyDescent="0.2">
      <c r="B237" s="892"/>
      <c r="C237" s="290">
        <v>2020</v>
      </c>
      <c r="D237" s="327">
        <v>90.8</v>
      </c>
      <c r="E237" s="290">
        <v>45</v>
      </c>
      <c r="F237" s="291">
        <v>100000</v>
      </c>
      <c r="G237" s="292" t="s">
        <v>542</v>
      </c>
      <c r="H237" s="323">
        <v>126.37</v>
      </c>
      <c r="I237" s="293">
        <v>1</v>
      </c>
      <c r="J237" s="294">
        <f t="shared" si="21"/>
        <v>578.77459999999996</v>
      </c>
    </row>
    <row r="238" spans="2:12" s="289" customFormat="1" ht="12.75" x14ac:dyDescent="0.2">
      <c r="B238" s="892"/>
      <c r="C238" s="290">
        <v>2021</v>
      </c>
      <c r="D238" s="327">
        <v>90.8</v>
      </c>
      <c r="E238" s="290">
        <v>45</v>
      </c>
      <c r="F238" s="291">
        <v>100000</v>
      </c>
      <c r="G238" s="292" t="s">
        <v>542</v>
      </c>
      <c r="H238" s="323">
        <v>126.37</v>
      </c>
      <c r="I238" s="293">
        <v>1</v>
      </c>
      <c r="J238" s="294">
        <f t="shared" si="21"/>
        <v>578.77459999999996</v>
      </c>
    </row>
    <row r="239" spans="2:12" s="289" customFormat="1" ht="12.75" x14ac:dyDescent="0.2">
      <c r="B239" s="892"/>
      <c r="C239" s="290">
        <v>2022</v>
      </c>
      <c r="D239" s="327">
        <v>90.8</v>
      </c>
      <c r="E239" s="290">
        <v>45</v>
      </c>
      <c r="F239" s="291">
        <v>100000</v>
      </c>
      <c r="G239" s="292" t="s">
        <v>542</v>
      </c>
      <c r="H239" s="323">
        <v>126.37</v>
      </c>
      <c r="I239" s="293">
        <v>1</v>
      </c>
      <c r="J239" s="294">
        <f t="shared" si="21"/>
        <v>578.77459999999996</v>
      </c>
    </row>
    <row r="240" spans="2:12" s="289" customFormat="1" ht="12.75" x14ac:dyDescent="0.2">
      <c r="B240" s="892"/>
      <c r="C240" s="290">
        <v>2023</v>
      </c>
      <c r="D240" s="327">
        <v>90.8</v>
      </c>
      <c r="E240" s="290">
        <v>45</v>
      </c>
      <c r="F240" s="291">
        <v>100000</v>
      </c>
      <c r="G240" s="292" t="s">
        <v>542</v>
      </c>
      <c r="H240" s="323">
        <v>126.37</v>
      </c>
      <c r="I240" s="293">
        <v>1</v>
      </c>
      <c r="J240" s="294">
        <f t="shared" si="21"/>
        <v>578.77459999999996</v>
      </c>
    </row>
    <row r="241" spans="2:13" s="289" customFormat="1" ht="12.75" x14ac:dyDescent="0.2">
      <c r="B241" s="892"/>
      <c r="C241" s="290">
        <v>2024</v>
      </c>
      <c r="D241" s="327">
        <v>90.8</v>
      </c>
      <c r="E241" s="290">
        <v>45</v>
      </c>
      <c r="F241" s="291">
        <v>100000</v>
      </c>
      <c r="G241" s="292" t="s">
        <v>542</v>
      </c>
      <c r="H241" s="323">
        <v>126.37</v>
      </c>
      <c r="I241" s="293">
        <v>1</v>
      </c>
      <c r="J241" s="294">
        <f t="shared" si="21"/>
        <v>578.77459999999996</v>
      </c>
    </row>
    <row r="242" spans="2:13" s="289" customFormat="1" ht="12.75" x14ac:dyDescent="0.2">
      <c r="B242" s="892"/>
      <c r="C242" s="290">
        <v>2025</v>
      </c>
      <c r="D242" s="296">
        <v>88.87</v>
      </c>
      <c r="E242" s="290">
        <v>45</v>
      </c>
      <c r="F242" s="291">
        <v>100000</v>
      </c>
      <c r="G242" s="292" t="s">
        <v>542</v>
      </c>
      <c r="H242" s="323">
        <v>126.37</v>
      </c>
      <c r="I242" s="293">
        <v>1</v>
      </c>
      <c r="J242" s="294">
        <f t="shared" si="21"/>
        <v>554.38518999999997</v>
      </c>
    </row>
    <row r="243" spans="2:13" s="289" customFormat="1" ht="12.75" x14ac:dyDescent="0.2">
      <c r="B243" s="328"/>
      <c r="D243" s="329"/>
      <c r="F243" s="297"/>
      <c r="G243" s="298"/>
      <c r="H243" s="330"/>
      <c r="I243" s="331"/>
      <c r="J243" s="332"/>
    </row>
    <row r="244" spans="2:13" s="289" customFormat="1" ht="12.75" x14ac:dyDescent="0.2">
      <c r="B244" s="892" t="s">
        <v>555</v>
      </c>
      <c r="C244" s="290">
        <v>2016</v>
      </c>
      <c r="D244" s="290">
        <v>98.37</v>
      </c>
      <c r="E244" s="290">
        <v>120.68</v>
      </c>
      <c r="F244" s="291">
        <v>10000</v>
      </c>
      <c r="G244" s="292" t="s">
        <v>556</v>
      </c>
      <c r="H244" s="323">
        <v>120</v>
      </c>
      <c r="I244" s="293">
        <v>2.5</v>
      </c>
      <c r="J244" s="294">
        <f>((D244-(E244/I244))*F244*H244*I244)/1000000</f>
        <v>150.29400000000001</v>
      </c>
      <c r="L244" s="324"/>
    </row>
    <row r="245" spans="2:13" s="289" customFormat="1" ht="12.75" x14ac:dyDescent="0.2">
      <c r="B245" s="892"/>
      <c r="C245" s="290">
        <v>2017</v>
      </c>
      <c r="D245" s="290">
        <v>98.13</v>
      </c>
      <c r="E245" s="290">
        <v>120.68</v>
      </c>
      <c r="F245" s="291">
        <v>10000</v>
      </c>
      <c r="G245" s="292" t="s">
        <v>556</v>
      </c>
      <c r="H245" s="323">
        <v>120</v>
      </c>
      <c r="I245" s="293">
        <v>2.5</v>
      </c>
      <c r="J245" s="294">
        <f t="shared" ref="J245:J253" si="22">((D245-(E245/I245))*F245*H245*I245)/1000000</f>
        <v>149.57399999999998</v>
      </c>
    </row>
    <row r="246" spans="2:13" s="289" customFormat="1" ht="12.75" x14ac:dyDescent="0.2">
      <c r="B246" s="892"/>
      <c r="C246" s="290">
        <v>2018</v>
      </c>
      <c r="D246" s="290">
        <v>97.66</v>
      </c>
      <c r="E246" s="290">
        <v>120.68</v>
      </c>
      <c r="F246" s="291">
        <v>10000</v>
      </c>
      <c r="G246" s="292" t="s">
        <v>556</v>
      </c>
      <c r="H246" s="323">
        <v>120</v>
      </c>
      <c r="I246" s="293">
        <v>2.5</v>
      </c>
      <c r="J246" s="294">
        <f t="shared" si="22"/>
        <v>148.16399999999996</v>
      </c>
    </row>
    <row r="247" spans="2:13" s="289" customFormat="1" ht="12.75" x14ac:dyDescent="0.2">
      <c r="B247" s="892"/>
      <c r="C247" s="290">
        <v>2019</v>
      </c>
      <c r="D247" s="296">
        <v>96.59</v>
      </c>
      <c r="E247" s="290">
        <v>120.68</v>
      </c>
      <c r="F247" s="291">
        <v>10000</v>
      </c>
      <c r="G247" s="292" t="s">
        <v>556</v>
      </c>
      <c r="H247" s="323">
        <v>120</v>
      </c>
      <c r="I247" s="293">
        <v>2.5</v>
      </c>
      <c r="J247" s="294">
        <f t="shared" si="22"/>
        <v>144.95400000000001</v>
      </c>
    </row>
    <row r="248" spans="2:13" s="289" customFormat="1" ht="12.75" x14ac:dyDescent="0.2">
      <c r="B248" s="892"/>
      <c r="C248" s="290">
        <v>2020</v>
      </c>
      <c r="D248" s="296">
        <v>95.61</v>
      </c>
      <c r="E248" s="290">
        <v>120.68</v>
      </c>
      <c r="F248" s="291">
        <v>10000</v>
      </c>
      <c r="G248" s="292" t="s">
        <v>556</v>
      </c>
      <c r="H248" s="323">
        <v>120</v>
      </c>
      <c r="I248" s="293">
        <v>2.5</v>
      </c>
      <c r="J248" s="294">
        <f t="shared" si="22"/>
        <v>142.01399999999998</v>
      </c>
    </row>
    <row r="249" spans="2:13" s="289" customFormat="1" ht="12.75" x14ac:dyDescent="0.2">
      <c r="B249" s="892"/>
      <c r="C249" s="290">
        <v>2021</v>
      </c>
      <c r="D249" s="296">
        <v>94.63</v>
      </c>
      <c r="E249" s="290">
        <v>120.68</v>
      </c>
      <c r="F249" s="291">
        <v>10000</v>
      </c>
      <c r="G249" s="292" t="s">
        <v>556</v>
      </c>
      <c r="H249" s="323">
        <v>120</v>
      </c>
      <c r="I249" s="293">
        <v>2.5</v>
      </c>
      <c r="J249" s="294">
        <f t="shared" si="22"/>
        <v>139.07399999999998</v>
      </c>
    </row>
    <row r="250" spans="2:13" s="289" customFormat="1" ht="12.75" x14ac:dyDescent="0.2">
      <c r="B250" s="892"/>
      <c r="C250" s="290">
        <v>2022</v>
      </c>
      <c r="D250" s="296">
        <v>93.15</v>
      </c>
      <c r="E250" s="290">
        <v>120.68</v>
      </c>
      <c r="F250" s="291">
        <v>10000</v>
      </c>
      <c r="G250" s="292" t="s">
        <v>556</v>
      </c>
      <c r="H250" s="323">
        <v>120</v>
      </c>
      <c r="I250" s="293">
        <v>2.5</v>
      </c>
      <c r="J250" s="294">
        <f t="shared" si="22"/>
        <v>134.63399999999999</v>
      </c>
    </row>
    <row r="251" spans="2:13" s="289" customFormat="1" ht="12.75" x14ac:dyDescent="0.2">
      <c r="B251" s="892"/>
      <c r="C251" s="290">
        <v>2023</v>
      </c>
      <c r="D251" s="296">
        <v>91.68</v>
      </c>
      <c r="E251" s="290">
        <v>120.68</v>
      </c>
      <c r="F251" s="291">
        <v>10000</v>
      </c>
      <c r="G251" s="292" t="s">
        <v>556</v>
      </c>
      <c r="H251" s="323">
        <v>120</v>
      </c>
      <c r="I251" s="293">
        <v>2.5</v>
      </c>
      <c r="J251" s="294">
        <f t="shared" si="22"/>
        <v>130.22399999999999</v>
      </c>
    </row>
    <row r="252" spans="2:13" s="289" customFormat="1" ht="12.75" x14ac:dyDescent="0.2">
      <c r="B252" s="892"/>
      <c r="C252" s="290">
        <v>2024</v>
      </c>
      <c r="D252" s="296">
        <v>90.21</v>
      </c>
      <c r="E252" s="290">
        <v>120.68</v>
      </c>
      <c r="F252" s="291">
        <v>10000</v>
      </c>
      <c r="G252" s="292" t="s">
        <v>556</v>
      </c>
      <c r="H252" s="323">
        <v>120</v>
      </c>
      <c r="I252" s="293">
        <v>2.5</v>
      </c>
      <c r="J252" s="294">
        <f t="shared" si="22"/>
        <v>125.81399999999996</v>
      </c>
    </row>
    <row r="253" spans="2:13" s="289" customFormat="1" ht="12.75" x14ac:dyDescent="0.2">
      <c r="B253" s="892"/>
      <c r="C253" s="290">
        <v>2025</v>
      </c>
      <c r="D253" s="296">
        <v>88.25</v>
      </c>
      <c r="E253" s="290">
        <v>120.68</v>
      </c>
      <c r="F253" s="291">
        <v>10000</v>
      </c>
      <c r="G253" s="292" t="s">
        <v>556</v>
      </c>
      <c r="H253" s="323">
        <v>120</v>
      </c>
      <c r="I253" s="293">
        <v>2.5</v>
      </c>
      <c r="J253" s="294">
        <f t="shared" si="22"/>
        <v>119.93399999999998</v>
      </c>
    </row>
    <row r="254" spans="2:13" s="289" customFormat="1" ht="12.75" x14ac:dyDescent="0.2">
      <c r="F254" s="298"/>
      <c r="G254" s="298"/>
    </row>
    <row r="255" spans="2:13" s="279" customFormat="1" ht="94.9" customHeight="1" x14ac:dyDescent="0.2">
      <c r="B255" s="898" t="s">
        <v>557</v>
      </c>
      <c r="C255" s="899"/>
      <c r="D255" s="899"/>
      <c r="E255" s="899"/>
      <c r="F255" s="899"/>
      <c r="G255" s="899"/>
      <c r="H255" s="899"/>
      <c r="I255" s="899"/>
      <c r="J255" s="900"/>
      <c r="L255" s="281"/>
      <c r="M255" s="281"/>
    </row>
    <row r="256" spans="2:13" s="279" customFormat="1" x14ac:dyDescent="0.25">
      <c r="B256" s="901" t="s">
        <v>558</v>
      </c>
      <c r="C256" s="902"/>
      <c r="D256" s="902"/>
      <c r="E256" s="902"/>
      <c r="F256" s="902"/>
      <c r="G256" s="902"/>
      <c r="H256" s="902"/>
      <c r="I256" s="902"/>
      <c r="J256" s="903"/>
      <c r="L256" s="281"/>
      <c r="M256" s="281"/>
    </row>
    <row r="257" spans="1:13" s="279" customFormat="1" ht="12.75" x14ac:dyDescent="0.2">
      <c r="B257" s="333"/>
      <c r="C257" s="333"/>
      <c r="D257" s="333"/>
      <c r="E257" s="333"/>
      <c r="F257" s="333"/>
      <c r="G257" s="333"/>
      <c r="H257" s="333"/>
      <c r="I257" s="333"/>
      <c r="J257" s="333"/>
      <c r="L257" s="281"/>
      <c r="M257" s="281"/>
    </row>
    <row r="258" spans="1:13" s="279" customFormat="1" ht="12.75" x14ac:dyDescent="0.2">
      <c r="B258" s="334" t="s">
        <v>559</v>
      </c>
      <c r="C258" s="335"/>
      <c r="D258" s="335"/>
      <c r="E258" s="335"/>
      <c r="F258" s="335"/>
      <c r="G258" s="335"/>
      <c r="H258" s="335"/>
      <c r="I258" s="335"/>
      <c r="J258" s="336"/>
      <c r="L258" s="281"/>
      <c r="M258" s="281"/>
    </row>
    <row r="259" spans="1:13" s="279" customFormat="1" ht="12.75" x14ac:dyDescent="0.2">
      <c r="B259" s="337" t="s">
        <v>560</v>
      </c>
      <c r="C259" s="896" t="s">
        <v>561</v>
      </c>
      <c r="D259" s="896"/>
      <c r="E259" s="896"/>
      <c r="F259" s="896"/>
      <c r="G259" s="896"/>
      <c r="H259" s="896"/>
      <c r="I259" s="896"/>
      <c r="J259" s="897"/>
      <c r="L259" s="281"/>
      <c r="M259" s="281"/>
    </row>
    <row r="260" spans="1:13" s="279" customFormat="1" ht="12.75" x14ac:dyDescent="0.2">
      <c r="B260" s="337" t="s">
        <v>562</v>
      </c>
      <c r="C260" s="896" t="s">
        <v>563</v>
      </c>
      <c r="D260" s="896"/>
      <c r="E260" s="896"/>
      <c r="F260" s="896"/>
      <c r="G260" s="896"/>
      <c r="H260" s="896"/>
      <c r="I260" s="896"/>
      <c r="J260" s="897"/>
      <c r="L260" s="281"/>
      <c r="M260" s="281"/>
    </row>
    <row r="261" spans="1:13" s="279" customFormat="1" ht="12.75" x14ac:dyDescent="0.2">
      <c r="B261" s="337" t="s">
        <v>564</v>
      </c>
      <c r="C261" s="896" t="s">
        <v>565</v>
      </c>
      <c r="D261" s="896"/>
      <c r="E261" s="896"/>
      <c r="F261" s="896"/>
      <c r="G261" s="896"/>
      <c r="H261" s="896"/>
      <c r="I261" s="896"/>
      <c r="J261" s="897"/>
      <c r="L261" s="281"/>
      <c r="M261" s="281"/>
    </row>
    <row r="262" spans="1:13" s="279" customFormat="1" ht="12.75" x14ac:dyDescent="0.2">
      <c r="B262" s="338" t="s">
        <v>566</v>
      </c>
      <c r="C262" s="906" t="s">
        <v>567</v>
      </c>
      <c r="D262" s="906"/>
      <c r="E262" s="906"/>
      <c r="F262" s="906"/>
      <c r="G262" s="906"/>
      <c r="H262" s="906"/>
      <c r="I262" s="906"/>
      <c r="J262" s="907"/>
      <c r="L262" s="281"/>
      <c r="M262" s="281"/>
    </row>
    <row r="263" spans="1:13" s="279" customFormat="1" ht="12.75" x14ac:dyDescent="0.2">
      <c r="B263" s="339" t="s">
        <v>568</v>
      </c>
      <c r="C263" s="908" t="s">
        <v>569</v>
      </c>
      <c r="D263" s="908"/>
      <c r="E263" s="908"/>
      <c r="F263" s="908"/>
      <c r="G263" s="908"/>
      <c r="H263" s="908"/>
      <c r="I263" s="908"/>
      <c r="J263" s="909"/>
      <c r="L263" s="281"/>
      <c r="M263" s="281"/>
    </row>
    <row r="264" spans="1:13" s="279" customFormat="1" ht="12.75" x14ac:dyDescent="0.2">
      <c r="B264" s="337" t="s">
        <v>570</v>
      </c>
      <c r="C264" s="896" t="s">
        <v>571</v>
      </c>
      <c r="D264" s="896"/>
      <c r="E264" s="896"/>
      <c r="F264" s="896"/>
      <c r="G264" s="896"/>
      <c r="H264" s="896"/>
      <c r="I264" s="896"/>
      <c r="J264" s="897"/>
      <c r="L264" s="281"/>
      <c r="M264" s="281"/>
    </row>
    <row r="265" spans="1:13" s="279" customFormat="1" ht="12.75" x14ac:dyDescent="0.2">
      <c r="B265" s="340" t="s">
        <v>572</v>
      </c>
      <c r="C265" s="910" t="s">
        <v>573</v>
      </c>
      <c r="D265" s="910"/>
      <c r="E265" s="910"/>
      <c r="F265" s="910"/>
      <c r="G265" s="910"/>
      <c r="H265" s="910"/>
      <c r="I265" s="910"/>
      <c r="J265" s="911"/>
      <c r="L265" s="281"/>
      <c r="M265" s="281"/>
    </row>
    <row r="266" spans="1:13" s="279" customFormat="1" ht="12.75" x14ac:dyDescent="0.2">
      <c r="B266" s="341" t="s">
        <v>574</v>
      </c>
      <c r="C266" s="912" t="s">
        <v>575</v>
      </c>
      <c r="D266" s="912"/>
      <c r="E266" s="912"/>
      <c r="F266" s="912"/>
      <c r="G266" s="912"/>
      <c r="H266" s="912"/>
      <c r="I266" s="912"/>
      <c r="J266" s="913"/>
      <c r="L266" s="281"/>
      <c r="M266" s="281"/>
    </row>
    <row r="267" spans="1:13" s="279" customFormat="1" ht="12.75" x14ac:dyDescent="0.2">
      <c r="B267" s="342" t="s">
        <v>576</v>
      </c>
      <c r="C267" s="904" t="s">
        <v>577</v>
      </c>
      <c r="D267" s="904"/>
      <c r="E267" s="904"/>
      <c r="F267" s="904"/>
      <c r="G267" s="904"/>
      <c r="H267" s="904"/>
      <c r="I267" s="904"/>
      <c r="J267" s="905"/>
      <c r="L267" s="281"/>
      <c r="M267" s="281"/>
    </row>
    <row r="268" spans="1:13" s="281" customFormat="1" ht="12.75" x14ac:dyDescent="0.2">
      <c r="A268" s="279"/>
      <c r="F268" s="343"/>
      <c r="G268" s="343"/>
      <c r="K268" s="279"/>
    </row>
    <row r="269" spans="1:13" s="281" customFormat="1" ht="12.75" x14ac:dyDescent="0.2">
      <c r="A269" s="279"/>
      <c r="F269" s="343"/>
      <c r="G269" s="343"/>
      <c r="K269" s="279"/>
    </row>
    <row r="270" spans="1:13" s="281" customFormat="1" ht="12.75" x14ac:dyDescent="0.2">
      <c r="A270" s="279"/>
      <c r="F270" s="343"/>
      <c r="G270" s="343"/>
      <c r="K270" s="279"/>
    </row>
    <row r="271" spans="1:13" s="281" customFormat="1" ht="12.75" x14ac:dyDescent="0.2">
      <c r="A271" s="279"/>
      <c r="F271" s="343"/>
      <c r="G271" s="343"/>
      <c r="K271" s="279"/>
    </row>
    <row r="272" spans="1:13" s="281" customFormat="1" ht="12.75" x14ac:dyDescent="0.2">
      <c r="A272" s="279"/>
      <c r="F272" s="343"/>
      <c r="G272" s="343"/>
      <c r="K272" s="279"/>
    </row>
    <row r="273" spans="1:11" s="281" customFormat="1" ht="12.75" x14ac:dyDescent="0.2">
      <c r="A273" s="279"/>
      <c r="F273" s="343"/>
      <c r="G273" s="343"/>
      <c r="K273" s="279"/>
    </row>
    <row r="274" spans="1:11" s="281" customFormat="1" ht="12.75" x14ac:dyDescent="0.2">
      <c r="A274" s="279"/>
      <c r="F274" s="343"/>
      <c r="G274" s="343"/>
      <c r="K274" s="279"/>
    </row>
    <row r="275" spans="1:11" s="281" customFormat="1" ht="12.75" x14ac:dyDescent="0.2">
      <c r="A275" s="279"/>
      <c r="F275" s="343"/>
      <c r="G275" s="343"/>
      <c r="K275" s="279"/>
    </row>
    <row r="276" spans="1:11" s="281" customFormat="1" ht="12.75" x14ac:dyDescent="0.2">
      <c r="A276" s="279"/>
      <c r="F276" s="343"/>
      <c r="G276" s="343"/>
      <c r="K276" s="279"/>
    </row>
    <row r="277" spans="1:11" s="281" customFormat="1" ht="12.75" x14ac:dyDescent="0.2">
      <c r="A277" s="279"/>
      <c r="F277" s="343"/>
      <c r="G277" s="343"/>
      <c r="K277" s="279"/>
    </row>
    <row r="278" spans="1:11" s="281" customFormat="1" ht="12.75" x14ac:dyDescent="0.2">
      <c r="A278" s="279"/>
      <c r="F278" s="343"/>
      <c r="G278" s="343"/>
      <c r="K278" s="279"/>
    </row>
    <row r="279" spans="1:11" s="281" customFormat="1" ht="12.75" x14ac:dyDescent="0.2">
      <c r="A279" s="279"/>
      <c r="F279" s="343"/>
      <c r="G279" s="343"/>
      <c r="K279" s="279"/>
    </row>
    <row r="280" spans="1:11" s="281" customFormat="1" ht="12.75" x14ac:dyDescent="0.2">
      <c r="A280" s="279"/>
      <c r="F280" s="343"/>
      <c r="G280" s="343"/>
      <c r="K280" s="279"/>
    </row>
    <row r="281" spans="1:11" s="281" customFormat="1" ht="12.75" x14ac:dyDescent="0.2">
      <c r="A281" s="279"/>
      <c r="F281" s="343"/>
      <c r="G281" s="343"/>
      <c r="K281" s="279"/>
    </row>
    <row r="282" spans="1:11" s="281" customFormat="1" ht="12.75" x14ac:dyDescent="0.2">
      <c r="A282" s="279"/>
      <c r="F282" s="343"/>
      <c r="G282" s="343"/>
      <c r="K282" s="279"/>
    </row>
    <row r="283" spans="1:11" s="281" customFormat="1" ht="12.75" x14ac:dyDescent="0.2">
      <c r="A283" s="279"/>
      <c r="F283" s="343"/>
      <c r="G283" s="343"/>
      <c r="K283" s="279"/>
    </row>
    <row r="284" spans="1:11" s="281" customFormat="1" ht="12.75" x14ac:dyDescent="0.2">
      <c r="A284" s="279"/>
      <c r="F284" s="343"/>
      <c r="G284" s="343"/>
      <c r="K284" s="279"/>
    </row>
    <row r="285" spans="1:11" s="281" customFormat="1" ht="12.75" x14ac:dyDescent="0.2">
      <c r="A285" s="279"/>
      <c r="F285" s="343"/>
      <c r="G285" s="343"/>
      <c r="K285" s="279"/>
    </row>
    <row r="286" spans="1:11" s="281" customFormat="1" ht="12.75" x14ac:dyDescent="0.2">
      <c r="A286" s="279"/>
      <c r="F286" s="343"/>
      <c r="G286" s="343"/>
      <c r="K286" s="279"/>
    </row>
    <row r="287" spans="1:11" s="281" customFormat="1" ht="12.75" x14ac:dyDescent="0.2">
      <c r="A287" s="279"/>
      <c r="F287" s="343"/>
      <c r="G287" s="343"/>
      <c r="K287" s="279"/>
    </row>
    <row r="288" spans="1:11" s="281" customFormat="1" ht="12.75" x14ac:dyDescent="0.2">
      <c r="A288" s="279"/>
      <c r="F288" s="343"/>
      <c r="G288" s="343"/>
      <c r="K288" s="279"/>
    </row>
    <row r="289" spans="1:11" s="281" customFormat="1" ht="12.75" x14ac:dyDescent="0.2">
      <c r="A289" s="279"/>
      <c r="F289" s="343"/>
      <c r="G289" s="343"/>
      <c r="K289" s="279"/>
    </row>
    <row r="290" spans="1:11" s="281" customFormat="1" ht="12.75" x14ac:dyDescent="0.2">
      <c r="A290" s="279"/>
      <c r="F290" s="343"/>
      <c r="G290" s="343"/>
      <c r="K290" s="279"/>
    </row>
    <row r="291" spans="1:11" s="281" customFormat="1" ht="12.75" x14ac:dyDescent="0.2">
      <c r="A291" s="279"/>
      <c r="F291" s="343"/>
      <c r="G291" s="343"/>
      <c r="K291" s="279"/>
    </row>
    <row r="292" spans="1:11" s="281" customFormat="1" ht="12.75" x14ac:dyDescent="0.2">
      <c r="A292" s="279"/>
      <c r="F292" s="343"/>
      <c r="G292" s="343"/>
      <c r="K292" s="279"/>
    </row>
    <row r="293" spans="1:11" s="281" customFormat="1" ht="12.75" x14ac:dyDescent="0.2">
      <c r="A293" s="279"/>
      <c r="F293" s="343"/>
      <c r="G293" s="343"/>
      <c r="K293" s="279"/>
    </row>
    <row r="294" spans="1:11" s="281" customFormat="1" ht="12.75" x14ac:dyDescent="0.2">
      <c r="A294" s="279"/>
      <c r="F294" s="343"/>
      <c r="G294" s="343"/>
      <c r="K294" s="279"/>
    </row>
    <row r="295" spans="1:11" s="281" customFormat="1" ht="12.75" x14ac:dyDescent="0.2">
      <c r="A295" s="279"/>
      <c r="F295" s="343"/>
      <c r="G295" s="343"/>
      <c r="K295" s="279"/>
    </row>
    <row r="296" spans="1:11" s="281" customFormat="1" ht="12.75" x14ac:dyDescent="0.2">
      <c r="A296" s="279"/>
      <c r="F296" s="343"/>
      <c r="G296" s="343"/>
      <c r="K296" s="279"/>
    </row>
    <row r="297" spans="1:11" s="281" customFormat="1" ht="12.75" x14ac:dyDescent="0.2">
      <c r="A297" s="279"/>
      <c r="F297" s="343"/>
      <c r="G297" s="343"/>
      <c r="K297" s="279"/>
    </row>
    <row r="298" spans="1:11" s="281" customFormat="1" ht="12.75" x14ac:dyDescent="0.2">
      <c r="A298" s="279"/>
      <c r="F298" s="343"/>
      <c r="G298" s="343"/>
      <c r="K298" s="279"/>
    </row>
    <row r="299" spans="1:11" s="281" customFormat="1" ht="12.75" x14ac:dyDescent="0.2">
      <c r="A299" s="279"/>
      <c r="F299" s="343"/>
      <c r="G299" s="343"/>
      <c r="K299" s="279"/>
    </row>
    <row r="300" spans="1:11" s="281" customFormat="1" ht="12.75" x14ac:dyDescent="0.2">
      <c r="A300" s="279"/>
      <c r="F300" s="343"/>
      <c r="G300" s="343"/>
      <c r="K300" s="279"/>
    </row>
    <row r="301" spans="1:11" s="281" customFormat="1" ht="12.75" x14ac:dyDescent="0.2">
      <c r="A301" s="279"/>
      <c r="F301" s="343"/>
      <c r="G301" s="343"/>
      <c r="K301" s="279"/>
    </row>
    <row r="302" spans="1:11" s="281" customFormat="1" ht="12.75" x14ac:dyDescent="0.2">
      <c r="A302" s="279"/>
      <c r="F302" s="343"/>
      <c r="G302" s="343"/>
      <c r="K302" s="279"/>
    </row>
    <row r="303" spans="1:11" s="281" customFormat="1" ht="12.75" x14ac:dyDescent="0.2">
      <c r="A303" s="279"/>
      <c r="F303" s="343"/>
      <c r="G303" s="343"/>
      <c r="K303" s="279"/>
    </row>
    <row r="304" spans="1:11" s="281" customFormat="1" ht="12.75" x14ac:dyDescent="0.2">
      <c r="A304" s="279"/>
      <c r="F304" s="343"/>
      <c r="G304" s="343"/>
      <c r="K304" s="279"/>
    </row>
    <row r="305" spans="1:11" s="281" customFormat="1" ht="12.75" x14ac:dyDescent="0.2">
      <c r="A305" s="279"/>
      <c r="F305" s="343"/>
      <c r="G305" s="343"/>
      <c r="K305" s="279"/>
    </row>
    <row r="306" spans="1:11" s="281" customFormat="1" ht="12.75" x14ac:dyDescent="0.2">
      <c r="A306" s="279"/>
      <c r="F306" s="343"/>
      <c r="G306" s="343"/>
      <c r="K306" s="279"/>
    </row>
    <row r="307" spans="1:11" s="281" customFormat="1" ht="12.75" x14ac:dyDescent="0.2">
      <c r="A307" s="279"/>
      <c r="F307" s="343"/>
      <c r="G307" s="343"/>
      <c r="K307" s="279"/>
    </row>
    <row r="308" spans="1:11" s="281" customFormat="1" ht="12.75" x14ac:dyDescent="0.2">
      <c r="A308" s="279"/>
      <c r="F308" s="343"/>
      <c r="G308" s="343"/>
      <c r="K308" s="279"/>
    </row>
    <row r="309" spans="1:11" s="281" customFormat="1" ht="12.75" x14ac:dyDescent="0.2">
      <c r="A309" s="279"/>
      <c r="F309" s="343"/>
      <c r="G309" s="343"/>
      <c r="K309" s="279"/>
    </row>
    <row r="310" spans="1:11" s="281" customFormat="1" ht="12.75" x14ac:dyDescent="0.2">
      <c r="A310" s="279"/>
      <c r="F310" s="343"/>
      <c r="G310" s="343"/>
      <c r="K310" s="279"/>
    </row>
    <row r="311" spans="1:11" s="281" customFormat="1" ht="12.75" x14ac:dyDescent="0.2">
      <c r="A311" s="279"/>
      <c r="F311" s="343"/>
      <c r="G311" s="343"/>
      <c r="K311" s="279"/>
    </row>
    <row r="312" spans="1:11" s="281" customFormat="1" ht="12.75" x14ac:dyDescent="0.2">
      <c r="A312" s="279"/>
      <c r="F312" s="343"/>
      <c r="G312" s="343"/>
      <c r="K312" s="279"/>
    </row>
    <row r="313" spans="1:11" s="281" customFormat="1" ht="12.75" x14ac:dyDescent="0.2">
      <c r="A313" s="279"/>
      <c r="F313" s="343"/>
      <c r="G313" s="343"/>
      <c r="K313" s="279"/>
    </row>
    <row r="314" spans="1:11" s="281" customFormat="1" ht="12.75" x14ac:dyDescent="0.2">
      <c r="A314" s="279"/>
      <c r="F314" s="343"/>
      <c r="G314" s="343"/>
      <c r="K314" s="279"/>
    </row>
    <row r="315" spans="1:11" s="281" customFormat="1" ht="12.75" x14ac:dyDescent="0.2">
      <c r="A315" s="279"/>
      <c r="F315" s="343"/>
      <c r="G315" s="343"/>
      <c r="K315" s="279"/>
    </row>
    <row r="316" spans="1:11" s="281" customFormat="1" ht="12.75" x14ac:dyDescent="0.2">
      <c r="A316" s="279"/>
      <c r="F316" s="343"/>
      <c r="G316" s="343"/>
      <c r="K316" s="279"/>
    </row>
    <row r="317" spans="1:11" s="281" customFormat="1" ht="12.75" x14ac:dyDescent="0.2">
      <c r="A317" s="279"/>
      <c r="F317" s="343"/>
      <c r="G317" s="343"/>
      <c r="K317" s="279"/>
    </row>
    <row r="318" spans="1:11" s="281" customFormat="1" ht="12.75" x14ac:dyDescent="0.2">
      <c r="A318" s="279"/>
      <c r="F318" s="343"/>
      <c r="G318" s="343"/>
      <c r="K318" s="279"/>
    </row>
  </sheetData>
  <sheetProtection selectLockedCells="1" selectUnlockedCells="1"/>
  <mergeCells count="33">
    <mergeCell ref="C267:J267"/>
    <mergeCell ref="C261:J261"/>
    <mergeCell ref="C262:J262"/>
    <mergeCell ref="C263:J263"/>
    <mergeCell ref="C264:J264"/>
    <mergeCell ref="C265:J265"/>
    <mergeCell ref="C266:J266"/>
    <mergeCell ref="C260:J260"/>
    <mergeCell ref="B131:B140"/>
    <mergeCell ref="B148:B157"/>
    <mergeCell ref="B165:B174"/>
    <mergeCell ref="B182:B191"/>
    <mergeCell ref="B202:B211"/>
    <mergeCell ref="B222:B231"/>
    <mergeCell ref="B233:B242"/>
    <mergeCell ref="B244:B253"/>
    <mergeCell ref="B255:J255"/>
    <mergeCell ref="B256:J256"/>
    <mergeCell ref="C259:J259"/>
    <mergeCell ref="B114:B123"/>
    <mergeCell ref="C2:J2"/>
    <mergeCell ref="B5:B6"/>
    <mergeCell ref="C5:C6"/>
    <mergeCell ref="F5:F6"/>
    <mergeCell ref="G5:G6"/>
    <mergeCell ref="I5:I6"/>
    <mergeCell ref="J5:J6"/>
    <mergeCell ref="B7:B16"/>
    <mergeCell ref="B18:B27"/>
    <mergeCell ref="B39:B48"/>
    <mergeCell ref="B60:B69"/>
    <mergeCell ref="B97:B106"/>
    <mergeCell ref="B81:B95"/>
  </mergeCells>
  <hyperlinks>
    <hyperlink ref="B256" r:id="rId1" display="OAR 340 Division 253" xr:uid="{A22F3760-4837-4BD6-AAF5-EEED08E7A380}"/>
    <hyperlink ref="B256:J256" r:id="rId2" display=" All tables can be found in OAR 340 Division 253" xr:uid="{AB3A16FC-2640-4463-81B0-B2C368D5C582}"/>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FE6A7-47C8-41FA-AF2E-4FAA57C70C00}">
  <sheetPr codeName="Sheet12"/>
  <dimension ref="A1:R56"/>
  <sheetViews>
    <sheetView topLeftCell="A24" workbookViewId="0">
      <selection activeCell="L32" sqref="L32"/>
    </sheetView>
  </sheetViews>
  <sheetFormatPr defaultRowHeight="15" x14ac:dyDescent="0.25"/>
  <cols>
    <col min="1" max="1" width="27.5703125" customWidth="1"/>
    <col min="2" max="2" width="11.42578125" customWidth="1"/>
    <col min="3" max="3" width="19.5703125" customWidth="1"/>
    <col min="4" max="4" width="11.85546875" customWidth="1"/>
    <col min="5" max="5" width="10.42578125" customWidth="1"/>
    <col min="9" max="9" width="11.5703125" customWidth="1"/>
    <col min="14" max="14" width="12.5703125" customWidth="1"/>
  </cols>
  <sheetData>
    <row r="1" spans="1:18" x14ac:dyDescent="0.25">
      <c r="A1" s="5" t="s">
        <v>158</v>
      </c>
      <c r="C1" t="s">
        <v>159</v>
      </c>
      <c r="H1" t="s">
        <v>160</v>
      </c>
      <c r="M1" t="s">
        <v>161</v>
      </c>
    </row>
    <row r="2" spans="1:18" x14ac:dyDescent="0.25">
      <c r="B2" t="s">
        <v>148</v>
      </c>
      <c r="C2" t="s">
        <v>154</v>
      </c>
      <c r="D2" t="s">
        <v>153</v>
      </c>
      <c r="E2" t="s">
        <v>112</v>
      </c>
      <c r="F2" t="s">
        <v>124</v>
      </c>
      <c r="H2" t="s">
        <v>162</v>
      </c>
      <c r="I2" t="s">
        <v>153</v>
      </c>
      <c r="J2" t="s">
        <v>112</v>
      </c>
      <c r="K2" t="s">
        <v>124</v>
      </c>
      <c r="M2" t="s">
        <v>162</v>
      </c>
      <c r="N2" t="s">
        <v>163</v>
      </c>
      <c r="O2" t="s">
        <v>112</v>
      </c>
      <c r="P2" t="s">
        <v>124</v>
      </c>
    </row>
    <row r="3" spans="1:18" x14ac:dyDescent="0.25">
      <c r="A3" t="s">
        <v>164</v>
      </c>
      <c r="B3" s="131">
        <v>90000</v>
      </c>
      <c r="C3" s="131">
        <v>290000</v>
      </c>
      <c r="D3" s="131">
        <v>98000</v>
      </c>
      <c r="E3" s="131">
        <v>120000</v>
      </c>
      <c r="F3" s="131"/>
      <c r="H3" s="131">
        <f>(C3-B3)</f>
        <v>200000</v>
      </c>
      <c r="I3" s="131">
        <f>D3-B3</f>
        <v>8000</v>
      </c>
      <c r="J3" s="131">
        <f>E3-B3</f>
        <v>30000</v>
      </c>
      <c r="K3" s="131"/>
      <c r="M3" s="132">
        <f>H3/B3</f>
        <v>2.2222222222222223</v>
      </c>
      <c r="N3" s="132">
        <f>I3/B3</f>
        <v>8.8888888888888892E-2</v>
      </c>
      <c r="O3" s="132">
        <f>J3/B3</f>
        <v>0.33333333333333331</v>
      </c>
      <c r="P3" s="132"/>
      <c r="R3" t="s">
        <v>165</v>
      </c>
    </row>
    <row r="4" spans="1:18" x14ac:dyDescent="0.25">
      <c r="C4" s="131">
        <v>350000</v>
      </c>
      <c r="H4" s="131">
        <f>(C4-B4)</f>
        <v>350000</v>
      </c>
      <c r="I4" s="131">
        <f>D4-B4</f>
        <v>0</v>
      </c>
      <c r="J4" s="131">
        <f>E4-B4</f>
        <v>0</v>
      </c>
      <c r="K4" s="131"/>
      <c r="R4" s="133" t="s">
        <v>166</v>
      </c>
    </row>
    <row r="5" spans="1:18" x14ac:dyDescent="0.25">
      <c r="A5" t="s">
        <v>232</v>
      </c>
      <c r="B5" s="131">
        <v>92500</v>
      </c>
      <c r="C5" s="131">
        <v>350000</v>
      </c>
      <c r="H5" s="131">
        <f>(C5-B5)</f>
        <v>257500</v>
      </c>
      <c r="I5" s="131">
        <f>D5-B5</f>
        <v>-92500</v>
      </c>
      <c r="J5" s="131">
        <f>E5-B5</f>
        <v>-92500</v>
      </c>
      <c r="K5" s="131"/>
      <c r="R5" s="133" t="s">
        <v>583</v>
      </c>
    </row>
    <row r="6" spans="1:18" x14ac:dyDescent="0.25">
      <c r="A6" t="s">
        <v>627</v>
      </c>
      <c r="C6" s="131"/>
      <c r="F6" s="131">
        <f>B7-1500</f>
        <v>89750</v>
      </c>
      <c r="H6" s="131">
        <f>(C6-B6)</f>
        <v>0</v>
      </c>
      <c r="I6" s="131">
        <f>D6-B6</f>
        <v>0</v>
      </c>
      <c r="J6" s="131">
        <f>E6-B6</f>
        <v>0</v>
      </c>
      <c r="K6" s="131"/>
      <c r="R6" s="133"/>
    </row>
    <row r="7" spans="1:18" x14ac:dyDescent="0.25">
      <c r="A7" s="3" t="s">
        <v>167</v>
      </c>
      <c r="B7" s="131">
        <f>AVERAGE(B3:B6)</f>
        <v>91250</v>
      </c>
      <c r="C7" s="131">
        <f t="shared" ref="C7:K7" si="0">AVERAGE(C3:C6)</f>
        <v>330000</v>
      </c>
      <c r="D7" s="131">
        <f t="shared" si="0"/>
        <v>98000</v>
      </c>
      <c r="E7" s="131">
        <f t="shared" si="0"/>
        <v>120000</v>
      </c>
      <c r="F7" s="131">
        <f t="shared" si="0"/>
        <v>89750</v>
      </c>
      <c r="G7" s="131"/>
      <c r="H7" s="131">
        <f t="shared" si="0"/>
        <v>201875</v>
      </c>
      <c r="I7" s="131">
        <f t="shared" si="0"/>
        <v>-21125</v>
      </c>
      <c r="J7" s="131">
        <f t="shared" si="0"/>
        <v>-15625</v>
      </c>
      <c r="K7" s="131" t="e">
        <f t="shared" si="0"/>
        <v>#DIV/0!</v>
      </c>
      <c r="L7" s="131"/>
      <c r="M7" s="132">
        <f>AVERAGE(M3:M3)</f>
        <v>2.2222222222222223</v>
      </c>
      <c r="N7" s="132">
        <f>AVERAGE(N3:N3)</f>
        <v>8.8888888888888892E-2</v>
      </c>
      <c r="O7" s="132">
        <f>AVERAGE(O3:O3)</f>
        <v>0.33333333333333331</v>
      </c>
      <c r="P7" s="132"/>
    </row>
    <row r="8" spans="1:18" x14ac:dyDescent="0.25">
      <c r="A8" s="3"/>
      <c r="B8" s="131"/>
      <c r="C8" s="131"/>
      <c r="D8" s="131"/>
      <c r="E8" s="131"/>
      <c r="F8" s="131"/>
      <c r="G8" s="131"/>
      <c r="H8" s="131"/>
      <c r="I8" s="131"/>
      <c r="J8" s="131"/>
      <c r="K8" s="131"/>
      <c r="L8" s="131"/>
      <c r="M8" s="132"/>
      <c r="N8" s="132"/>
      <c r="O8" s="132"/>
      <c r="P8" s="132"/>
    </row>
    <row r="9" spans="1:18" x14ac:dyDescent="0.25">
      <c r="A9" s="5" t="s">
        <v>168</v>
      </c>
      <c r="C9" s="131">
        <v>415000</v>
      </c>
      <c r="R9" s="133" t="s">
        <v>166</v>
      </c>
    </row>
    <row r="10" spans="1:18" x14ac:dyDescent="0.25">
      <c r="A10" t="s">
        <v>232</v>
      </c>
      <c r="B10" s="131">
        <v>102500</v>
      </c>
    </row>
    <row r="11" spans="1:18" x14ac:dyDescent="0.25">
      <c r="A11" s="3" t="s">
        <v>167</v>
      </c>
      <c r="R11" s="133" t="s">
        <v>583</v>
      </c>
    </row>
    <row r="12" spans="1:18" x14ac:dyDescent="0.25">
      <c r="A12" s="3"/>
    </row>
    <row r="13" spans="1:18" x14ac:dyDescent="0.25">
      <c r="A13" s="3"/>
    </row>
    <row r="14" spans="1:18" x14ac:dyDescent="0.25">
      <c r="A14" s="5" t="s">
        <v>169</v>
      </c>
    </row>
    <row r="15" spans="1:18" x14ac:dyDescent="0.25">
      <c r="A15" s="5" t="s">
        <v>153</v>
      </c>
      <c r="B15" t="s">
        <v>170</v>
      </c>
      <c r="H15" s="18"/>
      <c r="M15" s="3" t="s">
        <v>171</v>
      </c>
      <c r="N15" s="134">
        <v>7.4999999999999997E-2</v>
      </c>
      <c r="O15" t="s">
        <v>172</v>
      </c>
      <c r="R15" t="s">
        <v>173</v>
      </c>
    </row>
    <row r="16" spans="1:18" x14ac:dyDescent="0.25">
      <c r="B16" t="s">
        <v>174</v>
      </c>
      <c r="R16" s="133" t="s">
        <v>175</v>
      </c>
    </row>
    <row r="17" spans="1:18" x14ac:dyDescent="0.25">
      <c r="A17" t="s">
        <v>176</v>
      </c>
      <c r="B17" t="s">
        <v>177</v>
      </c>
      <c r="R17" s="133" t="s">
        <v>178</v>
      </c>
    </row>
    <row r="18" spans="1:18" x14ac:dyDescent="0.25">
      <c r="A18">
        <v>-2014</v>
      </c>
      <c r="B18" t="s">
        <v>179</v>
      </c>
      <c r="F18" s="5" t="s">
        <v>180</v>
      </c>
      <c r="M18" s="3" t="s">
        <v>181</v>
      </c>
      <c r="N18" s="135">
        <v>10500</v>
      </c>
      <c r="R18" s="133" t="s">
        <v>178</v>
      </c>
    </row>
    <row r="19" spans="1:18" x14ac:dyDescent="0.25">
      <c r="A19" t="s">
        <v>182</v>
      </c>
      <c r="B19" t="s">
        <v>183</v>
      </c>
      <c r="E19" s="10">
        <v>1.52</v>
      </c>
      <c r="F19" t="s">
        <v>184</v>
      </c>
      <c r="G19" s="10"/>
      <c r="H19" t="s">
        <v>185</v>
      </c>
      <c r="I19" s="10">
        <v>60000</v>
      </c>
      <c r="J19" s="10">
        <v>0.99</v>
      </c>
      <c r="K19" t="s">
        <v>186</v>
      </c>
      <c r="R19" s="133" t="s">
        <v>187</v>
      </c>
    </row>
    <row r="20" spans="1:18" x14ac:dyDescent="0.25">
      <c r="A20" t="s">
        <v>188</v>
      </c>
      <c r="B20" t="s">
        <v>189</v>
      </c>
      <c r="R20" s="133" t="s">
        <v>178</v>
      </c>
    </row>
    <row r="21" spans="1:18" x14ac:dyDescent="0.25">
      <c r="A21">
        <v>-2014</v>
      </c>
      <c r="B21" t="s">
        <v>190</v>
      </c>
      <c r="R21" s="133" t="s">
        <v>178</v>
      </c>
    </row>
    <row r="22" spans="1:18" x14ac:dyDescent="0.25">
      <c r="A22" t="s">
        <v>191</v>
      </c>
      <c r="B22" t="s">
        <v>192</v>
      </c>
      <c r="F22" s="5" t="s">
        <v>193</v>
      </c>
      <c r="N22" s="131"/>
      <c r="R22" s="133" t="s">
        <v>178</v>
      </c>
    </row>
    <row r="23" spans="1:18" x14ac:dyDescent="0.25">
      <c r="A23">
        <v>-2014</v>
      </c>
      <c r="B23" t="s">
        <v>190</v>
      </c>
      <c r="M23" s="3" t="s">
        <v>194</v>
      </c>
      <c r="N23" s="135">
        <v>32500</v>
      </c>
      <c r="R23" s="133" t="s">
        <v>178</v>
      </c>
    </row>
    <row r="24" spans="1:18" x14ac:dyDescent="0.25">
      <c r="R24" s="133"/>
    </row>
    <row r="25" spans="1:18" x14ac:dyDescent="0.25">
      <c r="A25" s="5" t="s">
        <v>112</v>
      </c>
      <c r="B25" t="s">
        <v>195</v>
      </c>
      <c r="R25" s="133" t="s">
        <v>175</v>
      </c>
    </row>
    <row r="28" spans="1:18" x14ac:dyDescent="0.25">
      <c r="B28" t="s">
        <v>196</v>
      </c>
      <c r="E28" s="131" t="s">
        <v>197</v>
      </c>
      <c r="G28" t="s">
        <v>198</v>
      </c>
    </row>
    <row r="29" spans="1:18" x14ac:dyDescent="0.25">
      <c r="A29" t="s">
        <v>199</v>
      </c>
      <c r="B29" s="131">
        <v>11</v>
      </c>
      <c r="C29" s="131"/>
      <c r="E29" s="131">
        <v>26000</v>
      </c>
      <c r="F29" s="131"/>
      <c r="G29" s="14">
        <f>E29/B29</f>
        <v>2363.6363636363635</v>
      </c>
      <c r="R29" s="133" t="s">
        <v>200</v>
      </c>
    </row>
    <row r="30" spans="1:18" x14ac:dyDescent="0.25">
      <c r="B30" s="131">
        <v>16</v>
      </c>
      <c r="C30" s="131"/>
      <c r="E30" s="131">
        <v>36000</v>
      </c>
      <c r="F30" s="131"/>
      <c r="G30" s="14">
        <f>E30/B30</f>
        <v>2250</v>
      </c>
      <c r="R30" s="133" t="s">
        <v>200</v>
      </c>
    </row>
    <row r="31" spans="1:18" x14ac:dyDescent="0.25">
      <c r="B31" s="10">
        <v>16.559999999999999</v>
      </c>
      <c r="E31" s="131">
        <v>32420</v>
      </c>
      <c r="G31" s="14">
        <f>E31/B31</f>
        <v>1957.7294685990339</v>
      </c>
      <c r="R31" s="133" t="s">
        <v>201</v>
      </c>
    </row>
    <row r="32" spans="1:18" x14ac:dyDescent="0.25">
      <c r="B32" s="10">
        <v>16.34</v>
      </c>
      <c r="G32" s="14"/>
      <c r="R32" s="133" t="s">
        <v>202</v>
      </c>
    </row>
    <row r="33" spans="1:18" x14ac:dyDescent="0.25">
      <c r="B33" s="131">
        <v>16</v>
      </c>
      <c r="E33" s="131">
        <v>32000</v>
      </c>
      <c r="G33" s="14">
        <f>E33/B33</f>
        <v>2000</v>
      </c>
      <c r="R33" s="133" t="s">
        <v>203</v>
      </c>
    </row>
    <row r="35" spans="1:18" x14ac:dyDescent="0.25">
      <c r="A35" t="s">
        <v>167</v>
      </c>
      <c r="B35" s="131">
        <f>AVERAGE(B29:B34)</f>
        <v>15.180000000000001</v>
      </c>
      <c r="C35" s="131"/>
      <c r="D35" s="131"/>
      <c r="E35" s="131">
        <f>AVERAGE(E29:E34)</f>
        <v>31605</v>
      </c>
      <c r="F35" s="131"/>
      <c r="G35" s="14">
        <f>AVERAGE(G29:G34)</f>
        <v>2142.8414580588496</v>
      </c>
    </row>
    <row r="37" spans="1:18" x14ac:dyDescent="0.25">
      <c r="A37" t="s">
        <v>584</v>
      </c>
      <c r="B37" t="s">
        <v>585</v>
      </c>
      <c r="C37" t="s">
        <v>586</v>
      </c>
      <c r="D37" t="s">
        <v>587</v>
      </c>
      <c r="E37" t="s">
        <v>588</v>
      </c>
      <c r="G37" t="s">
        <v>589</v>
      </c>
    </row>
    <row r="38" spans="1:18" x14ac:dyDescent="0.25">
      <c r="A38" t="s">
        <v>232</v>
      </c>
      <c r="B38" s="131">
        <v>2250</v>
      </c>
      <c r="C38" s="131">
        <v>10000</v>
      </c>
      <c r="D38" s="131">
        <v>10000</v>
      </c>
      <c r="E38" s="131">
        <v>300</v>
      </c>
      <c r="G38" s="131">
        <f>B38+C38+D38</f>
        <v>22250</v>
      </c>
      <c r="R38" s="133" t="s">
        <v>583</v>
      </c>
    </row>
    <row r="40" spans="1:18" x14ac:dyDescent="0.25">
      <c r="A40" t="s">
        <v>167</v>
      </c>
      <c r="B40" s="131">
        <f>AVERAGE(B38:B39)</f>
        <v>2250</v>
      </c>
      <c r="C40" s="131">
        <f>AVERAGE(C38:C39)</f>
        <v>10000</v>
      </c>
      <c r="D40" s="131">
        <f>AVERAGE(D38:D39)</f>
        <v>10000</v>
      </c>
      <c r="E40" s="131">
        <f>AVERAGE(E38:E39)</f>
        <v>300</v>
      </c>
      <c r="F40" s="131"/>
      <c r="G40" s="131">
        <f>AVERAGE(G38:G39)</f>
        <v>22250</v>
      </c>
    </row>
    <row r="42" spans="1:18" x14ac:dyDescent="0.25">
      <c r="R42" t="s">
        <v>594</v>
      </c>
    </row>
    <row r="43" spans="1:18" x14ac:dyDescent="0.25">
      <c r="A43" t="s">
        <v>593</v>
      </c>
      <c r="E43" s="10"/>
    </row>
    <row r="44" spans="1:18" x14ac:dyDescent="0.25">
      <c r="A44" t="s">
        <v>686</v>
      </c>
      <c r="B44" t="s">
        <v>592</v>
      </c>
      <c r="E44" s="10">
        <v>0.09</v>
      </c>
      <c r="F44" t="s">
        <v>483</v>
      </c>
      <c r="M44" t="s">
        <v>674</v>
      </c>
    </row>
    <row r="45" spans="1:18" x14ac:dyDescent="0.25">
      <c r="L45" s="3" t="s">
        <v>664</v>
      </c>
      <c r="M45" s="133" t="s">
        <v>663</v>
      </c>
    </row>
    <row r="46" spans="1:18" x14ac:dyDescent="0.25">
      <c r="L46" s="3" t="s">
        <v>666</v>
      </c>
      <c r="M46" s="133" t="s">
        <v>665</v>
      </c>
    </row>
    <row r="47" spans="1:18" x14ac:dyDescent="0.25">
      <c r="L47" s="3" t="s">
        <v>668</v>
      </c>
      <c r="M47" s="133" t="s">
        <v>667</v>
      </c>
    </row>
    <row r="48" spans="1:18" x14ac:dyDescent="0.25">
      <c r="L48" s="3" t="s">
        <v>668</v>
      </c>
      <c r="M48" s="133" t="s">
        <v>669</v>
      </c>
    </row>
    <row r="49" spans="1:14" x14ac:dyDescent="0.25">
      <c r="L49" s="3" t="s">
        <v>671</v>
      </c>
      <c r="M49" s="133" t="s">
        <v>670</v>
      </c>
    </row>
    <row r="50" spans="1:14" x14ac:dyDescent="0.25">
      <c r="L50" s="3" t="s">
        <v>673</v>
      </c>
      <c r="M50" s="133" t="s">
        <v>672</v>
      </c>
    </row>
    <row r="51" spans="1:14" x14ac:dyDescent="0.25">
      <c r="E51" s="10">
        <v>0.02</v>
      </c>
      <c r="F51" t="s">
        <v>370</v>
      </c>
      <c r="M51" t="s">
        <v>685</v>
      </c>
    </row>
    <row r="52" spans="1:14" x14ac:dyDescent="0.25">
      <c r="D52" s="5" t="s">
        <v>408</v>
      </c>
      <c r="E52" s="134">
        <v>0.02</v>
      </c>
      <c r="F52" s="5" t="s">
        <v>370</v>
      </c>
    </row>
    <row r="54" spans="1:14" x14ac:dyDescent="0.25">
      <c r="A54" s="5" t="s">
        <v>584</v>
      </c>
      <c r="E54" s="10">
        <v>0.02</v>
      </c>
      <c r="F54" t="s">
        <v>370</v>
      </c>
      <c r="H54" s="3" t="s">
        <v>18</v>
      </c>
      <c r="I54" s="9">
        <v>127462</v>
      </c>
      <c r="J54" t="s">
        <v>687</v>
      </c>
      <c r="M54" t="s">
        <v>685</v>
      </c>
      <c r="N54" t="s">
        <v>685</v>
      </c>
    </row>
    <row r="55" spans="1:14" x14ac:dyDescent="0.25">
      <c r="H55" t="s">
        <v>688</v>
      </c>
      <c r="I55">
        <v>3412.14</v>
      </c>
      <c r="J55" t="s">
        <v>687</v>
      </c>
    </row>
    <row r="56" spans="1:14" x14ac:dyDescent="0.25">
      <c r="E56" s="134">
        <f>E54*I56</f>
        <v>5.3539721642528748E-4</v>
      </c>
      <c r="F56" s="5" t="s">
        <v>675</v>
      </c>
      <c r="H56" t="s">
        <v>689</v>
      </c>
      <c r="I56">
        <f>I55/I54</f>
        <v>2.6769860821264375E-2</v>
      </c>
    </row>
  </sheetData>
  <hyperlinks>
    <hyperlink ref="R4" r:id="rId1" xr:uid="{AF8DB9FD-FDC2-40EB-9DC6-25E4D03E3C1A}"/>
    <hyperlink ref="R9" r:id="rId2" xr:uid="{8CCC0BC5-3653-4E34-AA1B-E2E2F905E9ED}"/>
    <hyperlink ref="R16" r:id="rId3" xr:uid="{C49F813B-5BC4-4DE6-B918-2CAC9DF16BF3}"/>
    <hyperlink ref="R25" r:id="rId4" xr:uid="{0C50D33A-901C-40F1-9F81-565056D08A44}"/>
    <hyperlink ref="R17" r:id="rId5" xr:uid="{E68908C2-4E72-4EC5-9144-79AE3C2AAD4A}"/>
    <hyperlink ref="R18" r:id="rId6" xr:uid="{7CD012D5-7EC7-4F49-9C26-D5F2AB0F938C}"/>
    <hyperlink ref="R20" r:id="rId7" xr:uid="{6CD3408C-8A04-4400-88E4-73F953EB2A6D}"/>
    <hyperlink ref="R21" r:id="rId8" xr:uid="{080BCD1E-4C5B-407B-9494-EBA179DAE82D}"/>
    <hyperlink ref="R22" r:id="rId9" xr:uid="{6F6B00ED-A94C-498F-B31D-007DEEAF4DEC}"/>
    <hyperlink ref="R23" r:id="rId10" xr:uid="{EE43FA4D-E3A3-4238-B70D-057C04242DDD}"/>
    <hyperlink ref="R19" r:id="rId11" xr:uid="{3107E7F2-AEA3-4B85-9575-826BEF4C4179}"/>
    <hyperlink ref="R29" r:id="rId12" xr:uid="{EEFCC440-707B-437C-A9A9-D1521B817155}"/>
    <hyperlink ref="R30" r:id="rId13" xr:uid="{95391335-BBE5-45A1-ADD2-15476C78D866}"/>
    <hyperlink ref="R31" r:id="rId14" xr:uid="{C690349B-CDE9-4A00-9C62-C547D5565B73}"/>
    <hyperlink ref="R33" r:id="rId15" xr:uid="{A3F5A199-44CD-4A62-8ADE-CAF81051C9C9}"/>
    <hyperlink ref="M45" r:id="rId16" xr:uid="{B0C2E2C7-B073-4410-8048-56BB89ADCEC9}"/>
    <hyperlink ref="M46" r:id="rId17" xr:uid="{9EFE3351-A786-47BB-B5C0-3F3F0512D9FE}"/>
    <hyperlink ref="M47" r:id="rId18" xr:uid="{6CC23511-3F11-4C97-B5D5-2B4526378C54}"/>
    <hyperlink ref="M48" r:id="rId19" xr:uid="{BE9D29EC-9F29-4E84-82AD-3D3AA21A4525}"/>
    <hyperlink ref="M49" r:id="rId20" display="https://www.nwo.usace.army.mil/Portals/23/Final LCC Study Report.pdf?ver=2017-09-18-124555-723" xr:uid="{E0EFAFF8-5EBA-4F7F-9733-2E9D8688917E}"/>
    <hyperlink ref="M50" r:id="rId21" xr:uid="{CEC388C8-BF8B-4C99-8634-C5DB957C3281}"/>
  </hyperlinks>
  <pageMargins left="0.7" right="0.7" top="0.75" bottom="0.75" header="0.3" footer="0.3"/>
  <pageSetup orientation="portrait"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9727-04A9-47C4-AFDD-AB0DD971B9C9}">
  <sheetPr codeName="Sheet13"/>
  <dimension ref="A1:W83"/>
  <sheetViews>
    <sheetView workbookViewId="0">
      <selection activeCell="L32" sqref="L32"/>
    </sheetView>
  </sheetViews>
  <sheetFormatPr defaultRowHeight="15" x14ac:dyDescent="0.25"/>
  <cols>
    <col min="1" max="1" width="10.85546875" customWidth="1"/>
    <col min="8" max="8" width="10.85546875" customWidth="1"/>
    <col min="9" max="9" width="10.5703125" customWidth="1"/>
  </cols>
  <sheetData>
    <row r="1" spans="1:19" x14ac:dyDescent="0.25">
      <c r="A1" t="s">
        <v>204</v>
      </c>
      <c r="B1" t="s">
        <v>205</v>
      </c>
      <c r="C1" t="s">
        <v>162</v>
      </c>
      <c r="E1" t="s">
        <v>148</v>
      </c>
      <c r="G1" t="s">
        <v>153</v>
      </c>
      <c r="I1" t="s">
        <v>112</v>
      </c>
      <c r="K1" t="s">
        <v>124</v>
      </c>
      <c r="M1" t="s">
        <v>206</v>
      </c>
      <c r="O1" t="s">
        <v>207</v>
      </c>
      <c r="Q1" t="s">
        <v>208</v>
      </c>
    </row>
    <row r="2" spans="1:19" x14ac:dyDescent="0.25">
      <c r="A2" t="s">
        <v>164</v>
      </c>
      <c r="C2" s="131">
        <v>290000</v>
      </c>
      <c r="E2" s="131">
        <v>90000</v>
      </c>
      <c r="G2" s="131">
        <v>98000</v>
      </c>
      <c r="I2" s="131">
        <v>120000</v>
      </c>
      <c r="S2" s="136" t="s">
        <v>164</v>
      </c>
    </row>
    <row r="3" spans="1:19" x14ac:dyDescent="0.25">
      <c r="A3" t="s">
        <v>209</v>
      </c>
      <c r="C3" s="131"/>
      <c r="E3" s="131">
        <v>85000</v>
      </c>
      <c r="G3" s="131">
        <v>95000</v>
      </c>
      <c r="I3" s="131"/>
      <c r="S3" s="136" t="s">
        <v>210</v>
      </c>
    </row>
    <row r="4" spans="1:19" x14ac:dyDescent="0.25">
      <c r="A4" t="s">
        <v>211</v>
      </c>
      <c r="I4" s="131"/>
      <c r="S4" t="s">
        <v>173</v>
      </c>
    </row>
    <row r="5" spans="1:19" x14ac:dyDescent="0.25">
      <c r="A5" t="s">
        <v>212</v>
      </c>
      <c r="C5" s="131">
        <v>50000</v>
      </c>
      <c r="S5" s="136" t="s">
        <v>210</v>
      </c>
    </row>
    <row r="7" spans="1:19" x14ac:dyDescent="0.25">
      <c r="B7" s="5" t="s">
        <v>213</v>
      </c>
      <c r="F7" s="3" t="s">
        <v>500</v>
      </c>
      <c r="G7">
        <f>84953/127462</f>
        <v>0.66649668136385742</v>
      </c>
      <c r="H7" t="s">
        <v>502</v>
      </c>
      <c r="I7">
        <f>100000/127462</f>
        <v>0.78454755142709198</v>
      </c>
    </row>
    <row r="8" spans="1:19" x14ac:dyDescent="0.25">
      <c r="A8" t="s">
        <v>214</v>
      </c>
      <c r="B8" t="s">
        <v>215</v>
      </c>
      <c r="C8" t="s">
        <v>162</v>
      </c>
      <c r="E8" t="s">
        <v>148</v>
      </c>
      <c r="G8" t="s">
        <v>153</v>
      </c>
      <c r="I8" t="s">
        <v>112</v>
      </c>
      <c r="K8" t="s">
        <v>124</v>
      </c>
      <c r="M8" t="s">
        <v>206</v>
      </c>
      <c r="O8" t="s">
        <v>207</v>
      </c>
      <c r="Q8" t="s">
        <v>208</v>
      </c>
    </row>
    <row r="9" spans="1:19" x14ac:dyDescent="0.25">
      <c r="A9" s="5" t="s">
        <v>158</v>
      </c>
    </row>
    <row r="10" spans="1:19" x14ac:dyDescent="0.25">
      <c r="A10" s="5" t="s">
        <v>164</v>
      </c>
      <c r="B10" s="9">
        <v>15000</v>
      </c>
      <c r="C10">
        <v>1.72</v>
      </c>
      <c r="D10" t="s">
        <v>216</v>
      </c>
      <c r="E10">
        <v>7.7</v>
      </c>
      <c r="G10" s="5">
        <f>E10*G7</f>
        <v>5.1320244465017026</v>
      </c>
      <c r="H10" t="s">
        <v>501</v>
      </c>
      <c r="I10">
        <f>(E10*I7)*0.9</f>
        <v>5.436914531389748</v>
      </c>
      <c r="K10">
        <v>5.6</v>
      </c>
      <c r="L10" t="s">
        <v>217</v>
      </c>
    </row>
    <row r="11" spans="1:19" x14ac:dyDescent="0.25">
      <c r="A11" t="s">
        <v>218</v>
      </c>
      <c r="B11" s="9">
        <v>12000</v>
      </c>
      <c r="C11">
        <v>1.9</v>
      </c>
      <c r="D11" t="s">
        <v>216</v>
      </c>
      <c r="E11">
        <v>7.7</v>
      </c>
      <c r="F11" t="s">
        <v>219</v>
      </c>
      <c r="G11">
        <v>6.4</v>
      </c>
      <c r="H11" t="s">
        <v>219</v>
      </c>
      <c r="I11">
        <v>6.5</v>
      </c>
      <c r="J11" t="s">
        <v>219</v>
      </c>
      <c r="K11">
        <v>5.6</v>
      </c>
      <c r="L11" t="s">
        <v>217</v>
      </c>
    </row>
    <row r="12" spans="1:19" x14ac:dyDescent="0.25">
      <c r="A12" t="s">
        <v>220</v>
      </c>
      <c r="B12" s="9">
        <v>14700</v>
      </c>
      <c r="E12">
        <v>6.7750000000000004</v>
      </c>
      <c r="F12" t="s">
        <v>219</v>
      </c>
      <c r="G12">
        <v>7.1749999999999998</v>
      </c>
      <c r="H12" t="s">
        <v>219</v>
      </c>
      <c r="K12">
        <v>6.33</v>
      </c>
      <c r="L12" t="s">
        <v>221</v>
      </c>
      <c r="S12" s="136" t="s">
        <v>222</v>
      </c>
    </row>
    <row r="13" spans="1:19" x14ac:dyDescent="0.25">
      <c r="A13" t="s">
        <v>223</v>
      </c>
      <c r="B13" s="9">
        <v>11136</v>
      </c>
      <c r="E13">
        <v>6.53</v>
      </c>
      <c r="F13" t="s">
        <v>219</v>
      </c>
      <c r="S13" s="136" t="s">
        <v>224</v>
      </c>
    </row>
    <row r="14" spans="1:19" x14ac:dyDescent="0.25">
      <c r="A14" t="s">
        <v>209</v>
      </c>
      <c r="B14" s="9">
        <v>15000</v>
      </c>
      <c r="E14">
        <v>7.3</v>
      </c>
      <c r="F14" t="s">
        <v>219</v>
      </c>
      <c r="G14">
        <v>5.5</v>
      </c>
      <c r="H14" t="s">
        <v>225</v>
      </c>
    </row>
    <row r="15" spans="1:19" x14ac:dyDescent="0.25">
      <c r="A15" t="s">
        <v>226</v>
      </c>
      <c r="B15" s="9"/>
      <c r="G15">
        <v>4.0999999999999996</v>
      </c>
      <c r="H15" t="s">
        <v>225</v>
      </c>
      <c r="M15">
        <v>7.4</v>
      </c>
      <c r="N15" t="s">
        <v>217</v>
      </c>
      <c r="O15">
        <v>8.4</v>
      </c>
      <c r="P15" t="s">
        <v>219</v>
      </c>
      <c r="S15" s="136" t="s">
        <v>227</v>
      </c>
    </row>
    <row r="16" spans="1:19" x14ac:dyDescent="0.25">
      <c r="A16" t="s">
        <v>226</v>
      </c>
      <c r="B16" s="9"/>
      <c r="E16">
        <v>7.5</v>
      </c>
      <c r="F16" t="s">
        <v>219</v>
      </c>
      <c r="O16">
        <v>7.3</v>
      </c>
      <c r="S16" s="136" t="s">
        <v>227</v>
      </c>
    </row>
    <row r="17" spans="1:19" x14ac:dyDescent="0.25">
      <c r="A17" t="s">
        <v>226</v>
      </c>
      <c r="B17" s="9"/>
      <c r="E17">
        <v>6.3</v>
      </c>
      <c r="F17" t="s">
        <v>219</v>
      </c>
      <c r="O17">
        <v>9.6</v>
      </c>
      <c r="S17" s="136" t="s">
        <v>227</v>
      </c>
    </row>
    <row r="18" spans="1:19" x14ac:dyDescent="0.25">
      <c r="A18" t="s">
        <v>226</v>
      </c>
      <c r="B18" s="9"/>
      <c r="E18">
        <v>6.9</v>
      </c>
      <c r="F18" t="s">
        <v>219</v>
      </c>
      <c r="G18">
        <v>4</v>
      </c>
      <c r="H18" t="s">
        <v>225</v>
      </c>
      <c r="K18">
        <v>7.2</v>
      </c>
      <c r="L18" t="s">
        <v>221</v>
      </c>
      <c r="M18">
        <v>7.4</v>
      </c>
      <c r="N18" t="s">
        <v>217</v>
      </c>
      <c r="S18" s="136" t="s">
        <v>227</v>
      </c>
    </row>
    <row r="19" spans="1:19" x14ac:dyDescent="0.25">
      <c r="A19" t="s">
        <v>226</v>
      </c>
      <c r="B19" s="9"/>
      <c r="E19">
        <v>5.9</v>
      </c>
      <c r="F19" t="s">
        <v>219</v>
      </c>
      <c r="G19">
        <v>3.9</v>
      </c>
      <c r="H19" t="s">
        <v>225</v>
      </c>
      <c r="S19" s="136" t="s">
        <v>227</v>
      </c>
    </row>
    <row r="20" spans="1:19" x14ac:dyDescent="0.25">
      <c r="A20" t="s">
        <v>226</v>
      </c>
      <c r="B20" s="9"/>
      <c r="E20">
        <v>5.9</v>
      </c>
      <c r="F20" t="s">
        <v>219</v>
      </c>
      <c r="G20">
        <v>4.0999999999999996</v>
      </c>
      <c r="H20" t="s">
        <v>225</v>
      </c>
      <c r="S20" s="136" t="s">
        <v>227</v>
      </c>
    </row>
    <row r="21" spans="1:19" x14ac:dyDescent="0.25">
      <c r="A21" t="s">
        <v>226</v>
      </c>
      <c r="B21" s="9"/>
      <c r="E21">
        <v>7.1</v>
      </c>
      <c r="F21" t="s">
        <v>219</v>
      </c>
      <c r="G21">
        <v>3.7</v>
      </c>
      <c r="H21" t="s">
        <v>225</v>
      </c>
      <c r="S21" s="136" t="s">
        <v>227</v>
      </c>
    </row>
    <row r="22" spans="1:19" x14ac:dyDescent="0.25">
      <c r="A22" t="s">
        <v>226</v>
      </c>
      <c r="B22" s="9"/>
      <c r="E22">
        <v>5.2</v>
      </c>
      <c r="F22" t="s">
        <v>219</v>
      </c>
      <c r="Q22">
        <v>10</v>
      </c>
      <c r="R22" t="s">
        <v>219</v>
      </c>
      <c r="S22" s="136" t="s">
        <v>227</v>
      </c>
    </row>
    <row r="23" spans="1:19" x14ac:dyDescent="0.25">
      <c r="A23" t="s">
        <v>226</v>
      </c>
      <c r="B23" s="9"/>
      <c r="E23">
        <v>7.8</v>
      </c>
      <c r="F23" t="s">
        <v>219</v>
      </c>
      <c r="Q23">
        <v>8.1</v>
      </c>
      <c r="R23" t="s">
        <v>219</v>
      </c>
      <c r="S23" s="136" t="s">
        <v>227</v>
      </c>
    </row>
    <row r="24" spans="1:19" x14ac:dyDescent="0.25">
      <c r="A24" t="s">
        <v>211</v>
      </c>
      <c r="B24" s="9">
        <v>12000</v>
      </c>
      <c r="E24">
        <v>7</v>
      </c>
      <c r="F24" t="s">
        <v>219</v>
      </c>
      <c r="I24">
        <v>6.13</v>
      </c>
      <c r="J24" t="s">
        <v>219</v>
      </c>
      <c r="S24" s="136" t="s">
        <v>228</v>
      </c>
    </row>
    <row r="25" spans="1:19" x14ac:dyDescent="0.25">
      <c r="A25" t="s">
        <v>229</v>
      </c>
    </row>
    <row r="26" spans="1:19" x14ac:dyDescent="0.25">
      <c r="A26" t="s">
        <v>230</v>
      </c>
      <c r="B26" s="9">
        <v>5000</v>
      </c>
      <c r="C26">
        <v>2.38</v>
      </c>
      <c r="D26" t="s">
        <v>216</v>
      </c>
      <c r="S26" s="136" t="s">
        <v>231</v>
      </c>
    </row>
    <row r="27" spans="1:19" x14ac:dyDescent="0.25">
      <c r="A27" t="s">
        <v>232</v>
      </c>
      <c r="B27" s="9">
        <v>12000</v>
      </c>
      <c r="C27">
        <v>1.4</v>
      </c>
      <c r="D27" t="s">
        <v>216</v>
      </c>
      <c r="E27">
        <v>6.5</v>
      </c>
      <c r="F27" t="s">
        <v>219</v>
      </c>
      <c r="S27" s="136" t="s">
        <v>233</v>
      </c>
    </row>
    <row r="28" spans="1:19" x14ac:dyDescent="0.25">
      <c r="A28" t="s">
        <v>234</v>
      </c>
      <c r="B28" s="9">
        <v>12000</v>
      </c>
      <c r="E28">
        <v>5.5</v>
      </c>
      <c r="F28" t="s">
        <v>219</v>
      </c>
      <c r="S28" s="136" t="s">
        <v>233</v>
      </c>
    </row>
    <row r="29" spans="1:19" x14ac:dyDescent="0.25">
      <c r="A29" t="s">
        <v>235</v>
      </c>
      <c r="B29" s="9"/>
      <c r="E29">
        <v>7.49</v>
      </c>
      <c r="F29" t="s">
        <v>219</v>
      </c>
      <c r="S29" s="136" t="s">
        <v>236</v>
      </c>
    </row>
    <row r="30" spans="1:19" x14ac:dyDescent="0.25">
      <c r="A30" t="s">
        <v>237</v>
      </c>
      <c r="B30" s="9"/>
      <c r="E30">
        <v>7</v>
      </c>
      <c r="F30" t="s">
        <v>219</v>
      </c>
      <c r="S30" s="136" t="s">
        <v>236</v>
      </c>
    </row>
    <row r="31" spans="1:19" x14ac:dyDescent="0.25">
      <c r="A31" t="s">
        <v>238</v>
      </c>
      <c r="B31" s="9">
        <v>13666</v>
      </c>
      <c r="C31">
        <v>1.91</v>
      </c>
      <c r="D31" t="s">
        <v>216</v>
      </c>
      <c r="E31">
        <v>7.4</v>
      </c>
      <c r="F31" t="s">
        <v>219</v>
      </c>
      <c r="S31" s="133" t="s">
        <v>166</v>
      </c>
    </row>
    <row r="32" spans="1:19" x14ac:dyDescent="0.25">
      <c r="B32" s="9"/>
      <c r="S32" s="133"/>
    </row>
    <row r="33" spans="1:23" x14ac:dyDescent="0.25">
      <c r="B33" s="9"/>
      <c r="S33" s="133"/>
    </row>
    <row r="34" spans="1:23" x14ac:dyDescent="0.25">
      <c r="A34" t="s">
        <v>167</v>
      </c>
      <c r="B34" s="9">
        <f>AVERAGE(B10:B31)</f>
        <v>12250.2</v>
      </c>
      <c r="C34" s="137">
        <f>ROUND(AVERAGE(C10:C31),2)</f>
        <v>1.86</v>
      </c>
      <c r="D34" t="s">
        <v>216</v>
      </c>
      <c r="E34" s="137">
        <f>ROUND(AVERAGE(E11:E31),2)</f>
        <v>6.77</v>
      </c>
      <c r="F34" t="s">
        <v>219</v>
      </c>
      <c r="G34" s="137">
        <f>ROUND(AVERAGE(G14:G30),2)</f>
        <v>4.22</v>
      </c>
      <c r="H34" t="s">
        <v>225</v>
      </c>
      <c r="I34" s="137">
        <f>ROUND(AVERAGE(I9:I30),2)</f>
        <v>6.02</v>
      </c>
      <c r="J34" t="s">
        <v>219</v>
      </c>
      <c r="K34" s="137">
        <f>ROUND(AVERAGE(K11:K30),2)</f>
        <v>6.38</v>
      </c>
      <c r="S34" s="136"/>
    </row>
    <row r="35" spans="1:23" x14ac:dyDescent="0.25">
      <c r="A35" s="5" t="s">
        <v>168</v>
      </c>
      <c r="I35" s="137">
        <f>ROUND(I34/1.2746,2)</f>
        <v>4.72</v>
      </c>
      <c r="J35" t="s">
        <v>239</v>
      </c>
    </row>
    <row r="36" spans="1:23" x14ac:dyDescent="0.25">
      <c r="A36" t="s">
        <v>238</v>
      </c>
      <c r="B36" s="9">
        <v>13666</v>
      </c>
      <c r="C36">
        <v>1.91</v>
      </c>
      <c r="D36" t="s">
        <v>216</v>
      </c>
      <c r="E36">
        <v>7.4</v>
      </c>
      <c r="F36" t="s">
        <v>219</v>
      </c>
      <c r="S36" s="133" t="s">
        <v>166</v>
      </c>
    </row>
    <row r="37" spans="1:23" x14ac:dyDescent="0.25">
      <c r="B37" s="9"/>
    </row>
    <row r="38" spans="1:23" x14ac:dyDescent="0.25">
      <c r="B38" s="9"/>
    </row>
    <row r="39" spans="1:23" x14ac:dyDescent="0.25">
      <c r="B39" s="5" t="s">
        <v>240</v>
      </c>
    </row>
    <row r="40" spans="1:23" x14ac:dyDescent="0.25">
      <c r="A40" t="s">
        <v>220</v>
      </c>
      <c r="E40" s="10">
        <v>0.57999999999999996</v>
      </c>
      <c r="G40" s="10">
        <v>0.4</v>
      </c>
    </row>
    <row r="41" spans="1:23" x14ac:dyDescent="0.25">
      <c r="A41" t="s">
        <v>232</v>
      </c>
      <c r="B41" s="9">
        <v>12000</v>
      </c>
      <c r="C41" s="10">
        <v>0.17</v>
      </c>
      <c r="E41" s="10">
        <v>0.38</v>
      </c>
      <c r="S41" s="136" t="s">
        <v>233</v>
      </c>
    </row>
    <row r="42" spans="1:23" x14ac:dyDescent="0.25">
      <c r="A42" t="s">
        <v>209</v>
      </c>
      <c r="E42" s="138">
        <f>3.7/7.3</f>
        <v>0.50684931506849318</v>
      </c>
      <c r="G42" s="138">
        <f>1.7/5.5</f>
        <v>0.30909090909090908</v>
      </c>
      <c r="S42" t="s">
        <v>173</v>
      </c>
    </row>
    <row r="43" spans="1:23" x14ac:dyDescent="0.25">
      <c r="E43" s="138"/>
      <c r="G43" s="138"/>
    </row>
    <row r="44" spans="1:23" x14ac:dyDescent="0.25">
      <c r="B44" s="5" t="s">
        <v>241</v>
      </c>
    </row>
    <row r="45" spans="1:23" x14ac:dyDescent="0.25">
      <c r="B45" s="3" t="s">
        <v>242</v>
      </c>
      <c r="C45" s="22">
        <v>2.4E-2</v>
      </c>
    </row>
    <row r="46" spans="1:23" x14ac:dyDescent="0.25">
      <c r="A46" s="5" t="s">
        <v>218</v>
      </c>
      <c r="B46">
        <v>2019</v>
      </c>
      <c r="C46">
        <v>2020</v>
      </c>
      <c r="D46">
        <v>2021</v>
      </c>
      <c r="E46">
        <v>2022</v>
      </c>
      <c r="F46">
        <v>2023</v>
      </c>
      <c r="G46">
        <v>2024</v>
      </c>
      <c r="H46">
        <v>2025</v>
      </c>
      <c r="I46">
        <v>2026</v>
      </c>
      <c r="J46">
        <v>2027</v>
      </c>
      <c r="K46">
        <v>2028</v>
      </c>
      <c r="L46">
        <v>2029</v>
      </c>
      <c r="M46">
        <v>2030</v>
      </c>
      <c r="N46">
        <v>2031</v>
      </c>
      <c r="O46">
        <v>2032</v>
      </c>
      <c r="P46">
        <v>2033</v>
      </c>
      <c r="Q46">
        <v>2034</v>
      </c>
      <c r="R46">
        <v>2035</v>
      </c>
      <c r="S46">
        <v>2036</v>
      </c>
      <c r="T46">
        <v>2037</v>
      </c>
      <c r="U46">
        <v>2038</v>
      </c>
      <c r="V46">
        <v>2039</v>
      </c>
      <c r="W46">
        <v>2040</v>
      </c>
    </row>
    <row r="47" spans="1:23" x14ac:dyDescent="0.25">
      <c r="A47" t="s">
        <v>162</v>
      </c>
      <c r="B47" s="10">
        <v>0.87</v>
      </c>
      <c r="C47" s="10">
        <f>B47+(B47*$C$45)</f>
        <v>0.89088000000000001</v>
      </c>
      <c r="D47" s="10">
        <f t="shared" ref="D47:S49" si="0">C47+(C47*$C$45)</f>
        <v>0.91226112000000004</v>
      </c>
      <c r="E47" s="10">
        <f t="shared" si="0"/>
        <v>0.93415538687999999</v>
      </c>
      <c r="F47" s="10">
        <f t="shared" si="0"/>
        <v>0.95657511616512003</v>
      </c>
      <c r="G47" s="10">
        <f t="shared" si="0"/>
        <v>0.97953291895308292</v>
      </c>
      <c r="H47" s="10">
        <f t="shared" si="0"/>
        <v>1.0030417090079569</v>
      </c>
      <c r="I47" s="10">
        <f t="shared" si="0"/>
        <v>1.0271147100241478</v>
      </c>
      <c r="J47" s="10">
        <f t="shared" si="0"/>
        <v>1.0517654630647273</v>
      </c>
      <c r="K47" s="10">
        <f t="shared" si="0"/>
        <v>1.0770078341782807</v>
      </c>
      <c r="L47" s="10">
        <f t="shared" si="0"/>
        <v>1.1028560221985595</v>
      </c>
      <c r="M47" s="10">
        <f t="shared" si="0"/>
        <v>1.129324566731325</v>
      </c>
      <c r="N47" s="10">
        <f t="shared" si="0"/>
        <v>1.1564283563328768</v>
      </c>
      <c r="O47" s="10">
        <f t="shared" si="0"/>
        <v>1.1841826368848658</v>
      </c>
      <c r="P47" s="10">
        <f t="shared" si="0"/>
        <v>1.2126030201701026</v>
      </c>
      <c r="Q47" s="10">
        <f t="shared" si="0"/>
        <v>1.2417054926541851</v>
      </c>
      <c r="R47" s="10">
        <f t="shared" si="0"/>
        <v>1.2715064244778855</v>
      </c>
      <c r="S47" s="10">
        <f t="shared" si="0"/>
        <v>1.3020225786653548</v>
      </c>
      <c r="T47" s="10">
        <f t="shared" ref="S47:W51" si="1">S47+(S47*$C$45)</f>
        <v>1.3332711205533232</v>
      </c>
      <c r="U47" s="10">
        <f t="shared" si="1"/>
        <v>1.365269627446603</v>
      </c>
      <c r="V47" s="10">
        <f t="shared" si="1"/>
        <v>1.3980360985053215</v>
      </c>
      <c r="W47" s="10">
        <f t="shared" si="1"/>
        <v>1.4315889648694493</v>
      </c>
    </row>
    <row r="48" spans="1:23" x14ac:dyDescent="0.25">
      <c r="A48" t="s">
        <v>112</v>
      </c>
      <c r="B48" s="10">
        <v>0.95</v>
      </c>
      <c r="C48" s="10">
        <f>B48+(B48*$C$45)</f>
        <v>0.9728</v>
      </c>
      <c r="D48" s="10">
        <f t="shared" si="0"/>
        <v>0.99614720000000001</v>
      </c>
      <c r="E48" s="10">
        <f t="shared" si="0"/>
        <v>1.0200547328</v>
      </c>
      <c r="F48" s="10">
        <f t="shared" si="0"/>
        <v>1.0445360463872</v>
      </c>
      <c r="G48" s="10">
        <f t="shared" si="0"/>
        <v>1.0696049115004929</v>
      </c>
      <c r="H48" s="10">
        <f t="shared" si="0"/>
        <v>1.0952754293765048</v>
      </c>
      <c r="I48" s="10">
        <f t="shared" si="0"/>
        <v>1.1215620396815409</v>
      </c>
      <c r="J48" s="10">
        <f t="shared" si="0"/>
        <v>1.1484795286338978</v>
      </c>
      <c r="K48" s="10">
        <f t="shared" si="0"/>
        <v>1.1760430373211113</v>
      </c>
      <c r="L48" s="10">
        <f t="shared" si="0"/>
        <v>1.204268070216818</v>
      </c>
      <c r="M48" s="10">
        <f t="shared" si="0"/>
        <v>1.2331705039020218</v>
      </c>
      <c r="N48" s="10">
        <f t="shared" si="0"/>
        <v>1.2627665959956702</v>
      </c>
      <c r="O48" s="10">
        <f t="shared" si="0"/>
        <v>1.2930729942995662</v>
      </c>
      <c r="P48" s="10">
        <f t="shared" si="0"/>
        <v>1.3241067461627558</v>
      </c>
      <c r="Q48" s="10">
        <f t="shared" si="0"/>
        <v>1.3558853080706619</v>
      </c>
      <c r="R48" s="10">
        <f t="shared" si="0"/>
        <v>1.3884265554643578</v>
      </c>
      <c r="S48" s="10">
        <f t="shared" si="0"/>
        <v>1.4217487927955024</v>
      </c>
      <c r="T48" s="10">
        <f t="shared" si="1"/>
        <v>1.4558707638225945</v>
      </c>
      <c r="U48" s="10">
        <f t="shared" si="1"/>
        <v>1.4908116621543368</v>
      </c>
      <c r="V48" s="10">
        <f t="shared" si="1"/>
        <v>1.526591142046041</v>
      </c>
      <c r="W48" s="10">
        <f t="shared" si="1"/>
        <v>1.563229329455146</v>
      </c>
    </row>
    <row r="49" spans="1:23" x14ac:dyDescent="0.25">
      <c r="A49" t="s">
        <v>148</v>
      </c>
      <c r="B49" s="10">
        <v>0.93</v>
      </c>
      <c r="C49" s="10">
        <f>B49+(B49*$C$45)</f>
        <v>0.95232000000000006</v>
      </c>
      <c r="D49" s="10">
        <f t="shared" si="0"/>
        <v>0.9751756800000001</v>
      </c>
      <c r="E49" s="10">
        <f t="shared" si="0"/>
        <v>0.9985798963200001</v>
      </c>
      <c r="F49" s="10">
        <f t="shared" si="0"/>
        <v>1.0225458138316801</v>
      </c>
      <c r="G49" s="10">
        <f t="shared" si="0"/>
        <v>1.0470869133636405</v>
      </c>
      <c r="H49" s="10">
        <f t="shared" si="0"/>
        <v>1.0722169992843678</v>
      </c>
      <c r="I49" s="10">
        <f t="shared" si="0"/>
        <v>1.0979502072671925</v>
      </c>
      <c r="J49" s="10">
        <f t="shared" si="0"/>
        <v>1.1243010122416051</v>
      </c>
      <c r="K49" s="10">
        <f t="shared" si="0"/>
        <v>1.1512842365354037</v>
      </c>
      <c r="L49" s="10">
        <f t="shared" si="0"/>
        <v>1.1789150582122534</v>
      </c>
      <c r="M49" s="10">
        <f t="shared" si="0"/>
        <v>1.2072090196093475</v>
      </c>
      <c r="N49" s="10">
        <f t="shared" si="0"/>
        <v>1.2361820360799718</v>
      </c>
      <c r="O49" s="10">
        <f t="shared" si="0"/>
        <v>1.2658504049458912</v>
      </c>
      <c r="P49" s="10">
        <f t="shared" si="0"/>
        <v>1.2962308146645927</v>
      </c>
      <c r="Q49" s="10">
        <f t="shared" si="0"/>
        <v>1.327340354216543</v>
      </c>
      <c r="R49" s="10">
        <f t="shared" si="0"/>
        <v>1.3591965227177401</v>
      </c>
      <c r="S49" s="10">
        <f t="shared" si="0"/>
        <v>1.3918172392629657</v>
      </c>
      <c r="T49" s="10">
        <f t="shared" si="1"/>
        <v>1.425220853005277</v>
      </c>
      <c r="U49" s="10">
        <f t="shared" si="1"/>
        <v>1.4594261534774036</v>
      </c>
      <c r="V49" s="10">
        <f t="shared" si="1"/>
        <v>1.4944523811608612</v>
      </c>
      <c r="W49" s="10">
        <f t="shared" si="1"/>
        <v>1.5303192383087219</v>
      </c>
    </row>
    <row r="50" spans="1:23" x14ac:dyDescent="0.25">
      <c r="A50" t="s">
        <v>124</v>
      </c>
      <c r="B50" s="10">
        <v>0.93</v>
      </c>
      <c r="C50" s="10">
        <f t="shared" ref="C50:R51" si="2">B50+(B50*$C$45)</f>
        <v>0.95232000000000006</v>
      </c>
      <c r="D50" s="10">
        <f t="shared" si="2"/>
        <v>0.9751756800000001</v>
      </c>
      <c r="E50" s="10">
        <f t="shared" si="2"/>
        <v>0.9985798963200001</v>
      </c>
      <c r="F50" s="10">
        <f t="shared" si="2"/>
        <v>1.0225458138316801</v>
      </c>
      <c r="G50" s="10">
        <f t="shared" si="2"/>
        <v>1.0470869133636405</v>
      </c>
      <c r="H50" s="10">
        <f t="shared" si="2"/>
        <v>1.0722169992843678</v>
      </c>
      <c r="I50" s="10">
        <f t="shared" si="2"/>
        <v>1.0979502072671925</v>
      </c>
      <c r="J50" s="10">
        <f t="shared" si="2"/>
        <v>1.1243010122416051</v>
      </c>
      <c r="K50" s="10">
        <f t="shared" si="2"/>
        <v>1.1512842365354037</v>
      </c>
      <c r="L50" s="10">
        <f t="shared" si="2"/>
        <v>1.1789150582122534</v>
      </c>
      <c r="M50" s="10">
        <f t="shared" si="2"/>
        <v>1.2072090196093475</v>
      </c>
      <c r="N50" s="10">
        <f t="shared" si="2"/>
        <v>1.2361820360799718</v>
      </c>
      <c r="O50" s="10">
        <f t="shared" si="2"/>
        <v>1.2658504049458912</v>
      </c>
      <c r="P50" s="10">
        <f t="shared" si="2"/>
        <v>1.2962308146645927</v>
      </c>
      <c r="Q50" s="10">
        <f t="shared" si="2"/>
        <v>1.327340354216543</v>
      </c>
      <c r="R50" s="10">
        <f t="shared" si="2"/>
        <v>1.3591965227177401</v>
      </c>
      <c r="S50" s="10">
        <f t="shared" si="1"/>
        <v>1.3918172392629657</v>
      </c>
      <c r="T50" s="10">
        <f t="shared" si="1"/>
        <v>1.425220853005277</v>
      </c>
      <c r="U50" s="10">
        <f t="shared" si="1"/>
        <v>1.4594261534774036</v>
      </c>
      <c r="V50" s="10">
        <f t="shared" si="1"/>
        <v>1.4944523811608612</v>
      </c>
      <c r="W50" s="10">
        <f t="shared" si="1"/>
        <v>1.5303192383087219</v>
      </c>
    </row>
    <row r="51" spans="1:23" x14ac:dyDescent="0.25">
      <c r="A51" t="s">
        <v>98</v>
      </c>
      <c r="B51" s="10">
        <v>0.93</v>
      </c>
      <c r="C51" s="10">
        <f t="shared" si="2"/>
        <v>0.95232000000000006</v>
      </c>
      <c r="D51" s="10">
        <f t="shared" si="2"/>
        <v>0.9751756800000001</v>
      </c>
      <c r="E51" s="10">
        <f t="shared" si="2"/>
        <v>0.9985798963200001</v>
      </c>
      <c r="F51" s="10">
        <f t="shared" si="2"/>
        <v>1.0225458138316801</v>
      </c>
      <c r="G51" s="10">
        <f t="shared" si="2"/>
        <v>1.0470869133636405</v>
      </c>
      <c r="H51" s="10">
        <f t="shared" si="2"/>
        <v>1.0722169992843678</v>
      </c>
      <c r="I51" s="10">
        <f t="shared" si="2"/>
        <v>1.0979502072671925</v>
      </c>
      <c r="J51" s="10">
        <f t="shared" si="2"/>
        <v>1.1243010122416051</v>
      </c>
      <c r="K51" s="10">
        <f t="shared" si="2"/>
        <v>1.1512842365354037</v>
      </c>
      <c r="L51" s="10">
        <f t="shared" si="2"/>
        <v>1.1789150582122534</v>
      </c>
      <c r="M51" s="10">
        <f t="shared" si="2"/>
        <v>1.2072090196093475</v>
      </c>
      <c r="N51" s="10">
        <f t="shared" si="2"/>
        <v>1.2361820360799718</v>
      </c>
      <c r="O51" s="10">
        <f t="shared" si="2"/>
        <v>1.2658504049458912</v>
      </c>
      <c r="P51" s="10">
        <f t="shared" si="2"/>
        <v>1.2962308146645927</v>
      </c>
      <c r="Q51" s="10">
        <f t="shared" si="2"/>
        <v>1.327340354216543</v>
      </c>
      <c r="R51" s="10">
        <f t="shared" si="2"/>
        <v>1.3591965227177401</v>
      </c>
      <c r="S51" s="10">
        <f t="shared" si="1"/>
        <v>1.3918172392629657</v>
      </c>
      <c r="T51" s="10">
        <f t="shared" si="1"/>
        <v>1.425220853005277</v>
      </c>
      <c r="U51" s="10">
        <f t="shared" si="1"/>
        <v>1.4594261534774036</v>
      </c>
      <c r="V51" s="10">
        <f t="shared" si="1"/>
        <v>1.4944523811608612</v>
      </c>
      <c r="W51" s="10">
        <f t="shared" si="1"/>
        <v>1.5303192383087219</v>
      </c>
    </row>
    <row r="52" spans="1:23" x14ac:dyDescent="0.25">
      <c r="A52" t="s">
        <v>243</v>
      </c>
      <c r="B52" s="10"/>
      <c r="C52" s="139">
        <f>1-(B49/C49)</f>
        <v>2.34375E-2</v>
      </c>
      <c r="D52" s="139">
        <f t="shared" ref="D52:W52" si="3">1-(C49/D49)</f>
        <v>2.34375E-2</v>
      </c>
      <c r="E52" s="139">
        <f t="shared" si="3"/>
        <v>2.34375E-2</v>
      </c>
      <c r="F52" s="139">
        <f t="shared" si="3"/>
        <v>2.34375E-2</v>
      </c>
      <c r="G52" s="139">
        <f t="shared" si="3"/>
        <v>2.34375E-2</v>
      </c>
      <c r="H52" s="139">
        <f t="shared" si="3"/>
        <v>2.3437499999999889E-2</v>
      </c>
      <c r="I52" s="139">
        <f t="shared" si="3"/>
        <v>2.3437499999999889E-2</v>
      </c>
      <c r="J52" s="139">
        <f t="shared" si="3"/>
        <v>2.3437499999999889E-2</v>
      </c>
      <c r="K52" s="139">
        <f t="shared" si="3"/>
        <v>2.3437500000000111E-2</v>
      </c>
      <c r="L52" s="139">
        <f t="shared" si="3"/>
        <v>2.34375E-2</v>
      </c>
      <c r="M52" s="139">
        <f t="shared" si="3"/>
        <v>2.34375E-2</v>
      </c>
      <c r="N52" s="139">
        <f t="shared" si="3"/>
        <v>2.34375E-2</v>
      </c>
      <c r="O52" s="139">
        <f t="shared" si="3"/>
        <v>2.34375E-2</v>
      </c>
      <c r="P52" s="139">
        <f t="shared" si="3"/>
        <v>2.3437500000000111E-2</v>
      </c>
      <c r="Q52" s="139">
        <f t="shared" si="3"/>
        <v>2.34375E-2</v>
      </c>
      <c r="R52" s="139">
        <f t="shared" si="3"/>
        <v>2.34375E-2</v>
      </c>
      <c r="S52" s="139">
        <f t="shared" si="3"/>
        <v>2.34375E-2</v>
      </c>
      <c r="T52" s="139">
        <f t="shared" si="3"/>
        <v>2.3437500000000111E-2</v>
      </c>
      <c r="U52" s="139">
        <f t="shared" si="3"/>
        <v>2.3437499999999889E-2</v>
      </c>
      <c r="V52" s="139">
        <f t="shared" si="3"/>
        <v>2.34375E-2</v>
      </c>
      <c r="W52" s="139">
        <f t="shared" si="3"/>
        <v>2.34375E-2</v>
      </c>
    </row>
    <row r="53" spans="1:23" x14ac:dyDescent="0.25">
      <c r="A53" s="5" t="s">
        <v>164</v>
      </c>
      <c r="B53" s="5"/>
      <c r="C53" s="5" t="s">
        <v>244</v>
      </c>
      <c r="D53" s="5" t="s">
        <v>245</v>
      </c>
      <c r="E53" s="140" t="s">
        <v>246</v>
      </c>
      <c r="F53" s="5" t="s">
        <v>247</v>
      </c>
      <c r="G53" s="140" t="s">
        <v>248</v>
      </c>
      <c r="H53" s="5" t="s">
        <v>249</v>
      </c>
      <c r="I53" s="140" t="s">
        <v>250</v>
      </c>
      <c r="J53" s="5" t="s">
        <v>251</v>
      </c>
      <c r="K53" s="5" t="s">
        <v>252</v>
      </c>
      <c r="L53" s="5" t="s">
        <v>253</v>
      </c>
      <c r="M53" s="5" t="s">
        <v>254</v>
      </c>
      <c r="N53" s="5" t="s">
        <v>255</v>
      </c>
      <c r="O53" s="5" t="s">
        <v>256</v>
      </c>
      <c r="P53" s="5" t="s">
        <v>257</v>
      </c>
      <c r="Q53" s="5" t="s">
        <v>258</v>
      </c>
    </row>
    <row r="54" spans="1:23" x14ac:dyDescent="0.25">
      <c r="A54" t="s">
        <v>259</v>
      </c>
      <c r="C54" s="141">
        <v>0.49</v>
      </c>
      <c r="D54" s="141">
        <v>0.59</v>
      </c>
      <c r="E54" s="141">
        <v>0.75</v>
      </c>
      <c r="F54" s="141">
        <v>0.93</v>
      </c>
      <c r="G54" s="141">
        <v>1.1299999999999999</v>
      </c>
      <c r="H54" s="141">
        <v>1.38</v>
      </c>
      <c r="I54" s="141">
        <v>1.53</v>
      </c>
      <c r="J54" s="141">
        <v>1.66</v>
      </c>
      <c r="K54" s="141">
        <v>1.78</v>
      </c>
      <c r="L54" s="141">
        <v>1.8</v>
      </c>
      <c r="M54" s="141">
        <v>2.0299999999999998</v>
      </c>
      <c r="N54" s="141">
        <v>2.21</v>
      </c>
      <c r="O54" s="141">
        <v>2.2599999999999998</v>
      </c>
      <c r="P54" s="141">
        <v>2.52</v>
      </c>
      <c r="Q54" s="141">
        <v>2.61</v>
      </c>
    </row>
    <row r="55" spans="1:23" x14ac:dyDescent="0.25">
      <c r="A55" t="s">
        <v>260</v>
      </c>
      <c r="C55" s="142"/>
      <c r="D55" s="132">
        <f>1-(C54/D54)</f>
        <v>0.16949152542372881</v>
      </c>
      <c r="E55" s="132">
        <f t="shared" ref="E55:Q55" si="4">1-(D54/E54)</f>
        <v>0.21333333333333337</v>
      </c>
      <c r="F55" s="132">
        <f t="shared" si="4"/>
        <v>0.19354838709677424</v>
      </c>
      <c r="G55" s="132">
        <f t="shared" si="4"/>
        <v>0.17699115044247771</v>
      </c>
      <c r="H55" s="132">
        <f t="shared" si="4"/>
        <v>0.1811594202898551</v>
      </c>
      <c r="I55" s="132">
        <f t="shared" si="4"/>
        <v>9.8039215686274606E-2</v>
      </c>
      <c r="J55" s="132">
        <f t="shared" si="4"/>
        <v>7.8313253012048167E-2</v>
      </c>
      <c r="K55" s="132">
        <f t="shared" si="4"/>
        <v>6.7415730337078705E-2</v>
      </c>
      <c r="L55" s="132">
        <f t="shared" si="4"/>
        <v>1.1111111111111072E-2</v>
      </c>
      <c r="M55" s="132">
        <f t="shared" si="4"/>
        <v>0.1133004926108373</v>
      </c>
      <c r="N55" s="132">
        <f t="shared" si="4"/>
        <v>8.1447963800905021E-2</v>
      </c>
      <c r="O55" s="132">
        <f t="shared" si="4"/>
        <v>2.2123893805309658E-2</v>
      </c>
      <c r="P55" s="132">
        <f t="shared" si="4"/>
        <v>0.10317460317460325</v>
      </c>
      <c r="Q55" s="132">
        <f t="shared" si="4"/>
        <v>3.4482758620689613E-2</v>
      </c>
    </row>
    <row r="56" spans="1:23" x14ac:dyDescent="0.25">
      <c r="B56" t="s">
        <v>215</v>
      </c>
      <c r="C56" t="s">
        <v>162</v>
      </c>
      <c r="E56" t="s">
        <v>148</v>
      </c>
      <c r="G56" t="s">
        <v>153</v>
      </c>
      <c r="I56" t="s">
        <v>112</v>
      </c>
      <c r="K56" t="s">
        <v>124</v>
      </c>
      <c r="M56" t="s">
        <v>206</v>
      </c>
      <c r="O56" t="s">
        <v>207</v>
      </c>
      <c r="Q56" t="s">
        <v>208</v>
      </c>
    </row>
    <row r="57" spans="1:23" x14ac:dyDescent="0.25">
      <c r="A57" t="s">
        <v>261</v>
      </c>
      <c r="C57" s="10">
        <v>1.07</v>
      </c>
      <c r="E57" s="10">
        <v>1.07</v>
      </c>
      <c r="G57" s="10">
        <v>1.07</v>
      </c>
      <c r="S57" s="136"/>
    </row>
    <row r="58" spans="1:23" x14ac:dyDescent="0.25">
      <c r="A58" t="s">
        <v>262</v>
      </c>
      <c r="E58" s="10">
        <v>0.48</v>
      </c>
      <c r="G58" s="10">
        <v>0.11</v>
      </c>
    </row>
    <row r="59" spans="1:23" x14ac:dyDescent="0.25">
      <c r="A59" t="s">
        <v>263</v>
      </c>
      <c r="E59" s="10">
        <v>0.67</v>
      </c>
      <c r="G59" s="10">
        <v>0.48</v>
      </c>
      <c r="S59" s="136" t="s">
        <v>264</v>
      </c>
    </row>
    <row r="60" spans="1:23" x14ac:dyDescent="0.25">
      <c r="A60" t="s">
        <v>265</v>
      </c>
      <c r="E60" s="10">
        <v>0.15</v>
      </c>
      <c r="G60" s="10">
        <v>0.09</v>
      </c>
    </row>
    <row r="61" spans="1:23" x14ac:dyDescent="0.25">
      <c r="A61" t="s">
        <v>209</v>
      </c>
      <c r="E61" s="10">
        <v>4.4999999999999998E-2</v>
      </c>
      <c r="G61" s="10">
        <v>3.4000000000000002E-2</v>
      </c>
      <c r="S61" t="s">
        <v>173</v>
      </c>
    </row>
    <row r="62" spans="1:23" x14ac:dyDescent="0.25">
      <c r="A62" t="s">
        <v>234</v>
      </c>
      <c r="B62" s="9">
        <v>12000</v>
      </c>
      <c r="C62" s="10"/>
      <c r="E62" s="10">
        <v>0.13900000000000001</v>
      </c>
      <c r="G62" s="10"/>
    </row>
    <row r="63" spans="1:23" x14ac:dyDescent="0.25">
      <c r="A63" t="s">
        <v>266</v>
      </c>
      <c r="B63" s="9">
        <v>12000</v>
      </c>
      <c r="C63" s="10"/>
      <c r="E63" s="10">
        <v>0.69399999999999995</v>
      </c>
      <c r="G63" s="10"/>
    </row>
    <row r="64" spans="1:23" x14ac:dyDescent="0.25">
      <c r="A64" t="s">
        <v>267</v>
      </c>
      <c r="B64" s="9">
        <v>13642</v>
      </c>
      <c r="E64" s="10">
        <v>0.19</v>
      </c>
      <c r="S64" s="136" t="s">
        <v>268</v>
      </c>
    </row>
    <row r="65" spans="1:19" x14ac:dyDescent="0.25">
      <c r="A65" t="s">
        <v>269</v>
      </c>
      <c r="E65" s="10">
        <v>0.25</v>
      </c>
      <c r="S65" s="136" t="s">
        <v>270</v>
      </c>
    </row>
    <row r="66" spans="1:19" x14ac:dyDescent="0.25">
      <c r="A66" t="s">
        <v>271</v>
      </c>
      <c r="E66" s="10">
        <v>0.16500000000000001</v>
      </c>
      <c r="S66" s="136" t="s">
        <v>272</v>
      </c>
    </row>
    <row r="67" spans="1:19" x14ac:dyDescent="0.25">
      <c r="A67" t="s">
        <v>273</v>
      </c>
      <c r="E67" s="10">
        <v>0.2</v>
      </c>
      <c r="S67" s="136" t="s">
        <v>274</v>
      </c>
    </row>
    <row r="68" spans="1:19" x14ac:dyDescent="0.25">
      <c r="A68" t="s">
        <v>223</v>
      </c>
      <c r="E68" s="10">
        <f>14529/11136</f>
        <v>1.3046875</v>
      </c>
      <c r="S68" s="136" t="s">
        <v>224</v>
      </c>
    </row>
    <row r="69" spans="1:19" x14ac:dyDescent="0.25">
      <c r="A69" t="s">
        <v>275</v>
      </c>
      <c r="C69" s="10">
        <v>0.71</v>
      </c>
      <c r="E69" s="10">
        <v>0.85</v>
      </c>
      <c r="S69" s="136" t="s">
        <v>166</v>
      </c>
    </row>
    <row r="70" spans="1:19" x14ac:dyDescent="0.25">
      <c r="A70" t="s">
        <v>167</v>
      </c>
      <c r="C70" s="138">
        <f>AVERAGE(C57:C69)</f>
        <v>0.89</v>
      </c>
      <c r="E70" s="140">
        <f>AVERAGE(E57:E69)</f>
        <v>0.47751442307692304</v>
      </c>
      <c r="F70" s="140"/>
      <c r="G70" s="140">
        <f>AVERAGE(G57:G69)</f>
        <v>0.35680000000000006</v>
      </c>
      <c r="S70" s="136"/>
    </row>
    <row r="71" spans="1:19" x14ac:dyDescent="0.25">
      <c r="A71" t="s">
        <v>276</v>
      </c>
      <c r="B71" s="9">
        <v>15000</v>
      </c>
      <c r="E71" s="140"/>
      <c r="F71" s="140"/>
      <c r="G71" s="140"/>
      <c r="I71" t="s">
        <v>277</v>
      </c>
      <c r="S71" s="136" t="s">
        <v>264</v>
      </c>
    </row>
    <row r="72" spans="1:19" x14ac:dyDescent="0.25">
      <c r="A72" t="s">
        <v>278</v>
      </c>
      <c r="B72" s="9">
        <v>16000</v>
      </c>
      <c r="E72" s="140"/>
      <c r="F72" s="140"/>
      <c r="G72" s="140"/>
      <c r="S72" s="136" t="s">
        <v>264</v>
      </c>
    </row>
    <row r="73" spans="1:19" x14ac:dyDescent="0.25">
      <c r="B73" s="9"/>
      <c r="E73" s="140"/>
      <c r="F73" s="140"/>
      <c r="G73" s="140"/>
      <c r="S73" s="136"/>
    </row>
    <row r="74" spans="1:19" x14ac:dyDescent="0.25">
      <c r="A74" t="s">
        <v>279</v>
      </c>
      <c r="B74" s="9">
        <f>AVERAGE(B71,B72,B62,B63,B64,B28,B27,B26,B24,B10,B11,B12,B13,B14)</f>
        <v>12677</v>
      </c>
      <c r="S74" s="136"/>
    </row>
    <row r="75" spans="1:19" x14ac:dyDescent="0.25">
      <c r="A75" s="5" t="s">
        <v>204</v>
      </c>
      <c r="B75" t="s">
        <v>215</v>
      </c>
      <c r="C75" t="s">
        <v>162</v>
      </c>
      <c r="E75" t="s">
        <v>148</v>
      </c>
      <c r="G75" t="s">
        <v>153</v>
      </c>
      <c r="I75" t="s">
        <v>112</v>
      </c>
      <c r="K75" t="s">
        <v>124</v>
      </c>
      <c r="M75" t="s">
        <v>206</v>
      </c>
      <c r="O75" t="s">
        <v>207</v>
      </c>
      <c r="Q75" t="s">
        <v>208</v>
      </c>
    </row>
    <row r="76" spans="1:19" x14ac:dyDescent="0.25">
      <c r="A76" t="s">
        <v>158</v>
      </c>
    </row>
    <row r="77" spans="1:19" x14ac:dyDescent="0.25">
      <c r="A77" t="s">
        <v>226</v>
      </c>
      <c r="G77" s="131">
        <v>8800</v>
      </c>
      <c r="M77" s="131">
        <v>70900</v>
      </c>
      <c r="O77" s="131">
        <v>70900</v>
      </c>
      <c r="Q77" s="131">
        <v>111800</v>
      </c>
      <c r="S77" t="s">
        <v>227</v>
      </c>
    </row>
    <row r="78" spans="1:19" x14ac:dyDescent="0.25">
      <c r="A78" t="s">
        <v>280</v>
      </c>
      <c r="C78" s="131">
        <v>350000</v>
      </c>
      <c r="S78" s="136" t="s">
        <v>166</v>
      </c>
    </row>
    <row r="79" spans="1:19" x14ac:dyDescent="0.25">
      <c r="A79" t="s">
        <v>168</v>
      </c>
    </row>
    <row r="80" spans="1:19" x14ac:dyDescent="0.25">
      <c r="A80" t="s">
        <v>280</v>
      </c>
      <c r="C80" s="131">
        <v>415000</v>
      </c>
      <c r="S80" s="136" t="s">
        <v>166</v>
      </c>
    </row>
    <row r="81" spans="1:19" x14ac:dyDescent="0.25">
      <c r="A81" s="5" t="s">
        <v>281</v>
      </c>
    </row>
    <row r="82" spans="1:19" x14ac:dyDescent="0.25">
      <c r="A82" t="s">
        <v>226</v>
      </c>
      <c r="C82" s="131">
        <v>10018</v>
      </c>
      <c r="G82" s="131">
        <v>65096</v>
      </c>
      <c r="I82" s="131">
        <v>1514493</v>
      </c>
      <c r="S82" s="136" t="s">
        <v>227</v>
      </c>
    </row>
    <row r="83" spans="1:19" x14ac:dyDescent="0.25">
      <c r="A83" t="s">
        <v>280</v>
      </c>
      <c r="C83" s="131">
        <v>60000</v>
      </c>
      <c r="S83" s="136" t="s">
        <v>166</v>
      </c>
    </row>
  </sheetData>
  <hyperlinks>
    <hyperlink ref="S12" r:id="rId1" xr:uid="{764E029E-7D43-4051-B491-BB607D037EDA}"/>
    <hyperlink ref="S82" r:id="rId2" xr:uid="{E6997E5C-1D3B-4C5A-8AA2-AF4C32641FB7}"/>
    <hyperlink ref="S15" r:id="rId3" xr:uid="{9D5BD980-B775-47AD-BECA-6E0CC2F2B6DC}"/>
    <hyperlink ref="S16:S23" r:id="rId4" display="https://aceee.org/files/proceedings/2012/data/papers/0193-000340.pdf" xr:uid="{920F2FA2-C9BF-4572-A47A-434FD8748DA1}"/>
    <hyperlink ref="S26" r:id="rId5" display="https://www.mass.gov/files/documents/2018/04/30/Mass DOER EV school bus pilot final report_.pdf" xr:uid="{118DF07D-651A-46C6-BB81-F8B4BD8486DD}"/>
    <hyperlink ref="S5" r:id="rId6" xr:uid="{D9A8456A-FE49-40DD-98C1-D71D0B85D0A7}"/>
    <hyperlink ref="S24" r:id="rId7" xr:uid="{7671DEF2-E80E-409C-8388-C46A6D88289B}"/>
    <hyperlink ref="S41" r:id="rId8" xr:uid="{19420FBA-A0F7-465E-8497-54E5DA905279}"/>
    <hyperlink ref="S27" r:id="rId9" xr:uid="{1756341B-43BF-463D-ABA0-9ADDDA2FA948}"/>
    <hyperlink ref="S28" r:id="rId10" xr:uid="{6D919A9A-9FC7-4556-99E9-AAD2D8101BD3}"/>
    <hyperlink ref="S65" r:id="rId11" xr:uid="{6D5B9ECB-B0DB-4DBB-A705-EF58C6E0FF7A}"/>
    <hyperlink ref="S66" r:id="rId12" xr:uid="{258ACB37-D7F1-46CC-A544-EFCCA1222704}"/>
    <hyperlink ref="S67" r:id="rId13" display="https://www.zizzers.org/cms/lib2/MO01001590/Centricity/Domain/4/Pupil Transportation Cost Outsourcing Feasibility Study.pdf" xr:uid="{F8C85FEB-8EE4-4E8C-B34E-D6B63BB5D303}"/>
    <hyperlink ref="S68" r:id="rId14" xr:uid="{4394F816-7B24-4E50-9BFD-37067CC7B1F7}"/>
    <hyperlink ref="S13" r:id="rId15" xr:uid="{9E807EE3-E0AF-4CA9-AA56-CD0D1CC7C54E}"/>
    <hyperlink ref="S59" r:id="rId16" xr:uid="{E744A972-70E4-4011-B006-E6559D84A4A1}"/>
    <hyperlink ref="S71" r:id="rId17" xr:uid="{6C064962-F5C6-4A6B-AC48-AC85A02D9299}"/>
    <hyperlink ref="S72" r:id="rId18" xr:uid="{CDFBFACC-C721-43E5-80CE-40D966DB3BBB}"/>
    <hyperlink ref="S64" r:id="rId19" display="http://alleghany.ss9.sharpschool.com/UserFiles/Servers/Server_8986/File/School Board/Agendas/2017-2018/10-16-2017/18-117 SCHOOL BUS PER MILE COST.htm" xr:uid="{0EE59474-747C-4DE9-9340-0CF9E1B1D57B}"/>
    <hyperlink ref="S78" r:id="rId20" xr:uid="{B315E5F2-53D8-4E38-8B56-6FE2EDC08AB6}"/>
    <hyperlink ref="S80" r:id="rId21" xr:uid="{A1515EBF-D1BB-40F9-A8B9-551E7CF80BF5}"/>
    <hyperlink ref="S83" r:id="rId22" xr:uid="{7DC8ED70-8598-4E15-A8EE-6CE529CBC1D3}"/>
    <hyperlink ref="S69" r:id="rId23" xr:uid="{3A920D5D-87BE-4E91-8CEE-A591E3B3AC63}"/>
    <hyperlink ref="S3" r:id="rId24" xr:uid="{74613D7A-6E5E-403A-AE4F-7A43C787586D}"/>
    <hyperlink ref="S31" r:id="rId25" xr:uid="{7E9A4CB9-B082-447F-8227-6C4000E9BE75}"/>
    <hyperlink ref="S36" r:id="rId26" xr:uid="{6F721FE1-E495-4464-A45E-146A2ED42A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13C3-9DED-4F56-AEB2-8B0D93565061}">
  <sheetPr codeName="Sheet14"/>
  <dimension ref="A1:F34"/>
  <sheetViews>
    <sheetView workbookViewId="0">
      <selection activeCell="L32" sqref="L32"/>
    </sheetView>
  </sheetViews>
  <sheetFormatPr defaultRowHeight="15" x14ac:dyDescent="0.25"/>
  <cols>
    <col min="1" max="1" width="29.85546875" customWidth="1"/>
    <col min="2" max="2" width="18.140625" customWidth="1"/>
    <col min="3" max="3" width="13.28515625" customWidth="1"/>
    <col min="4" max="4" width="11" customWidth="1"/>
    <col min="5" max="5" width="83.85546875" customWidth="1"/>
  </cols>
  <sheetData>
    <row r="1" spans="1:6" x14ac:dyDescent="0.25">
      <c r="A1" s="5" t="s">
        <v>485</v>
      </c>
      <c r="B1" s="271" t="s">
        <v>486</v>
      </c>
      <c r="C1" t="s">
        <v>487</v>
      </c>
      <c r="E1" t="s">
        <v>488</v>
      </c>
    </row>
    <row r="2" spans="1:6" x14ac:dyDescent="0.25">
      <c r="A2" s="272" t="s">
        <v>451</v>
      </c>
      <c r="B2" s="273">
        <f>35/1.1015</f>
        <v>31.77485247389923</v>
      </c>
      <c r="C2" s="43">
        <v>42</v>
      </c>
      <c r="E2" s="133" t="s">
        <v>489</v>
      </c>
      <c r="F2" t="s">
        <v>490</v>
      </c>
    </row>
    <row r="3" spans="1:6" x14ac:dyDescent="0.25">
      <c r="A3" s="272" t="s">
        <v>452</v>
      </c>
      <c r="B3" s="273">
        <f>8300*1.03*1.03*1.03</f>
        <v>9069.6340999999993</v>
      </c>
      <c r="C3" s="43">
        <f>B3*1.1015</f>
        <v>9990.2019611499982</v>
      </c>
      <c r="E3" s="133" t="s">
        <v>491</v>
      </c>
      <c r="F3" t="s">
        <v>492</v>
      </c>
    </row>
    <row r="4" spans="1:6" x14ac:dyDescent="0.25">
      <c r="A4" s="272" t="s">
        <v>493</v>
      </c>
      <c r="B4" s="273">
        <f>400000*1.03*1.03*1.03</f>
        <v>437090.8</v>
      </c>
      <c r="C4" s="43">
        <f>B4*1.1015</f>
        <v>481455.51619999995</v>
      </c>
      <c r="E4" s="133" t="s">
        <v>491</v>
      </c>
      <c r="F4" t="s">
        <v>492</v>
      </c>
    </row>
    <row r="5" spans="1:6" x14ac:dyDescent="0.25">
      <c r="A5" s="272" t="s">
        <v>494</v>
      </c>
      <c r="B5" s="273">
        <f>21000*1.03*1.03*1.03</f>
        <v>22947.267000000003</v>
      </c>
      <c r="C5" s="43">
        <f>B5*1.1015</f>
        <v>25276.414600500004</v>
      </c>
      <c r="E5" s="133" t="s">
        <v>491</v>
      </c>
      <c r="F5" t="s">
        <v>492</v>
      </c>
    </row>
    <row r="7" spans="1:6" x14ac:dyDescent="0.25">
      <c r="A7" s="5" t="s">
        <v>503</v>
      </c>
      <c r="B7" t="s">
        <v>495</v>
      </c>
      <c r="C7" t="s">
        <v>496</v>
      </c>
      <c r="D7" t="s">
        <v>497</v>
      </c>
    </row>
    <row r="8" spans="1:6" x14ac:dyDescent="0.25">
      <c r="A8" s="272" t="s">
        <v>452</v>
      </c>
      <c r="B8" s="274">
        <f>421/(15*15000)</f>
        <v>1.8711111111111112E-3</v>
      </c>
      <c r="C8" s="275">
        <f t="shared" ref="C8:C13" si="0">B8/2204.62</f>
        <v>8.4872273276624147E-7</v>
      </c>
      <c r="D8" s="17">
        <f>C8*C3</f>
        <v>8.4789115093538911E-3</v>
      </c>
      <c r="E8" t="s">
        <v>498</v>
      </c>
    </row>
    <row r="9" spans="1:6" x14ac:dyDescent="0.25">
      <c r="A9" s="272" t="s">
        <v>453</v>
      </c>
      <c r="B9" s="274">
        <f>69/(15*15000)</f>
        <v>3.0666666666666668E-4</v>
      </c>
      <c r="C9" s="275">
        <f t="shared" si="0"/>
        <v>1.3910182556026285E-7</v>
      </c>
      <c r="D9" s="17">
        <f>C9*C4</f>
        <v>6.6971341229478704E-2</v>
      </c>
      <c r="E9" t="s">
        <v>498</v>
      </c>
    </row>
    <row r="10" spans="1:6" x14ac:dyDescent="0.25">
      <c r="A10" s="272" t="s">
        <v>509</v>
      </c>
      <c r="B10" s="276">
        <f>'School Bus Table'!W3</f>
        <v>4.2762186115214185</v>
      </c>
      <c r="C10" s="275">
        <f t="shared" si="0"/>
        <v>1.9396624413828317E-3</v>
      </c>
      <c r="D10" s="17">
        <f>C10*$C$2</f>
        <v>8.1465822538078936E-2</v>
      </c>
      <c r="E10" t="s">
        <v>507</v>
      </c>
    </row>
    <row r="11" spans="1:6" x14ac:dyDescent="0.25">
      <c r="A11" s="272" t="s">
        <v>510</v>
      </c>
      <c r="B11" s="276">
        <f>'School Bus Table'!W4</f>
        <v>3.8685376661742987</v>
      </c>
      <c r="C11" s="275">
        <f t="shared" si="0"/>
        <v>1.7547412552613598E-3</v>
      </c>
      <c r="D11" s="17">
        <f>C11*$C$2</f>
        <v>7.3699132720977112E-2</v>
      </c>
      <c r="E11" t="s">
        <v>507</v>
      </c>
    </row>
    <row r="12" spans="1:6" x14ac:dyDescent="0.25">
      <c r="A12" s="272" t="s">
        <v>511</v>
      </c>
      <c r="B12" s="276">
        <f>'School Bus Table'!W5</f>
        <v>3.7917282127031022</v>
      </c>
      <c r="C12" s="275">
        <f t="shared" si="0"/>
        <v>1.7199010317891983E-3</v>
      </c>
      <c r="D12" s="17">
        <f>C12*$C$2</f>
        <v>7.2235843335146321E-2</v>
      </c>
      <c r="E12" t="s">
        <v>507</v>
      </c>
    </row>
    <row r="13" spans="1:6" x14ac:dyDescent="0.25">
      <c r="A13" s="272" t="s">
        <v>512</v>
      </c>
      <c r="B13" s="276">
        <f>'School Bus Table'!W6</f>
        <v>1.6927621861152145</v>
      </c>
      <c r="C13" s="275">
        <f t="shared" si="0"/>
        <v>7.6782492498263396E-4</v>
      </c>
      <c r="D13" s="17">
        <f>C13*$C$2</f>
        <v>3.2248646849270625E-2</v>
      </c>
      <c r="E13" t="s">
        <v>507</v>
      </c>
    </row>
    <row r="14" spans="1:6" x14ac:dyDescent="0.25">
      <c r="A14" s="5" t="s">
        <v>515</v>
      </c>
      <c r="C14" s="275"/>
    </row>
    <row r="15" spans="1:6" x14ac:dyDescent="0.25">
      <c r="A15" s="272" t="s">
        <v>452</v>
      </c>
      <c r="B15">
        <f>210/(15*15000)</f>
        <v>9.3333333333333332E-4</v>
      </c>
      <c r="C15" s="275">
        <f>B15/2204.62</f>
        <v>4.233533821399304E-7</v>
      </c>
      <c r="D15" s="76">
        <f>C15*$C$3</f>
        <v>4.2293857885138172E-3</v>
      </c>
      <c r="E15" t="s">
        <v>498</v>
      </c>
    </row>
    <row r="16" spans="1:6" x14ac:dyDescent="0.25">
      <c r="A16" s="272" t="s">
        <v>453</v>
      </c>
      <c r="B16" s="12">
        <f>69/(15*15000)</f>
        <v>3.0666666666666668E-4</v>
      </c>
      <c r="C16" s="275">
        <f>B16/2204.62</f>
        <v>1.3910182556026285E-7</v>
      </c>
      <c r="D16" s="69">
        <f>C16*$C$4</f>
        <v>6.6971341229478704E-2</v>
      </c>
      <c r="E16" t="s">
        <v>498</v>
      </c>
    </row>
    <row r="17" spans="1:5" x14ac:dyDescent="0.25">
      <c r="A17" s="272" t="s">
        <v>513</v>
      </c>
      <c r="B17" s="137">
        <f>'School Bus Table'!W8</f>
        <v>3.9406779661016955</v>
      </c>
      <c r="C17" s="275">
        <f>B17/2204.62</f>
        <v>1.7874635837929872E-3</v>
      </c>
      <c r="D17" s="69">
        <f>C17*$C$2</f>
        <v>7.5073470519305463E-2</v>
      </c>
      <c r="E17" t="s">
        <v>507</v>
      </c>
    </row>
    <row r="18" spans="1:5" x14ac:dyDescent="0.25">
      <c r="A18" s="272" t="s">
        <v>514</v>
      </c>
      <c r="B18" s="137">
        <f>'School Bus Table'!W9</f>
        <v>1.5572033898305084</v>
      </c>
      <c r="C18" s="275">
        <f>B18/2204.62</f>
        <v>7.06336416176261E-4</v>
      </c>
      <c r="D18" s="69">
        <f>C18*C2</f>
        <v>2.9666129479402961E-2</v>
      </c>
      <c r="E18" t="s">
        <v>507</v>
      </c>
    </row>
    <row r="19" spans="1:5" x14ac:dyDescent="0.25">
      <c r="A19" s="5" t="s">
        <v>516</v>
      </c>
      <c r="C19" s="275"/>
    </row>
    <row r="20" spans="1:5" x14ac:dyDescent="0.25">
      <c r="A20" s="272" t="s">
        <v>452</v>
      </c>
      <c r="B20" s="12">
        <f>97/(15*15000)</f>
        <v>4.3111111111111112E-4</v>
      </c>
      <c r="C20" s="275">
        <f t="shared" ref="C20:C26" si="1">B20/2204.62</f>
        <v>1.9554894317892023E-7</v>
      </c>
      <c r="D20" s="76">
        <f>C20*$C$3</f>
        <v>1.9535734356468585E-3</v>
      </c>
      <c r="E20" t="s">
        <v>498</v>
      </c>
    </row>
    <row r="21" spans="1:5" x14ac:dyDescent="0.25">
      <c r="A21" s="272" t="s">
        <v>453</v>
      </c>
      <c r="B21" s="12">
        <f>73/(15*15000)</f>
        <v>3.2444444444444442E-4</v>
      </c>
      <c r="C21" s="275">
        <f t="shared" si="1"/>
        <v>1.4716569950578532E-7</v>
      </c>
      <c r="D21" s="69">
        <f>C21*$C$4</f>
        <v>7.085373782249195E-2</v>
      </c>
      <c r="E21" t="s">
        <v>498</v>
      </c>
    </row>
    <row r="22" spans="1:5" x14ac:dyDescent="0.25">
      <c r="A22" s="272" t="s">
        <v>504</v>
      </c>
      <c r="B22" s="137">
        <f>'School Bus Table'!W7</f>
        <v>3.7867298578199056</v>
      </c>
      <c r="C22" s="275">
        <f t="shared" si="1"/>
        <v>1.7176338134553373E-3</v>
      </c>
      <c r="D22" s="69">
        <f>C22*$C$2</f>
        <v>7.2140620165124167E-2</v>
      </c>
      <c r="E22" t="s">
        <v>507</v>
      </c>
    </row>
    <row r="23" spans="1:5" x14ac:dyDescent="0.25">
      <c r="A23" s="5" t="s">
        <v>517</v>
      </c>
      <c r="B23" s="12"/>
      <c r="C23" s="275"/>
    </row>
    <row r="24" spans="1:5" x14ac:dyDescent="0.25">
      <c r="A24" s="272" t="s">
        <v>518</v>
      </c>
      <c r="B24" s="360">
        <f>49/(15*15000)</f>
        <v>2.1777777777777778E-4</v>
      </c>
      <c r="C24" s="275">
        <f t="shared" si="1"/>
        <v>9.8782455832650434E-8</v>
      </c>
      <c r="D24" s="76">
        <f>C24*C3</f>
        <v>9.8685668398655743E-4</v>
      </c>
      <c r="E24" t="s">
        <v>498</v>
      </c>
    </row>
    <row r="25" spans="1:5" x14ac:dyDescent="0.25">
      <c r="A25" s="272" t="s">
        <v>519</v>
      </c>
      <c r="B25" s="360">
        <f>6/(15*15000)</f>
        <v>2.6666666666666667E-5</v>
      </c>
      <c r="C25" s="275">
        <f t="shared" si="1"/>
        <v>1.2095810918283726E-8</v>
      </c>
      <c r="D25" s="69">
        <f>C25*C4</f>
        <v>5.8235948895198871E-3</v>
      </c>
      <c r="E25" t="s">
        <v>498</v>
      </c>
    </row>
    <row r="26" spans="1:5" x14ac:dyDescent="0.25">
      <c r="A26" s="272" t="s">
        <v>504</v>
      </c>
      <c r="B26" s="137">
        <f>'School Bus Table'!W10</f>
        <v>1.6131909850330337E-2</v>
      </c>
      <c r="C26" s="275">
        <f t="shared" si="1"/>
        <v>7.3173199237647934E-6</v>
      </c>
      <c r="D26" s="138">
        <f>C26*C2</f>
        <v>3.0732743679812131E-4</v>
      </c>
      <c r="E26" t="s">
        <v>507</v>
      </c>
    </row>
    <row r="27" spans="1:5" x14ac:dyDescent="0.25">
      <c r="A27" s="359" t="s">
        <v>624</v>
      </c>
    </row>
    <row r="28" spans="1:5" x14ac:dyDescent="0.25">
      <c r="A28" s="272" t="s">
        <v>452</v>
      </c>
      <c r="B28">
        <f>242/(15*15000)</f>
        <v>1.0755555555555555E-3</v>
      </c>
      <c r="C28">
        <f>B28/2204.62</f>
        <v>4.8786437370411028E-7</v>
      </c>
      <c r="D28" s="69">
        <f>C28*C3</f>
        <v>4.8738636229540182E-3</v>
      </c>
      <c r="E28" t="s">
        <v>498</v>
      </c>
    </row>
    <row r="29" spans="1:5" x14ac:dyDescent="0.25">
      <c r="A29" s="272" t="s">
        <v>453</v>
      </c>
      <c r="B29">
        <f>73/(15*15000)</f>
        <v>3.2444444444444442E-4</v>
      </c>
      <c r="C29">
        <f>B29/2204.62</f>
        <v>1.4716569950578532E-7</v>
      </c>
      <c r="D29" s="69">
        <f>C29*C4</f>
        <v>7.085373782249195E-2</v>
      </c>
      <c r="E29" t="s">
        <v>498</v>
      </c>
    </row>
    <row r="30" spans="1:5" x14ac:dyDescent="0.25">
      <c r="A30" s="272" t="s">
        <v>504</v>
      </c>
      <c r="B30" s="137">
        <f>'School Bus Table'!W12</f>
        <v>4.0595611285266457</v>
      </c>
      <c r="C30">
        <f>B30/2204.6</f>
        <v>1.8414048482838818E-3</v>
      </c>
      <c r="D30" s="69">
        <f>C30*C2</f>
        <v>7.7339003627923036E-2</v>
      </c>
      <c r="E30" t="s">
        <v>507</v>
      </c>
    </row>
    <row r="31" spans="1:5" x14ac:dyDescent="0.25">
      <c r="A31" s="359" t="s">
        <v>740</v>
      </c>
    </row>
    <row r="32" spans="1:5" x14ac:dyDescent="0.25">
      <c r="A32" s="272" t="s">
        <v>452</v>
      </c>
    </row>
    <row r="33" spans="1:5" x14ac:dyDescent="0.25">
      <c r="A33" s="272" t="s">
        <v>453</v>
      </c>
    </row>
    <row r="34" spans="1:5" x14ac:dyDescent="0.25">
      <c r="A34" s="272" t="s">
        <v>504</v>
      </c>
      <c r="B34" s="137">
        <f>'School Bus Table'!Z9</f>
        <v>1.8388625592417063</v>
      </c>
      <c r="C34">
        <f>B34/2204.62</f>
        <v>8.3409501829871191E-4</v>
      </c>
      <c r="D34" s="69">
        <f>C34*C2</f>
        <v>3.5031990768545899E-2</v>
      </c>
      <c r="E34" t="s">
        <v>507</v>
      </c>
    </row>
  </sheetData>
  <hyperlinks>
    <hyperlink ref="E3" r:id="rId1" xr:uid="{C630FE2B-A8E3-4561-80F1-3B3B12957915}"/>
    <hyperlink ref="E4" r:id="rId2" xr:uid="{07301AED-06DB-4FE1-B861-ADF39568FD4A}"/>
    <hyperlink ref="E5" r:id="rId3" xr:uid="{483E1A79-299D-444B-9AAF-5B87BCD2F2EC}"/>
    <hyperlink ref="E2" r:id="rId4" display="https://19january2017snapshot.epa.gov/sites/production/files/2016-12/documents/sc_co2_tsd_august_2016.pdf" xr:uid="{A5745B64-E922-4F6D-AD3F-F79E3FEB9394}"/>
  </hyperlinks>
  <pageMargins left="0.7" right="0.7" top="0.75" bottom="0.75" header="0.3" footer="0.3"/>
  <pageSetup orientation="portrait" r:id="rId5"/>
  <legacy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FE11-B8C1-4F11-A5F5-963515EA167D}">
  <sheetPr codeName="Sheet15"/>
  <dimension ref="A1:M43"/>
  <sheetViews>
    <sheetView topLeftCell="A4" workbookViewId="0">
      <selection activeCell="Q11" sqref="Q11"/>
    </sheetView>
  </sheetViews>
  <sheetFormatPr defaultRowHeight="15" x14ac:dyDescent="0.25"/>
  <sheetData>
    <row r="1" spans="1:13" x14ac:dyDescent="0.25">
      <c r="A1" s="5" t="s">
        <v>442</v>
      </c>
      <c r="B1" s="5" t="s">
        <v>443</v>
      </c>
    </row>
    <row r="2" spans="1:13" x14ac:dyDescent="0.25">
      <c r="B2" s="249">
        <v>2.4E-2</v>
      </c>
      <c r="C2" s="5" t="s">
        <v>832</v>
      </c>
    </row>
    <row r="3" spans="1:13" x14ac:dyDescent="0.25">
      <c r="B3" s="133" t="s">
        <v>833</v>
      </c>
      <c r="C3" s="612"/>
      <c r="D3" s="398"/>
    </row>
    <row r="4" spans="1:13" x14ac:dyDescent="0.25">
      <c r="B4" s="613"/>
      <c r="C4" s="613"/>
      <c r="D4" s="614"/>
      <c r="E4" s="133"/>
    </row>
    <row r="5" spans="1:13" x14ac:dyDescent="0.25">
      <c r="B5" s="613"/>
      <c r="C5" s="615"/>
      <c r="D5" s="398"/>
      <c r="F5" s="235"/>
    </row>
    <row r="6" spans="1:13" x14ac:dyDescent="0.25">
      <c r="B6" s="613"/>
      <c r="C6" s="615"/>
      <c r="D6" s="398"/>
      <c r="K6" t="s">
        <v>834</v>
      </c>
      <c r="M6" s="428">
        <f>51.9%/22</f>
        <v>2.3590909090909093E-2</v>
      </c>
    </row>
    <row r="7" spans="1:13" x14ac:dyDescent="0.25">
      <c r="B7" s="613"/>
      <c r="C7" s="615"/>
      <c r="D7" s="398"/>
    </row>
    <row r="8" spans="1:13" x14ac:dyDescent="0.25">
      <c r="B8" s="613"/>
      <c r="C8" s="615"/>
      <c r="D8" s="398"/>
    </row>
    <row r="9" spans="1:13" x14ac:dyDescent="0.25">
      <c r="B9" s="613"/>
      <c r="C9" s="615"/>
      <c r="D9" s="398"/>
    </row>
    <row r="10" spans="1:13" x14ac:dyDescent="0.25">
      <c r="B10" s="613"/>
      <c r="C10" s="615"/>
      <c r="D10" s="398"/>
    </row>
    <row r="11" spans="1:13" x14ac:dyDescent="0.25">
      <c r="B11" s="613"/>
      <c r="C11" s="615"/>
      <c r="D11" s="398"/>
    </row>
    <row r="12" spans="1:13" x14ac:dyDescent="0.25">
      <c r="B12" s="613"/>
      <c r="C12" s="615"/>
      <c r="D12" s="398"/>
    </row>
    <row r="13" spans="1:13" x14ac:dyDescent="0.25">
      <c r="B13" s="613"/>
      <c r="C13" s="615"/>
      <c r="D13" s="398"/>
    </row>
    <row r="14" spans="1:13" x14ac:dyDescent="0.25">
      <c r="B14" s="613"/>
      <c r="C14" s="615"/>
      <c r="D14" s="398"/>
    </row>
    <row r="15" spans="1:13" x14ac:dyDescent="0.25">
      <c r="B15" s="613"/>
      <c r="C15" s="615"/>
      <c r="D15" s="398"/>
    </row>
    <row r="16" spans="1:13" x14ac:dyDescent="0.25">
      <c r="B16" s="613"/>
      <c r="C16" s="615"/>
      <c r="D16" s="398"/>
    </row>
    <row r="17" spans="2:4" x14ac:dyDescent="0.25">
      <c r="B17" s="613"/>
      <c r="C17" s="615"/>
      <c r="D17" s="398"/>
    </row>
    <row r="18" spans="2:4" x14ac:dyDescent="0.25">
      <c r="B18" s="613"/>
      <c r="C18" s="615"/>
      <c r="D18" s="398"/>
    </row>
    <row r="19" spans="2:4" x14ac:dyDescent="0.25">
      <c r="B19" s="613"/>
      <c r="C19" s="615"/>
      <c r="D19" s="398"/>
    </row>
    <row r="20" spans="2:4" x14ac:dyDescent="0.25">
      <c r="B20" s="613"/>
      <c r="C20" s="615"/>
      <c r="D20" s="398"/>
    </row>
    <row r="21" spans="2:4" x14ac:dyDescent="0.25">
      <c r="B21" s="613"/>
      <c r="C21" s="615"/>
      <c r="D21" s="398"/>
    </row>
    <row r="22" spans="2:4" x14ac:dyDescent="0.25">
      <c r="B22" s="613"/>
      <c r="C22" s="615"/>
      <c r="D22" s="398"/>
    </row>
    <row r="23" spans="2:4" x14ac:dyDescent="0.25">
      <c r="B23" s="613"/>
      <c r="C23" s="615"/>
      <c r="D23" s="398"/>
    </row>
    <row r="24" spans="2:4" x14ac:dyDescent="0.25">
      <c r="B24" s="613"/>
      <c r="C24" s="615"/>
      <c r="D24" s="398"/>
    </row>
    <row r="25" spans="2:4" x14ac:dyDescent="0.25">
      <c r="B25" s="613"/>
      <c r="C25" s="615"/>
      <c r="D25" s="398"/>
    </row>
    <row r="26" spans="2:4" x14ac:dyDescent="0.25">
      <c r="B26" s="613"/>
      <c r="C26" s="615"/>
      <c r="D26" s="398"/>
    </row>
    <row r="27" spans="2:4" x14ac:dyDescent="0.25">
      <c r="B27" s="613"/>
      <c r="C27" s="615"/>
      <c r="D27" s="398"/>
    </row>
    <row r="28" spans="2:4" x14ac:dyDescent="0.25">
      <c r="B28" s="613"/>
      <c r="C28" s="615"/>
      <c r="D28" s="398"/>
    </row>
    <row r="29" spans="2:4" x14ac:dyDescent="0.25">
      <c r="B29" s="613"/>
      <c r="C29" s="615"/>
      <c r="D29" s="398"/>
    </row>
    <row r="30" spans="2:4" x14ac:dyDescent="0.25">
      <c r="B30" s="613"/>
      <c r="C30" s="615"/>
      <c r="D30" s="398"/>
    </row>
    <row r="31" spans="2:4" x14ac:dyDescent="0.25">
      <c r="B31" s="613"/>
      <c r="C31" s="615"/>
      <c r="D31" s="398"/>
    </row>
    <row r="32" spans="2:4" x14ac:dyDescent="0.25">
      <c r="B32" s="613"/>
      <c r="C32" s="615"/>
      <c r="D32" s="398"/>
    </row>
    <row r="33" spans="2:4" x14ac:dyDescent="0.25">
      <c r="B33" s="613"/>
      <c r="C33" s="615"/>
      <c r="D33" s="398"/>
    </row>
    <row r="34" spans="2:4" x14ac:dyDescent="0.25">
      <c r="B34" s="613"/>
      <c r="C34" s="615"/>
      <c r="D34" s="398"/>
    </row>
    <row r="35" spans="2:4" x14ac:dyDescent="0.25">
      <c r="B35" s="613"/>
      <c r="C35" s="615"/>
      <c r="D35" s="398"/>
    </row>
    <row r="36" spans="2:4" x14ac:dyDescent="0.25">
      <c r="B36" s="613"/>
      <c r="C36" s="615"/>
      <c r="D36" s="398"/>
    </row>
    <row r="37" spans="2:4" x14ac:dyDescent="0.25">
      <c r="B37" s="613"/>
      <c r="C37" s="615"/>
      <c r="D37" s="398"/>
    </row>
    <row r="38" spans="2:4" x14ac:dyDescent="0.25">
      <c r="B38" s="613"/>
      <c r="C38" s="615"/>
      <c r="D38" s="398"/>
    </row>
    <row r="39" spans="2:4" x14ac:dyDescent="0.25">
      <c r="B39" s="613"/>
      <c r="C39" s="615"/>
      <c r="D39" s="398"/>
    </row>
    <row r="40" spans="2:4" x14ac:dyDescent="0.25">
      <c r="B40" s="613"/>
      <c r="C40" s="615"/>
      <c r="D40" s="398"/>
    </row>
    <row r="41" spans="2:4" x14ac:dyDescent="0.25">
      <c r="B41" s="613"/>
      <c r="C41" s="615"/>
      <c r="D41" s="398"/>
    </row>
    <row r="42" spans="2:4" x14ac:dyDescent="0.25">
      <c r="B42" s="616"/>
      <c r="C42" s="617"/>
      <c r="D42" s="618"/>
    </row>
    <row r="43" spans="2:4" x14ac:dyDescent="0.25">
      <c r="B43" s="616"/>
      <c r="C43" s="617"/>
      <c r="D43" s="618"/>
    </row>
  </sheetData>
  <hyperlinks>
    <hyperlink ref="B3" r:id="rId1" display="https://www.usinflationcalculator.com/" xr:uid="{0149C931-CDF8-4114-8086-3468914162FF}"/>
  </hyperlink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DADB-A93E-4F79-91F2-2159D4E25101}">
  <sheetPr codeName="Sheet16"/>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9BD8-6D51-4A3D-8543-9E46D566B4E5}">
  <sheetPr codeName="Sheet2">
    <tabColor theme="4" tint="-0.249977111117893"/>
  </sheetPr>
  <dimension ref="A1:G46"/>
  <sheetViews>
    <sheetView showGridLines="0" view="pageLayout" zoomScale="75" zoomScaleNormal="100" zoomScalePageLayoutView="75" workbookViewId="0">
      <selection activeCell="B5" sqref="B5"/>
    </sheetView>
  </sheetViews>
  <sheetFormatPr defaultRowHeight="15" x14ac:dyDescent="0.25"/>
  <cols>
    <col min="1" max="1" width="42.7109375" customWidth="1"/>
    <col min="2" max="3" width="27.140625" customWidth="1"/>
    <col min="4" max="4" width="42.7109375" customWidth="1"/>
    <col min="5" max="6" width="27.140625" customWidth="1"/>
  </cols>
  <sheetData>
    <row r="1" spans="1:7" ht="38.25" customHeight="1" x14ac:dyDescent="0.25">
      <c r="A1" s="770" t="s">
        <v>835</v>
      </c>
      <c r="B1" s="770"/>
      <c r="C1" s="770"/>
      <c r="D1" s="770"/>
      <c r="E1" s="770"/>
      <c r="F1" s="770"/>
      <c r="G1" s="665"/>
    </row>
    <row r="2" spans="1:7" ht="104.25" customHeight="1" x14ac:dyDescent="0.25">
      <c r="A2" s="778" t="s">
        <v>858</v>
      </c>
      <c r="B2" s="779"/>
      <c r="C2" s="779"/>
      <c r="D2" s="779"/>
      <c r="E2" s="779"/>
      <c r="F2" s="779"/>
      <c r="G2" s="665"/>
    </row>
    <row r="3" spans="1:7" ht="15.75" thickBot="1" x14ac:dyDescent="0.3">
      <c r="A3" s="666"/>
      <c r="B3" s="780" t="s">
        <v>866</v>
      </c>
      <c r="C3" s="781"/>
      <c r="D3" s="667"/>
      <c r="E3" s="782" t="s">
        <v>867</v>
      </c>
      <c r="F3" s="782"/>
      <c r="G3" s="665"/>
    </row>
    <row r="4" spans="1:7" ht="15.75" thickTop="1" x14ac:dyDescent="0.25">
      <c r="A4" s="783" t="s">
        <v>784</v>
      </c>
      <c r="B4" s="784"/>
      <c r="C4" s="785"/>
      <c r="D4" s="783" t="s">
        <v>785</v>
      </c>
      <c r="E4" s="784"/>
      <c r="F4" s="786"/>
      <c r="G4" s="665"/>
    </row>
    <row r="5" spans="1:7" ht="30.6" customHeight="1" x14ac:dyDescent="0.25">
      <c r="A5" s="668" t="s">
        <v>777</v>
      </c>
      <c r="B5" s="720" t="s">
        <v>1</v>
      </c>
      <c r="C5" s="669"/>
      <c r="D5" s="668" t="s">
        <v>777</v>
      </c>
      <c r="E5" s="720" t="s">
        <v>154</v>
      </c>
      <c r="F5" s="670"/>
      <c r="G5" s="665"/>
    </row>
    <row r="6" spans="1:7" ht="15.75" thickBot="1" x14ac:dyDescent="0.3">
      <c r="A6" s="773" t="s">
        <v>778</v>
      </c>
      <c r="B6" s="774"/>
      <c r="C6" s="775"/>
      <c r="D6" s="773" t="s">
        <v>779</v>
      </c>
      <c r="E6" s="774"/>
      <c r="F6" s="775"/>
      <c r="G6" s="665"/>
    </row>
    <row r="7" spans="1:7" s="460" customFormat="1" ht="60.75" thickBot="1" x14ac:dyDescent="0.3">
      <c r="A7" s="671" t="s">
        <v>868</v>
      </c>
      <c r="B7" s="672" t="s">
        <v>775</v>
      </c>
      <c r="C7" s="673" t="s">
        <v>776</v>
      </c>
      <c r="D7" s="674" t="s">
        <v>868</v>
      </c>
      <c r="E7" s="672" t="s">
        <v>775</v>
      </c>
      <c r="F7" s="673" t="s">
        <v>776</v>
      </c>
      <c r="G7" s="675"/>
    </row>
    <row r="8" spans="1:7" ht="15.75" thickTop="1" x14ac:dyDescent="0.25">
      <c r="A8" s="676" t="s">
        <v>2</v>
      </c>
      <c r="B8" s="738">
        <f>C8</f>
        <v>91250</v>
      </c>
      <c r="C8" s="677">
        <f>VLOOKUP(B5,'Default Data'!A2:AI10,2,FALSE)</f>
        <v>91250</v>
      </c>
      <c r="D8" s="678" t="s">
        <v>2</v>
      </c>
      <c r="E8" s="721">
        <f>250000</f>
        <v>250000</v>
      </c>
      <c r="F8" s="679">
        <f>VLOOKUP(E5,'Default Data'!A2:AI10,2,FALSE)</f>
        <v>330000</v>
      </c>
      <c r="G8" s="665"/>
    </row>
    <row r="9" spans="1:7" x14ac:dyDescent="0.25">
      <c r="A9" s="676" t="s">
        <v>864</v>
      </c>
      <c r="B9" s="722" t="s">
        <v>719</v>
      </c>
      <c r="C9" s="680"/>
      <c r="D9" s="678" t="s">
        <v>766</v>
      </c>
      <c r="E9" s="722" t="s">
        <v>718</v>
      </c>
      <c r="F9" s="680"/>
      <c r="G9" s="665"/>
    </row>
    <row r="10" spans="1:7" x14ac:dyDescent="0.25">
      <c r="A10" s="676" t="s">
        <v>863</v>
      </c>
      <c r="B10" s="739">
        <v>0</v>
      </c>
      <c r="C10" s="680"/>
      <c r="D10" s="681"/>
      <c r="E10" s="723">
        <v>0</v>
      </c>
      <c r="F10" s="680"/>
      <c r="G10" s="665"/>
    </row>
    <row r="11" spans="1:7" x14ac:dyDescent="0.25">
      <c r="A11" s="676" t="s">
        <v>790</v>
      </c>
      <c r="B11" s="740">
        <f>Summary!B49</f>
        <v>91250</v>
      </c>
      <c r="C11" s="680"/>
      <c r="D11" s="676" t="s">
        <v>790</v>
      </c>
      <c r="E11" s="724">
        <f>Summary!D49</f>
        <v>200000</v>
      </c>
      <c r="F11" s="680"/>
      <c r="G11" s="665"/>
    </row>
    <row r="12" spans="1:7" x14ac:dyDescent="0.25">
      <c r="A12" s="676" t="s">
        <v>791</v>
      </c>
      <c r="B12" s="741">
        <v>0</v>
      </c>
      <c r="C12" s="680"/>
      <c r="D12" s="676" t="s">
        <v>791</v>
      </c>
      <c r="E12" s="721">
        <v>0</v>
      </c>
      <c r="F12" s="680"/>
      <c r="G12" s="665"/>
    </row>
    <row r="13" spans="1:7" x14ac:dyDescent="0.25">
      <c r="A13" s="676" t="s">
        <v>792</v>
      </c>
      <c r="B13" s="740">
        <f>Summary!B51</f>
        <v>91250</v>
      </c>
      <c r="C13" s="680"/>
      <c r="D13" s="676" t="s">
        <v>792</v>
      </c>
      <c r="E13" s="724">
        <f>E11-E12</f>
        <v>200000</v>
      </c>
      <c r="F13" s="680"/>
      <c r="G13" s="665"/>
    </row>
    <row r="14" spans="1:7" x14ac:dyDescent="0.25">
      <c r="A14" s="676" t="s">
        <v>3</v>
      </c>
      <c r="B14" s="742">
        <v>5</v>
      </c>
      <c r="C14" s="669"/>
      <c r="D14" s="678" t="s">
        <v>3</v>
      </c>
      <c r="E14" s="725">
        <v>5</v>
      </c>
      <c r="F14" s="669"/>
      <c r="G14" s="665"/>
    </row>
    <row r="15" spans="1:7" x14ac:dyDescent="0.25">
      <c r="A15" s="676" t="s">
        <v>4</v>
      </c>
      <c r="B15" s="743">
        <f>B13*B14</f>
        <v>456250</v>
      </c>
      <c r="C15" s="669"/>
      <c r="D15" s="678" t="s">
        <v>4</v>
      </c>
      <c r="E15" s="724">
        <f>E13*B14</f>
        <v>1000000</v>
      </c>
      <c r="F15" s="669"/>
      <c r="G15" s="665"/>
    </row>
    <row r="16" spans="1:7" x14ac:dyDescent="0.25">
      <c r="A16" s="682" t="s">
        <v>865</v>
      </c>
      <c r="B16" s="683"/>
      <c r="C16" s="684"/>
      <c r="D16" s="682"/>
      <c r="E16" s="683"/>
      <c r="F16" s="684"/>
      <c r="G16" s="665"/>
    </row>
    <row r="17" spans="1:7" ht="15.75" thickBot="1" x14ac:dyDescent="0.3">
      <c r="A17" s="773" t="s">
        <v>780</v>
      </c>
      <c r="B17" s="774"/>
      <c r="C17" s="775"/>
      <c r="D17" s="773" t="s">
        <v>781</v>
      </c>
      <c r="E17" s="774"/>
      <c r="F17" s="775"/>
      <c r="G17" s="665"/>
    </row>
    <row r="18" spans="1:7" s="460" customFormat="1" ht="60.75" thickBot="1" x14ac:dyDescent="0.3">
      <c r="A18" s="685"/>
      <c r="B18" s="672" t="s">
        <v>775</v>
      </c>
      <c r="C18" s="673" t="s">
        <v>776</v>
      </c>
      <c r="D18" s="686"/>
      <c r="E18" s="672" t="s">
        <v>775</v>
      </c>
      <c r="F18" s="673" t="s">
        <v>776</v>
      </c>
      <c r="G18" s="675"/>
    </row>
    <row r="19" spans="1:7" ht="15.75" thickTop="1" x14ac:dyDescent="0.25">
      <c r="A19" s="687" t="s">
        <v>649</v>
      </c>
      <c r="B19" s="737">
        <f>C19</f>
        <v>0</v>
      </c>
      <c r="C19" s="688">
        <f>VLOOKUP(B5,'Default Data'!A2:AI10,17,FALSE)</f>
        <v>0</v>
      </c>
      <c r="D19" s="687" t="s">
        <v>649</v>
      </c>
      <c r="E19" s="721">
        <f>F19</f>
        <v>111250</v>
      </c>
      <c r="F19" s="679">
        <f>VLOOKUP(E5,'Default Data'!A2:AI10,17,FALSE)</f>
        <v>111250</v>
      </c>
      <c r="G19" s="665"/>
    </row>
    <row r="20" spans="1:7" s="621" customFormat="1" ht="105" customHeight="1" x14ac:dyDescent="0.25">
      <c r="A20" s="689"/>
      <c r="B20" s="689"/>
      <c r="C20" s="689"/>
      <c r="D20" s="689"/>
      <c r="E20" s="689"/>
      <c r="F20" s="689"/>
      <c r="G20" s="690"/>
    </row>
    <row r="21" spans="1:7" ht="15.75" thickBot="1" x14ac:dyDescent="0.3">
      <c r="A21" s="773" t="s">
        <v>774</v>
      </c>
      <c r="B21" s="774"/>
      <c r="C21" s="775"/>
      <c r="D21" s="773" t="s">
        <v>786</v>
      </c>
      <c r="E21" s="774"/>
      <c r="F21" s="775"/>
      <c r="G21" s="665"/>
    </row>
    <row r="22" spans="1:7" s="460" customFormat="1" ht="60.75" thickBot="1" x14ac:dyDescent="0.3">
      <c r="A22" s="685"/>
      <c r="B22" s="672" t="s">
        <v>787</v>
      </c>
      <c r="C22" s="691" t="s">
        <v>776</v>
      </c>
      <c r="D22" s="692"/>
      <c r="E22" s="693"/>
      <c r="F22" s="694"/>
      <c r="G22" s="675"/>
    </row>
    <row r="23" spans="1:7" ht="15.75" thickTop="1" x14ac:dyDescent="0.25">
      <c r="A23" s="676" t="s">
        <v>5</v>
      </c>
      <c r="B23" s="734">
        <v>15000</v>
      </c>
      <c r="C23" s="695"/>
      <c r="D23" s="696"/>
      <c r="E23" s="695"/>
      <c r="F23" s="695"/>
      <c r="G23" s="665"/>
    </row>
    <row r="24" spans="1:7" x14ac:dyDescent="0.25">
      <c r="A24" s="676" t="s">
        <v>6</v>
      </c>
      <c r="B24" s="735">
        <f>B14*B23</f>
        <v>75000</v>
      </c>
      <c r="C24" s="697"/>
      <c r="D24" s="696"/>
      <c r="E24" s="698"/>
      <c r="F24" s="697"/>
      <c r="G24" s="665"/>
    </row>
    <row r="25" spans="1:7" x14ac:dyDescent="0.25">
      <c r="A25" s="676" t="s">
        <v>7</v>
      </c>
      <c r="B25" s="736">
        <f>C25</f>
        <v>2.4E-2</v>
      </c>
      <c r="C25" s="699">
        <f>CPI!B2</f>
        <v>2.4E-2</v>
      </c>
      <c r="D25" s="696"/>
      <c r="E25" s="700"/>
      <c r="F25" s="700"/>
      <c r="G25" s="665"/>
    </row>
    <row r="26" spans="1:7" ht="24" customHeight="1" x14ac:dyDescent="0.25">
      <c r="A26" s="690"/>
      <c r="B26" s="690"/>
      <c r="C26" s="701"/>
      <c r="D26" s="690"/>
      <c r="E26" s="690"/>
      <c r="F26" s="701"/>
      <c r="G26" s="665"/>
    </row>
    <row r="27" spans="1:7" ht="15.75" thickBot="1" x14ac:dyDescent="0.3">
      <c r="A27" s="773" t="s">
        <v>782</v>
      </c>
      <c r="B27" s="776"/>
      <c r="C27" s="777"/>
      <c r="D27" s="773" t="s">
        <v>783</v>
      </c>
      <c r="E27" s="776"/>
      <c r="F27" s="777"/>
      <c r="G27" s="665"/>
    </row>
    <row r="28" spans="1:7" s="460" customFormat="1" ht="60.75" thickBot="1" x14ac:dyDescent="0.3">
      <c r="A28" s="685"/>
      <c r="B28" s="672" t="s">
        <v>775</v>
      </c>
      <c r="C28" s="673" t="s">
        <v>776</v>
      </c>
      <c r="D28" s="686"/>
      <c r="E28" s="672" t="s">
        <v>775</v>
      </c>
      <c r="F28" s="673" t="s">
        <v>776</v>
      </c>
      <c r="G28" s="675"/>
    </row>
    <row r="29" spans="1:7" ht="15.75" thickTop="1" x14ac:dyDescent="0.25">
      <c r="A29" s="676" t="s">
        <v>710</v>
      </c>
      <c r="B29" s="730">
        <f>C29</f>
        <v>0.47751442307692304</v>
      </c>
      <c r="C29" s="702">
        <f>VLOOKUP(B5,'Default Data'!A2:AI10,13,FALSE)</f>
        <v>0.47751442307692304</v>
      </c>
      <c r="D29" s="676" t="s">
        <v>710</v>
      </c>
      <c r="E29" s="726">
        <f>F29</f>
        <v>0.43</v>
      </c>
      <c r="F29" s="703">
        <f>VLOOKUP(E5,'Default Data'!A2:AI10,13,FALSE)</f>
        <v>0.43</v>
      </c>
      <c r="G29" s="665"/>
    </row>
    <row r="30" spans="1:7" x14ac:dyDescent="0.25">
      <c r="A30" s="676" t="s">
        <v>711</v>
      </c>
      <c r="B30" s="731">
        <f>C30</f>
        <v>6.77</v>
      </c>
      <c r="C30" s="704">
        <f>VLOOKUP(B5,'Default Data'!A2:AI11,8,FALSE)</f>
        <v>6.77</v>
      </c>
      <c r="D30" s="676" t="s">
        <v>711</v>
      </c>
      <c r="E30" s="726">
        <f>F30</f>
        <v>1.86</v>
      </c>
      <c r="F30" s="704">
        <f>VLOOKUP(E5,'Default Data'!A2:AI11,8,FALSE)</f>
        <v>1.86</v>
      </c>
      <c r="G30" s="665"/>
    </row>
    <row r="31" spans="1:7" ht="29.45" customHeight="1" x14ac:dyDescent="0.25">
      <c r="A31" s="705" t="s">
        <v>709</v>
      </c>
      <c r="B31" s="732">
        <f>C31</f>
        <v>7.5599999999999999E-3</v>
      </c>
      <c r="C31" s="702">
        <f>VLOOKUP(B5,'Default Data'!A2:AI10,12,FALSE)</f>
        <v>7.5599999999999999E-3</v>
      </c>
      <c r="D31" s="705" t="s">
        <v>709</v>
      </c>
      <c r="E31" s="726">
        <f>F31</f>
        <v>0</v>
      </c>
      <c r="F31" s="706">
        <f>VLOOKUP(E5,'Default Data'!A2:AI10,12,FALSE)</f>
        <v>0</v>
      </c>
      <c r="G31" s="665"/>
    </row>
    <row r="32" spans="1:7" x14ac:dyDescent="0.25">
      <c r="A32" s="676" t="s">
        <v>876</v>
      </c>
      <c r="B32" s="730">
        <f>C32</f>
        <v>2.2000000000000002</v>
      </c>
      <c r="C32" s="702">
        <f>VLOOKUP(B5,'Default Data'!A2:AI10,7,FALSE)</f>
        <v>2.2000000000000002</v>
      </c>
      <c r="D32" s="676" t="s">
        <v>876</v>
      </c>
      <c r="E32" s="726">
        <f>F32</f>
        <v>0.23</v>
      </c>
      <c r="F32" s="707">
        <f>VLOOKUP(E5,'Default Data'!A2:AI10,7,FALSE)</f>
        <v>0.23</v>
      </c>
      <c r="G32" s="665"/>
    </row>
    <row r="33" spans="1:7" ht="15.75" thickBot="1" x14ac:dyDescent="0.3">
      <c r="A33" s="708" t="s">
        <v>716</v>
      </c>
      <c r="B33" s="733">
        <v>0.02</v>
      </c>
      <c r="C33" s="709">
        <f>VLOOKUP(B5,'Default Data'!A2:AI10,15,FALSE)</f>
        <v>0.02</v>
      </c>
      <c r="D33" s="676" t="s">
        <v>716</v>
      </c>
      <c r="E33" s="727">
        <f>F33</f>
        <v>5.3539721642528748E-4</v>
      </c>
      <c r="F33" s="710">
        <f>VLOOKUP(E5,'Default Data'!A2:AI10,15,FALSE)</f>
        <v>5.3539721642528748E-4</v>
      </c>
      <c r="G33" s="665"/>
    </row>
    <row r="34" spans="1:7" ht="16.5" thickTop="1" thickBot="1" x14ac:dyDescent="0.3">
      <c r="A34" s="711"/>
      <c r="B34" s="712"/>
      <c r="C34" s="665"/>
      <c r="D34" s="681" t="s">
        <v>788</v>
      </c>
      <c r="E34" s="728" t="s">
        <v>9</v>
      </c>
      <c r="F34" s="713"/>
      <c r="G34" s="665"/>
    </row>
    <row r="35" spans="1:7" ht="48.75" x14ac:dyDescent="0.25">
      <c r="A35" s="714"/>
      <c r="B35" s="665"/>
      <c r="C35" s="665"/>
      <c r="D35" s="715" t="s">
        <v>869</v>
      </c>
      <c r="E35" s="729" t="s">
        <v>718</v>
      </c>
      <c r="F35" s="713"/>
      <c r="G35" s="665"/>
    </row>
    <row r="36" spans="1:7" x14ac:dyDescent="0.25">
      <c r="A36" s="665"/>
      <c r="B36" s="665"/>
      <c r="C36" s="716"/>
      <c r="D36" s="771" t="s">
        <v>789</v>
      </c>
      <c r="E36" s="772"/>
      <c r="F36" s="717">
        <v>128.08000000000001</v>
      </c>
      <c r="G36" s="665"/>
    </row>
    <row r="37" spans="1:7" x14ac:dyDescent="0.25">
      <c r="A37" s="718" t="s">
        <v>0</v>
      </c>
      <c r="B37" s="665"/>
      <c r="C37" s="665"/>
      <c r="D37" s="719" t="s">
        <v>870</v>
      </c>
      <c r="E37" s="665"/>
      <c r="F37" s="665"/>
      <c r="G37" s="665"/>
    </row>
    <row r="38" spans="1:7" x14ac:dyDescent="0.25">
      <c r="A38" s="718" t="s">
        <v>818</v>
      </c>
      <c r="B38" s="665"/>
      <c r="C38" s="665"/>
      <c r="D38" s="665"/>
      <c r="E38" s="665"/>
      <c r="F38" s="665"/>
      <c r="G38" s="665"/>
    </row>
    <row r="39" spans="1:7" x14ac:dyDescent="0.25">
      <c r="A39" s="665"/>
      <c r="B39" s="665"/>
      <c r="C39" s="665"/>
      <c r="D39" s="665"/>
      <c r="E39" s="665"/>
      <c r="F39" s="665"/>
      <c r="G39" s="665"/>
    </row>
    <row r="40" spans="1:7" x14ac:dyDescent="0.25">
      <c r="A40" s="665"/>
      <c r="B40" s="665"/>
      <c r="C40" s="665"/>
      <c r="D40" s="665"/>
      <c r="E40" s="665"/>
      <c r="F40" s="665"/>
      <c r="G40" s="665"/>
    </row>
    <row r="41" spans="1:7" x14ac:dyDescent="0.25">
      <c r="A41" s="665"/>
      <c r="B41" s="665"/>
      <c r="C41" s="665"/>
      <c r="D41" s="665"/>
      <c r="E41" s="665"/>
      <c r="F41" s="665"/>
      <c r="G41" s="665"/>
    </row>
    <row r="42" spans="1:7" x14ac:dyDescent="0.25">
      <c r="A42" s="665"/>
      <c r="B42" s="665"/>
      <c r="C42" s="665"/>
      <c r="D42" s="665"/>
      <c r="E42" s="665"/>
      <c r="F42" s="665"/>
      <c r="G42" s="665"/>
    </row>
    <row r="43" spans="1:7" x14ac:dyDescent="0.25">
      <c r="A43" s="665"/>
      <c r="B43" s="665"/>
      <c r="C43" s="665"/>
      <c r="D43" s="665"/>
      <c r="E43" s="665"/>
      <c r="F43" s="665"/>
      <c r="G43" s="665"/>
    </row>
    <row r="44" spans="1:7" x14ac:dyDescent="0.25">
      <c r="A44" s="665"/>
      <c r="B44" s="665"/>
      <c r="C44" s="665"/>
      <c r="D44" s="665"/>
      <c r="E44" s="665"/>
      <c r="F44" s="665"/>
      <c r="G44" s="665"/>
    </row>
    <row r="45" spans="1:7" x14ac:dyDescent="0.25">
      <c r="A45" s="665"/>
      <c r="B45" s="665"/>
      <c r="C45" s="665"/>
      <c r="D45" s="665"/>
      <c r="E45" s="665"/>
      <c r="F45" s="665"/>
      <c r="G45" s="665"/>
    </row>
    <row r="46" spans="1:7" x14ac:dyDescent="0.25">
      <c r="A46" s="665"/>
      <c r="B46" s="665"/>
      <c r="C46" s="665"/>
      <c r="D46" s="665"/>
      <c r="E46" s="665"/>
      <c r="F46" s="665"/>
      <c r="G46" s="665"/>
    </row>
  </sheetData>
  <sheetProtection sheet="1" objects="1" scenarios="1"/>
  <mergeCells count="15">
    <mergeCell ref="A1:F1"/>
    <mergeCell ref="D36:E36"/>
    <mergeCell ref="A6:C6"/>
    <mergeCell ref="A17:C17"/>
    <mergeCell ref="A21:C21"/>
    <mergeCell ref="A27:C27"/>
    <mergeCell ref="D6:F6"/>
    <mergeCell ref="D17:F17"/>
    <mergeCell ref="D21:F21"/>
    <mergeCell ref="A2:F2"/>
    <mergeCell ref="B3:C3"/>
    <mergeCell ref="E3:F3"/>
    <mergeCell ref="D27:F27"/>
    <mergeCell ref="A4:C4"/>
    <mergeCell ref="D4:F4"/>
  </mergeCells>
  <conditionalFormatting sqref="B8">
    <cfRule type="expression" dxfId="0" priority="1">
      <formula>C8</formula>
    </cfRule>
  </conditionalFormatting>
  <dataValidations count="1">
    <dataValidation type="list" allowBlank="1" showInputMessage="1" showErrorMessage="1" sqref="B9 E9" xr:uid="{0123CD2B-7FCD-4A5A-8B7E-9B67D58BF69E}">
      <formula1>"Yes,No"</formula1>
    </dataValidation>
  </dataValidations>
  <printOptions horizontalCentered="1"/>
  <pageMargins left="0.65" right="0.7" top="1.4862804878048801" bottom="0.75" header="0.3" footer="0.3"/>
  <pageSetup paperSize="5" scale="75"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FE41FE26-3598-49EF-9A0D-A1DA02D7C3F6}">
          <x14:formula1>
            <xm:f>'CIs for 2020'!$A$7:$A$53</xm:f>
          </x14:formula1>
          <xm:sqref>E34</xm:sqref>
        </x14:dataValidation>
        <x14:dataValidation type="list" allowBlank="1" showInputMessage="1" showErrorMessage="1" xr:uid="{398C2ADA-E4E4-4634-A39A-EDAE00FF7223}">
          <x14:formula1>
            <xm:f>'Default Data'!$E$32:$E$40</xm:f>
          </x14:formula1>
          <xm:sqref>E5</xm:sqref>
        </x14:dataValidation>
        <x14:dataValidation type="list" allowBlank="1" showInputMessage="1" showErrorMessage="1" xr:uid="{4F7B9001-60A0-45C8-A7D4-F876B2032666}">
          <x14:formula1>
            <xm:f>'School Bus Table'!$Y$3:$Y$4</xm:f>
          </x14:formula1>
          <xm:sqref>B34 E35</xm:sqref>
        </x14:dataValidation>
        <x14:dataValidation type="list" allowBlank="1" showInputMessage="1" showErrorMessage="1" xr:uid="{267F2D36-6154-461C-815A-DFAE32D596E9}">
          <x14:formula1>
            <xm:f>'Default Data'!$A$32:$A$36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EBEE-BB93-4355-A4FE-F1CAEC16784B}">
  <sheetPr codeName="Sheet3">
    <tabColor theme="4" tint="-0.249977111117893"/>
  </sheetPr>
  <dimension ref="A1:S149"/>
  <sheetViews>
    <sheetView showGridLines="0" view="pageLayout" zoomScale="41" zoomScaleNormal="70" zoomScalePageLayoutView="41" workbookViewId="0">
      <selection sqref="A1:XFD1"/>
    </sheetView>
  </sheetViews>
  <sheetFormatPr defaultRowHeight="15" x14ac:dyDescent="0.25"/>
  <cols>
    <col min="1" max="1" width="42.140625" customWidth="1"/>
    <col min="2" max="3" width="22.42578125" customWidth="1"/>
    <col min="4" max="4" width="18.7109375" customWidth="1"/>
    <col min="5" max="5" width="11.85546875" customWidth="1"/>
    <col min="6" max="6" width="16.42578125" customWidth="1"/>
    <col min="7" max="7" width="18.85546875" customWidth="1"/>
    <col min="8" max="9" width="19" customWidth="1"/>
    <col min="10" max="10" width="18.28515625" customWidth="1"/>
    <col min="11" max="11" width="19" customWidth="1"/>
    <col min="12" max="12" width="19" style="362" customWidth="1"/>
    <col min="13" max="13" width="19" customWidth="1"/>
    <col min="14" max="16" width="19.140625" customWidth="1"/>
    <col min="17" max="17" width="13.42578125" customWidth="1"/>
    <col min="18" max="19" width="23.140625" customWidth="1"/>
    <col min="20" max="21" width="14.42578125" customWidth="1"/>
    <col min="26" max="26" width="17.28515625" customWidth="1"/>
    <col min="27" max="27" width="14.42578125" customWidth="1"/>
  </cols>
  <sheetData>
    <row r="1" spans="1:19" ht="23.25" customHeight="1" x14ac:dyDescent="0.35">
      <c r="A1" s="630" t="s">
        <v>871</v>
      </c>
    </row>
    <row r="3" spans="1:19" ht="21.75" customHeight="1" x14ac:dyDescent="0.35">
      <c r="E3" s="787" t="s">
        <v>872</v>
      </c>
      <c r="F3" s="787"/>
      <c r="G3" s="787"/>
      <c r="I3" s="653"/>
      <c r="J3" s="654"/>
      <c r="K3" s="654"/>
      <c r="Q3" s="788" t="s">
        <v>873</v>
      </c>
      <c r="R3" s="789"/>
      <c r="S3" s="789"/>
    </row>
    <row r="4" spans="1:19" ht="24" thickBot="1" x14ac:dyDescent="0.4">
      <c r="A4" s="793"/>
      <c r="B4" s="793"/>
      <c r="C4" s="793"/>
      <c r="E4" s="787"/>
      <c r="F4" s="787"/>
      <c r="G4" s="787"/>
      <c r="I4" s="654"/>
      <c r="J4" s="654"/>
      <c r="K4" s="654"/>
      <c r="Q4" s="789"/>
      <c r="R4" s="789"/>
      <c r="S4" s="789"/>
    </row>
    <row r="5" spans="1:19" ht="37.5" customHeight="1" x14ac:dyDescent="0.25">
      <c r="A5" s="632"/>
      <c r="B5" s="633"/>
      <c r="C5" s="633"/>
      <c r="E5" s="640"/>
      <c r="F5" s="635" t="str">
        <f>B25</f>
        <v>Diesel (B5)</v>
      </c>
      <c r="G5" s="636" t="str">
        <f>D25</f>
        <v>Battery Electric</v>
      </c>
      <c r="I5" s="632"/>
      <c r="J5" s="650"/>
      <c r="K5" s="650"/>
      <c r="Q5" s="645"/>
      <c r="R5" s="646" t="str">
        <f>B25</f>
        <v>Diesel (B5)</v>
      </c>
      <c r="S5" s="647" t="str">
        <f>D25</f>
        <v>Battery Electric</v>
      </c>
    </row>
    <row r="6" spans="1:19" ht="20.25" customHeight="1" x14ac:dyDescent="0.25">
      <c r="A6" s="634"/>
      <c r="B6" s="631"/>
      <c r="C6" s="631"/>
      <c r="E6" s="637" t="s">
        <v>460</v>
      </c>
      <c r="F6" s="641">
        <f>P25</f>
        <v>517174.10858179582</v>
      </c>
      <c r="G6" s="642">
        <f>P48</f>
        <v>1130542.4077034921</v>
      </c>
      <c r="I6" s="651"/>
      <c r="J6" s="652"/>
      <c r="K6" s="652"/>
      <c r="Q6" s="648" t="s">
        <v>460</v>
      </c>
      <c r="R6" s="639">
        <f>P25+S25</f>
        <v>519527.84971094952</v>
      </c>
      <c r="S6" s="642">
        <f>P48+S48</f>
        <v>1130649.1743886466</v>
      </c>
    </row>
    <row r="7" spans="1:19" ht="21.75" customHeight="1" x14ac:dyDescent="0.25">
      <c r="A7" s="634"/>
      <c r="B7" s="631"/>
      <c r="C7" s="631"/>
      <c r="E7" s="637" t="s">
        <v>461</v>
      </c>
      <c r="F7" s="641">
        <f>P26</f>
        <v>580397.53563597938</v>
      </c>
      <c r="G7" s="642">
        <f t="shared" ref="G7:G20" si="0">P49</f>
        <v>1150915.3936923884</v>
      </c>
      <c r="I7" s="651"/>
      <c r="J7" s="652"/>
      <c r="K7" s="652"/>
      <c r="Q7" s="648" t="s">
        <v>461</v>
      </c>
      <c r="R7" s="639">
        <f t="shared" ref="R7:R20" si="1">P26+S26</f>
        <v>585161.50768138643</v>
      </c>
      <c r="S7" s="642">
        <f t="shared" ref="S7:S20" si="2">P49+S49</f>
        <v>1151131.4894631412</v>
      </c>
    </row>
    <row r="8" spans="1:19" ht="21.75" customHeight="1" x14ac:dyDescent="0.25">
      <c r="A8" s="634"/>
      <c r="B8" s="631"/>
      <c r="C8" s="631"/>
      <c r="E8" s="637" t="s">
        <v>462</v>
      </c>
      <c r="F8" s="641">
        <f>P27</f>
        <v>647202.13368809444</v>
      </c>
      <c r="G8" s="642">
        <f t="shared" si="0"/>
        <v>1172465.469847</v>
      </c>
      <c r="I8" s="651"/>
      <c r="J8" s="652"/>
      <c r="K8" s="652"/>
      <c r="Q8" s="648" t="s">
        <v>462</v>
      </c>
      <c r="R8" s="639">
        <f t="shared" si="1"/>
        <v>654434.18219174491</v>
      </c>
      <c r="S8" s="642">
        <f t="shared" si="2"/>
        <v>1172793.5186014054</v>
      </c>
    </row>
    <row r="9" spans="1:19" ht="21" customHeight="1" x14ac:dyDescent="0.25">
      <c r="A9" s="634"/>
      <c r="B9" s="631"/>
      <c r="C9" s="631"/>
      <c r="E9" s="637" t="s">
        <v>463</v>
      </c>
      <c r="F9" s="641">
        <f t="shared" ref="F9:F20" si="3">P28</f>
        <v>716437.34303819539</v>
      </c>
      <c r="G9" s="642">
        <f t="shared" si="0"/>
        <v>1195335.6974771875</v>
      </c>
      <c r="I9" s="651"/>
      <c r="J9" s="652"/>
      <c r="K9" s="652"/>
      <c r="Q9" s="648" t="s">
        <v>463</v>
      </c>
      <c r="R9" s="639">
        <f t="shared" si="1"/>
        <v>726196.70183508715</v>
      </c>
      <c r="S9" s="642">
        <f t="shared" si="2"/>
        <v>1195778.3860868532</v>
      </c>
    </row>
    <row r="10" spans="1:19" ht="21" customHeight="1" x14ac:dyDescent="0.25">
      <c r="A10" s="634"/>
      <c r="B10" s="631"/>
      <c r="C10" s="631"/>
      <c r="E10" s="637" t="s">
        <v>464</v>
      </c>
      <c r="F10" s="641">
        <f t="shared" si="3"/>
        <v>788018.31141756265</v>
      </c>
      <c r="G10" s="642">
        <f t="shared" si="0"/>
        <v>1220014.9630179117</v>
      </c>
      <c r="I10" s="651"/>
      <c r="J10" s="652"/>
      <c r="K10" s="652"/>
      <c r="Q10" s="648" t="s">
        <v>464</v>
      </c>
      <c r="R10" s="639">
        <f t="shared" si="1"/>
        <v>800365.63595473347</v>
      </c>
      <c r="S10" s="642">
        <f t="shared" si="2"/>
        <v>1220575.0428393639</v>
      </c>
    </row>
    <row r="11" spans="1:19" ht="21.75" customHeight="1" x14ac:dyDescent="0.25">
      <c r="A11" s="634"/>
      <c r="B11" s="631"/>
      <c r="C11" s="631"/>
      <c r="E11" s="637" t="s">
        <v>465</v>
      </c>
      <c r="F11" s="641">
        <f t="shared" si="3"/>
        <v>862013.88898478565</v>
      </c>
      <c r="G11" s="642">
        <f t="shared" si="0"/>
        <v>1246063.5904641941</v>
      </c>
      <c r="I11" s="651"/>
      <c r="J11" s="652"/>
      <c r="K11" s="652"/>
      <c r="Q11" s="648" t="s">
        <v>465</v>
      </c>
      <c r="R11" s="639">
        <f t="shared" si="1"/>
        <v>877011.29044000222</v>
      </c>
      <c r="S11" s="642">
        <f t="shared" si="2"/>
        <v>1246743.8788865157</v>
      </c>
    </row>
    <row r="12" spans="1:19" ht="21.75" customHeight="1" x14ac:dyDescent="0.25">
      <c r="A12" s="634"/>
      <c r="B12" s="631"/>
      <c r="C12" s="631"/>
      <c r="E12" s="637" t="s">
        <v>466</v>
      </c>
      <c r="F12" s="641">
        <f t="shared" si="3"/>
        <v>938485.73958260403</v>
      </c>
      <c r="G12" s="642">
        <f t="shared" si="0"/>
        <v>1273477.2726862691</v>
      </c>
      <c r="I12" s="651"/>
      <c r="J12" s="652"/>
      <c r="K12" s="652"/>
      <c r="Q12" s="648" t="s">
        <v>466</v>
      </c>
      <c r="R12" s="639">
        <f t="shared" si="1"/>
        <v>956196.81980189949</v>
      </c>
      <c r="S12" s="642">
        <f t="shared" si="2"/>
        <v>1274280.6547158812</v>
      </c>
    </row>
    <row r="13" spans="1:19" ht="21.75" customHeight="1" x14ac:dyDescent="0.25">
      <c r="A13" s="634"/>
      <c r="B13" s="631"/>
      <c r="C13" s="631"/>
      <c r="E13" s="637" t="s">
        <v>467</v>
      </c>
      <c r="F13" s="641">
        <f t="shared" si="3"/>
        <v>1017537.1955399496</v>
      </c>
      <c r="G13" s="642">
        <f t="shared" si="0"/>
        <v>1302299.4210893724</v>
      </c>
      <c r="I13" s="651"/>
      <c r="J13" s="652"/>
      <c r="K13" s="652"/>
      <c r="Q13" s="648" t="s">
        <v>467</v>
      </c>
      <c r="R13" s="639">
        <f t="shared" si="1"/>
        <v>1038027.0828136618</v>
      </c>
      <c r="S13" s="642">
        <f t="shared" si="2"/>
        <v>1303228.8509728496</v>
      </c>
    </row>
    <row r="14" spans="1:19" ht="21" customHeight="1" x14ac:dyDescent="0.25">
      <c r="A14" s="634"/>
      <c r="B14" s="631"/>
      <c r="C14" s="631"/>
      <c r="E14" s="637" t="s">
        <v>468</v>
      </c>
      <c r="F14" s="641">
        <f t="shared" si="3"/>
        <v>1098993.778201578</v>
      </c>
      <c r="G14" s="642">
        <f t="shared" si="0"/>
        <v>1332589.3754025933</v>
      </c>
      <c r="I14" s="651"/>
      <c r="J14" s="652"/>
      <c r="K14" s="652"/>
      <c r="Q14" s="648" t="s">
        <v>468</v>
      </c>
      <c r="R14" s="639">
        <f t="shared" si="1"/>
        <v>1122329.1638990131</v>
      </c>
      <c r="S14" s="642">
        <f t="shared" si="2"/>
        <v>1333647.8782884285</v>
      </c>
    </row>
    <row r="15" spans="1:19" ht="21.75" customHeight="1" x14ac:dyDescent="0.25">
      <c r="A15" s="634"/>
      <c r="B15" s="631"/>
      <c r="C15" s="631"/>
      <c r="E15" s="637" t="s">
        <v>469</v>
      </c>
      <c r="F15" s="641">
        <f t="shared" si="3"/>
        <v>1183815.7014284634</v>
      </c>
      <c r="G15" s="642">
        <f t="shared" si="0"/>
        <v>1364265.7226627918</v>
      </c>
      <c r="I15" s="651"/>
      <c r="J15" s="652"/>
      <c r="K15" s="652"/>
      <c r="Q15" s="648" t="s">
        <v>469</v>
      </c>
      <c r="R15" s="639">
        <f t="shared" si="1"/>
        <v>1210064.8775117905</v>
      </c>
      <c r="S15" s="642">
        <f t="shared" si="2"/>
        <v>1365456.3963030418</v>
      </c>
    </row>
    <row r="16" spans="1:19" ht="21" customHeight="1" x14ac:dyDescent="0.25">
      <c r="A16" s="634"/>
      <c r="B16" s="631"/>
      <c r="C16" s="631"/>
      <c r="E16" s="637" t="s">
        <v>470</v>
      </c>
      <c r="F16" s="641">
        <f t="shared" si="3"/>
        <v>1271204.9222874825</v>
      </c>
      <c r="G16" s="642">
        <f t="shared" si="0"/>
        <v>1397465.8630035182</v>
      </c>
      <c r="I16" s="651"/>
      <c r="J16" s="652"/>
      <c r="K16" s="652"/>
      <c r="Q16" s="648" t="s">
        <v>470</v>
      </c>
      <c r="R16" s="639">
        <f t="shared" si="1"/>
        <v>1300437.8197259633</v>
      </c>
      <c r="S16" s="642">
        <f t="shared" si="2"/>
        <v>1398791.8794962887</v>
      </c>
    </row>
    <row r="17" spans="1:19" ht="21" customHeight="1" x14ac:dyDescent="0.25">
      <c r="A17" s="634"/>
      <c r="B17" s="631"/>
      <c r="C17" s="631"/>
      <c r="E17" s="637" t="s">
        <v>471</v>
      </c>
      <c r="F17" s="641">
        <f t="shared" si="3"/>
        <v>1361277.6070859735</v>
      </c>
      <c r="G17" s="642">
        <f t="shared" si="0"/>
        <v>1432121.1454643651</v>
      </c>
      <c r="I17" s="651"/>
      <c r="J17" s="652"/>
      <c r="K17" s="652"/>
      <c r="Q17" s="648" t="s">
        <v>471</v>
      </c>
      <c r="R17" s="639">
        <f t="shared" si="1"/>
        <v>1393565.8351921313</v>
      </c>
      <c r="S17" s="642">
        <f t="shared" si="2"/>
        <v>1433585.7530381167</v>
      </c>
    </row>
    <row r="18" spans="1:19" ht="21.75" customHeight="1" x14ac:dyDescent="0.25">
      <c r="A18" s="634"/>
      <c r="B18" s="631"/>
      <c r="C18" s="631"/>
      <c r="E18" s="637" t="s">
        <v>472</v>
      </c>
      <c r="F18" s="641">
        <f t="shared" si="3"/>
        <v>1453772.6429859113</v>
      </c>
      <c r="G18" s="642">
        <f t="shared" si="0"/>
        <v>1468385.4977554684</v>
      </c>
      <c r="I18" s="651"/>
      <c r="J18" s="652"/>
      <c r="K18" s="652"/>
      <c r="Q18" s="648" t="s">
        <v>472</v>
      </c>
      <c r="R18" s="639">
        <f t="shared" si="1"/>
        <v>1489189.5296957707</v>
      </c>
      <c r="S18" s="642">
        <f t="shared" si="2"/>
        <v>1469992.0225961446</v>
      </c>
    </row>
    <row r="19" spans="1:19" ht="21" customHeight="1" x14ac:dyDescent="0.25">
      <c r="A19" s="634"/>
      <c r="B19" s="631"/>
      <c r="C19" s="631"/>
      <c r="E19" s="637" t="s">
        <v>473</v>
      </c>
      <c r="F19" s="641">
        <f t="shared" si="3"/>
        <v>1548652.3548964451</v>
      </c>
      <c r="G19" s="642">
        <f t="shared" si="0"/>
        <v>1506190.5400393347</v>
      </c>
      <c r="I19" s="651"/>
      <c r="J19" s="652"/>
      <c r="K19" s="652"/>
      <c r="Q19" s="648" t="s">
        <v>473</v>
      </c>
      <c r="R19" s="639">
        <f t="shared" si="1"/>
        <v>1587272.9880164948</v>
      </c>
      <c r="S19" s="642">
        <f t="shared" si="2"/>
        <v>1507942.3881613417</v>
      </c>
    </row>
    <row r="20" spans="1:19" ht="21.75" customHeight="1" thickBot="1" x14ac:dyDescent="0.3">
      <c r="A20" s="634"/>
      <c r="B20" s="631"/>
      <c r="C20" s="631"/>
      <c r="E20" s="638" t="s">
        <v>474</v>
      </c>
      <c r="F20" s="643">
        <f t="shared" si="3"/>
        <v>1646011.9866050838</v>
      </c>
      <c r="G20" s="644">
        <f t="shared" si="0"/>
        <v>1545469.3728990199</v>
      </c>
      <c r="I20" s="651"/>
      <c r="J20" s="652"/>
      <c r="K20" s="652"/>
      <c r="Q20" s="649" t="s">
        <v>474</v>
      </c>
      <c r="R20" s="639">
        <f t="shared" si="1"/>
        <v>1687913.2560491683</v>
      </c>
      <c r="S20" s="642">
        <f t="shared" si="2"/>
        <v>1547370.0320611096</v>
      </c>
    </row>
    <row r="21" spans="1:19" ht="15.75" thickBot="1" x14ac:dyDescent="0.3"/>
    <row r="22" spans="1:19" ht="24.75" thickTop="1" thickBot="1" x14ac:dyDescent="0.4">
      <c r="A22" s="818" t="s">
        <v>819</v>
      </c>
      <c r="B22" s="818"/>
      <c r="C22" s="818"/>
      <c r="D22" s="818"/>
      <c r="E22" s="818"/>
      <c r="G22" s="794" t="s">
        <v>805</v>
      </c>
      <c r="H22" s="813"/>
      <c r="I22" s="813"/>
      <c r="J22" s="813"/>
      <c r="K22" s="813"/>
      <c r="L22" s="813"/>
      <c r="M22" s="813"/>
      <c r="N22" s="813"/>
      <c r="O22" s="813"/>
      <c r="P22" s="814"/>
      <c r="R22" s="794" t="s">
        <v>826</v>
      </c>
      <c r="S22" s="795"/>
    </row>
    <row r="23" spans="1:19" ht="18.75" x14ac:dyDescent="0.3">
      <c r="A23" s="818"/>
      <c r="B23" s="818"/>
      <c r="C23" s="818"/>
      <c r="D23" s="818"/>
      <c r="E23" s="818"/>
      <c r="G23" s="830" t="str">
        <f>B25</f>
        <v>Diesel (B5)</v>
      </c>
      <c r="H23" s="832" t="s">
        <v>820</v>
      </c>
      <c r="I23" s="833"/>
      <c r="J23" s="833"/>
      <c r="K23" s="833"/>
      <c r="L23" s="834"/>
      <c r="M23" s="835" t="s">
        <v>821</v>
      </c>
      <c r="N23" s="836"/>
      <c r="O23" s="837"/>
      <c r="P23" s="815" t="s">
        <v>758</v>
      </c>
      <c r="R23" s="796" t="s">
        <v>827</v>
      </c>
      <c r="S23" s="797"/>
    </row>
    <row r="24" spans="1:19" ht="46.5" customHeight="1" x14ac:dyDescent="0.3">
      <c r="A24" s="528" t="s">
        <v>640</v>
      </c>
      <c r="B24" s="825" t="s">
        <v>750</v>
      </c>
      <c r="C24" s="825"/>
      <c r="D24" s="825" t="s">
        <v>751</v>
      </c>
      <c r="E24" s="826"/>
      <c r="G24" s="831"/>
      <c r="H24" s="536" t="s">
        <v>661</v>
      </c>
      <c r="I24" s="536" t="s">
        <v>662</v>
      </c>
      <c r="J24" s="536" t="s">
        <v>595</v>
      </c>
      <c r="K24" s="536" t="s">
        <v>656</v>
      </c>
      <c r="L24" s="540" t="s">
        <v>823</v>
      </c>
      <c r="M24" s="541" t="s">
        <v>723</v>
      </c>
      <c r="N24" s="542" t="s">
        <v>724</v>
      </c>
      <c r="O24" s="542" t="s">
        <v>725</v>
      </c>
      <c r="P24" s="816"/>
      <c r="R24" s="546" t="s">
        <v>822</v>
      </c>
      <c r="S24" s="547" t="s">
        <v>657</v>
      </c>
    </row>
    <row r="25" spans="1:19" ht="21.75" customHeight="1" x14ac:dyDescent="0.25">
      <c r="A25" s="71" t="s">
        <v>125</v>
      </c>
      <c r="B25" s="822" t="str">
        <f>Inputs!B5</f>
        <v>Diesel (B5)</v>
      </c>
      <c r="C25" s="823"/>
      <c r="D25" s="822" t="str">
        <f>Inputs!E5</f>
        <v>Battery Electric</v>
      </c>
      <c r="E25" s="824"/>
      <c r="G25" s="529" t="s">
        <v>460</v>
      </c>
      <c r="H25" s="530">
        <f>B52</f>
        <v>456250</v>
      </c>
      <c r="I25" s="530">
        <f>B53</f>
        <v>0</v>
      </c>
      <c r="J25" s="531">
        <f>(IF(Inputs!$B$32=Inputs!$C$32,(HLOOKUP($B$25,'Bus 1 Calc'!$B$49:$J$64,2,FALSE)),(HLOOKUP($B$25,'Bus 1 Calc'!$B$68:$J$83,2,FALSE))))-O25</f>
        <v>24321.752848072374</v>
      </c>
      <c r="K25" s="531">
        <f>HLOOKUP($B$25,'Bus 1 Calc'!$B$31:$J$46,2,FALSE)</f>
        <v>36602.355733723438</v>
      </c>
      <c r="L25" s="551">
        <f>SUM(H25:K25)</f>
        <v>517174.10858179582</v>
      </c>
      <c r="M25" s="535">
        <f>IF(Inputs!$B$5="Battery Electric",'CFP Credit Estimator'!$J23,IF(Inputs!$B$5="LPG-Propane",'CFP Credit Estimator'!$J65,IF(Inputs!$B$5="CNG-Natural Gas",'CFP Credit Estimator'!$J187,0)))</f>
        <v>0</v>
      </c>
      <c r="N25" s="533">
        <f>Inputs!$C$36</f>
        <v>0</v>
      </c>
      <c r="O25" s="533">
        <f>IF(Inputs!$B$34="Yes",M25*N25,0)</f>
        <v>0</v>
      </c>
      <c r="P25" s="539">
        <f>H25+I25+J25+K25</f>
        <v>517174.10858179582</v>
      </c>
      <c r="R25" s="548">
        <f>B60</f>
        <v>2353.7411291536728</v>
      </c>
      <c r="S25" s="552">
        <f>R25</f>
        <v>2353.7411291536728</v>
      </c>
    </row>
    <row r="26" spans="1:19" x14ac:dyDescent="0.25">
      <c r="A26" s="71" t="s">
        <v>3</v>
      </c>
      <c r="B26" s="806">
        <f>Inputs!B14</f>
        <v>5</v>
      </c>
      <c r="C26" s="806"/>
      <c r="D26" s="806">
        <f>Inputs!B14</f>
        <v>5</v>
      </c>
      <c r="E26" s="807"/>
      <c r="G26" s="529" t="s">
        <v>461</v>
      </c>
      <c r="H26" s="661"/>
      <c r="I26" s="661"/>
      <c r="J26" s="531">
        <f>(IF(Inputs!$B$32=Inputs!$C$32,(HLOOKUP($B$25,'Bus 1 Calc'!$B$49:$J$64,3,FALSE)),(HLOOKUP($B$25,'Bus 1 Calc'!$B$68:$J$83,3,FALSE))))-O26</f>
        <v>25742.614782850811</v>
      </c>
      <c r="K26" s="531">
        <f>HLOOKUP($B$25,'Bus 1 Calc'!$B$31:$J$46,3,FALSE)</f>
        <v>37480.812271332798</v>
      </c>
      <c r="L26" s="551">
        <f t="shared" ref="L26:L39" si="4">SUM(H26:K26)</f>
        <v>63223.427054183609</v>
      </c>
      <c r="M26" s="535">
        <f>IF(Inputs!$B$5="Battery Electric",'CFP Credit Estimator'!$J24,IF(Inputs!$B$5="LPG-Propane",'CFP Credit Estimator'!$J66,IF(Inputs!$B$5="CNG-Natural Gas",'CFP Credit Estimator'!$J188,0)))</f>
        <v>0</v>
      </c>
      <c r="N26" s="533">
        <f>Inputs!$C$36</f>
        <v>0</v>
      </c>
      <c r="O26" s="533">
        <f>IF(Inputs!$B$34="Yes",M26*N26,0)</f>
        <v>0</v>
      </c>
      <c r="P26" s="539">
        <f t="shared" ref="P26:P39" si="5">H26+I26+J26+K26+P25</f>
        <v>580397.53563597938</v>
      </c>
      <c r="R26" s="548">
        <f>R25*(1+Inputs!$B$25)</f>
        <v>2410.2309162533611</v>
      </c>
      <c r="S26" s="552">
        <f>S25+R26</f>
        <v>4763.9720454070339</v>
      </c>
    </row>
    <row r="27" spans="1:19" x14ac:dyDescent="0.25">
      <c r="A27" s="71" t="s">
        <v>480</v>
      </c>
      <c r="B27" s="819">
        <f>Inputs!B23</f>
        <v>15000</v>
      </c>
      <c r="C27" s="819"/>
      <c r="D27" s="806">
        <f>Inputs!B23</f>
        <v>15000</v>
      </c>
      <c r="E27" s="807"/>
      <c r="G27" s="529" t="s">
        <v>462</v>
      </c>
      <c r="H27" s="661"/>
      <c r="I27" s="661"/>
      <c r="J27" s="531">
        <f>(IF(Inputs!$B$32=Inputs!$C$32,(HLOOKUP($B$25,'Bus 1 Calc'!$B$49:$J$64,4,FALSE)),(HLOOKUP($B$25,'Bus 1 Calc'!$B$68:$J$83,4,FALSE))))-O27</f>
        <v>28424.246286270303</v>
      </c>
      <c r="K27" s="531">
        <f>HLOOKUP($B$25,'Bus 1 Calc'!$B$31:$J$46,4,FALSE)</f>
        <v>38380.351765844789</v>
      </c>
      <c r="L27" s="551">
        <f t="shared" si="4"/>
        <v>66804.598052115092</v>
      </c>
      <c r="M27" s="535">
        <f>IF(Inputs!$B$5="Battery Electric",'CFP Credit Estimator'!$J25,IF(Inputs!$B$5="LPG-Propane",'CFP Credit Estimator'!$J67,IF(Inputs!$B$5="CNG-Natural Gas",'CFP Credit Estimator'!$J189,0)))</f>
        <v>0</v>
      </c>
      <c r="N27" s="533">
        <f>Inputs!$C$36</f>
        <v>0</v>
      </c>
      <c r="O27" s="533">
        <f>IF(Inputs!$B$34="Yes",M27*N27,0)</f>
        <v>0</v>
      </c>
      <c r="P27" s="539">
        <f t="shared" si="5"/>
        <v>647202.13368809444</v>
      </c>
      <c r="R27" s="548">
        <f>R26*(1+Inputs!$B$25)</f>
        <v>2468.0764582434417</v>
      </c>
      <c r="S27" s="552">
        <f t="shared" ref="S27:S39" si="6">S26+R27</f>
        <v>7232.0485036504761</v>
      </c>
    </row>
    <row r="28" spans="1:19" x14ac:dyDescent="0.25">
      <c r="A28" s="71" t="s">
        <v>629</v>
      </c>
      <c r="B28" s="820">
        <f>Inputs!B24</f>
        <v>75000</v>
      </c>
      <c r="C28" s="820"/>
      <c r="D28" s="806">
        <f>Inputs!B24</f>
        <v>75000</v>
      </c>
      <c r="E28" s="807"/>
      <c r="G28" s="529" t="s">
        <v>463</v>
      </c>
      <c r="H28" s="661"/>
      <c r="I28" s="661"/>
      <c r="J28" s="531">
        <f>(IF(Inputs!$B$32=Inputs!$C$32,(HLOOKUP($B$25,'Bus 1 Calc'!$B$49:$J$64,5,FALSE)),(HLOOKUP($B$25,'Bus 1 Calc'!$B$68:$J$83,5,FALSE))))-O28</f>
        <v>29933.729141875927</v>
      </c>
      <c r="K28" s="531">
        <f>HLOOKUP($B$25,'Bus 1 Calc'!$B$31:$J$46,5,FALSE)</f>
        <v>39301.480208225068</v>
      </c>
      <c r="L28" s="551">
        <f t="shared" si="4"/>
        <v>69235.209350100995</v>
      </c>
      <c r="M28" s="535">
        <f>IF(Inputs!$B$5="Battery Electric",'CFP Credit Estimator'!$J26,IF(Inputs!$B$5="LPG-Propane",'CFP Credit Estimator'!$J68,IF(Inputs!$B$5="CNG-Natural Gas",'CFP Credit Estimator'!$J190,0)))</f>
        <v>0</v>
      </c>
      <c r="N28" s="533">
        <f>Inputs!$C$36</f>
        <v>0</v>
      </c>
      <c r="O28" s="533">
        <f>IF(Inputs!$B$34="Yes",M28*N28,0)</f>
        <v>0</v>
      </c>
      <c r="P28" s="539">
        <f t="shared" si="5"/>
        <v>716437.34303819539</v>
      </c>
      <c r="R28" s="548">
        <f>R27*(1+Inputs!$B$25)</f>
        <v>2527.3102932412844</v>
      </c>
      <c r="S28" s="552">
        <f t="shared" si="6"/>
        <v>9759.35879689176</v>
      </c>
    </row>
    <row r="29" spans="1:19" ht="18.75" x14ac:dyDescent="0.3">
      <c r="A29" s="827" t="s">
        <v>641</v>
      </c>
      <c r="B29" s="828"/>
      <c r="C29" s="828"/>
      <c r="D29" s="828"/>
      <c r="E29" s="829"/>
      <c r="G29" s="529" t="s">
        <v>464</v>
      </c>
      <c r="H29" s="661"/>
      <c r="I29" s="661"/>
      <c r="J29" s="531">
        <f>(IF(Inputs!$B$32=Inputs!$C$32,(HLOOKUP($B$25,'Bus 1 Calc'!$B$49:$J$64,6,FALSE)),(HLOOKUP($B$25,'Bus 1 Calc'!$B$68:$J$83,6,FALSE))))-O29</f>
        <v>31336.252646144752</v>
      </c>
      <c r="K29" s="531">
        <f>HLOOKUP($B$25,'Bus 1 Calc'!$B$31:$J$46,6,FALSE)</f>
        <v>40244.715733222467</v>
      </c>
      <c r="L29" s="551">
        <f t="shared" si="4"/>
        <v>71580.968379367216</v>
      </c>
      <c r="M29" s="535">
        <f>IF(Inputs!$B$5="Battery Electric",'CFP Credit Estimator'!$J27,IF(Inputs!$B$5="LPG-Propane",'CFP Credit Estimator'!$J69,IF(Inputs!$B$5="CNG-Natural Gas",'CFP Credit Estimator'!$J191,0)))</f>
        <v>0</v>
      </c>
      <c r="N29" s="533">
        <f>Inputs!$C$36</f>
        <v>0</v>
      </c>
      <c r="O29" s="533">
        <f>IF(Inputs!$B$34="Yes",M29*N29,0)</f>
        <v>0</v>
      </c>
      <c r="P29" s="539">
        <f t="shared" si="5"/>
        <v>788018.31141756265</v>
      </c>
      <c r="R29" s="548">
        <f>R28*(1+Inputs!$B$25)</f>
        <v>2587.9657402790754</v>
      </c>
      <c r="S29" s="552">
        <f t="shared" si="6"/>
        <v>12347.324537170836</v>
      </c>
    </row>
    <row r="30" spans="1:19" x14ac:dyDescent="0.25">
      <c r="A30" s="71" t="s">
        <v>635</v>
      </c>
      <c r="B30" s="821">
        <f>Inputs!B30</f>
        <v>6.77</v>
      </c>
      <c r="C30" s="821"/>
      <c r="D30" s="806">
        <f>Inputs!E30</f>
        <v>1.86</v>
      </c>
      <c r="E30" s="807"/>
      <c r="G30" s="529" t="s">
        <v>465</v>
      </c>
      <c r="H30" s="661"/>
      <c r="I30" s="661"/>
      <c r="J30" s="531">
        <f>(IF(Inputs!$B$32=Inputs!$C$32,(HLOOKUP($B$25,'Bus 1 Calc'!$B$49:$J$64,7,FALSE)),(HLOOKUP($B$25,'Bus 1 Calc'!$B$68:$J$83,7,FALSE))))-O30</f>
        <v>32784.988656403249</v>
      </c>
      <c r="K30" s="531">
        <f>HLOOKUP($B$25,'Bus 1 Calc'!$B$31:$J$46,7,FALSE)</f>
        <v>41210.58891081981</v>
      </c>
      <c r="L30" s="551">
        <f t="shared" si="4"/>
        <v>73995.577567223052</v>
      </c>
      <c r="M30" s="535">
        <f>IF(Inputs!$B$5="Battery Electric",'CFP Credit Estimator'!$J28,IF(Inputs!$B$5="LPG-Propane",'CFP Credit Estimator'!$J70,IF(Inputs!$B$5="CNG-Natural Gas",'CFP Credit Estimator'!$J192,0)))</f>
        <v>0</v>
      </c>
      <c r="N30" s="533">
        <f>Inputs!$C$36</f>
        <v>0</v>
      </c>
      <c r="O30" s="533">
        <f>IF(Inputs!$B$34="Yes",M30*N30,0)</f>
        <v>0</v>
      </c>
      <c r="P30" s="539">
        <f t="shared" si="5"/>
        <v>862013.88898478565</v>
      </c>
      <c r="R30" s="548">
        <f>R29*(1+Inputs!$B$25)</f>
        <v>2650.0769180457733</v>
      </c>
      <c r="S30" s="552">
        <f t="shared" si="6"/>
        <v>14997.40145521661</v>
      </c>
    </row>
    <row r="31" spans="1:19" x14ac:dyDescent="0.25">
      <c r="A31" s="71" t="s">
        <v>631</v>
      </c>
      <c r="B31" s="808">
        <f>Inputs!B32</f>
        <v>2.2000000000000002</v>
      </c>
      <c r="C31" s="808"/>
      <c r="D31" s="808">
        <f>Inputs!E32</f>
        <v>0.23</v>
      </c>
      <c r="E31" s="809"/>
      <c r="G31" s="529" t="s">
        <v>466</v>
      </c>
      <c r="H31" s="661"/>
      <c r="I31" s="661"/>
      <c r="J31" s="531">
        <f>(IF(Inputs!$B$32=Inputs!$C$32,(HLOOKUP($B$25,'Bus 1 Calc'!$B$49:$J$64,8,FALSE)),(HLOOKUP($B$25,'Bus 1 Calc'!$B$68:$J$83,8,FALSE))))-O31</f>
        <v>34272.207553138855</v>
      </c>
      <c r="K31" s="531">
        <f>HLOOKUP($B$25,'Bus 1 Calc'!$B$31:$J$46,8,FALSE)</f>
        <v>42199.643044679484</v>
      </c>
      <c r="L31" s="551">
        <f t="shared" si="4"/>
        <v>76471.850597818338</v>
      </c>
      <c r="M31" s="535">
        <f>IF(Inputs!$B$5="Battery Electric",'CFP Credit Estimator'!$J29,IF(Inputs!$B$5="LPG-Propane",'CFP Credit Estimator'!$J71,IF(Inputs!$B$5="CNG-Natural Gas",'CFP Credit Estimator'!$J193,0)))</f>
        <v>0</v>
      </c>
      <c r="N31" s="533">
        <f>Inputs!$C$36</f>
        <v>0</v>
      </c>
      <c r="O31" s="533">
        <f>IF(Inputs!$B$34="Yes",M31*N31,0)</f>
        <v>0</v>
      </c>
      <c r="P31" s="539">
        <f t="shared" si="5"/>
        <v>938485.73958260403</v>
      </c>
      <c r="R31" s="548">
        <f>R30*(1+Inputs!$B$25)</f>
        <v>2713.6787640788721</v>
      </c>
      <c r="S31" s="552">
        <f t="shared" si="6"/>
        <v>17711.080219295483</v>
      </c>
    </row>
    <row r="32" spans="1:19" x14ac:dyDescent="0.25">
      <c r="A32" s="71" t="s">
        <v>630</v>
      </c>
      <c r="B32" s="808">
        <f>B31/B30</f>
        <v>0.32496307237813887</v>
      </c>
      <c r="C32" s="808"/>
      <c r="D32" s="808">
        <f>D31/D30</f>
        <v>0.12365591397849462</v>
      </c>
      <c r="E32" s="809"/>
      <c r="G32" s="529" t="s">
        <v>467</v>
      </c>
      <c r="H32" s="661"/>
      <c r="I32" s="661"/>
      <c r="J32" s="531">
        <f>(IF(Inputs!$B$32=Inputs!$C$32,(HLOOKUP($B$25,'Bus 1 Calc'!$B$49:$J$64,9,FALSE)),(HLOOKUP($B$25,'Bus 1 Calc'!$B$68:$J$83,9,FALSE))))-O32</f>
        <v>35839.021479593801</v>
      </c>
      <c r="K32" s="531">
        <f>HLOOKUP($B$25,'Bus 1 Calc'!$B$31:$J$46,9,FALSE)</f>
        <v>43212.434477751791</v>
      </c>
      <c r="L32" s="551">
        <f t="shared" si="4"/>
        <v>79051.455957345592</v>
      </c>
      <c r="M32" s="535">
        <f>IF(Inputs!$B$5="Battery Electric",'CFP Credit Estimator'!$J30,IF(Inputs!$B$5="LPG-Propane",'CFP Credit Estimator'!$J72,IF(Inputs!$B$5="CNG-Natural Gas",'CFP Credit Estimator'!$J194,0)))</f>
        <v>0</v>
      </c>
      <c r="N32" s="533">
        <f>Inputs!$C$36</f>
        <v>0</v>
      </c>
      <c r="O32" s="533">
        <f>IF(Inputs!$B$34="Yes",M32*N32,0)</f>
        <v>0</v>
      </c>
      <c r="P32" s="539">
        <f t="shared" si="5"/>
        <v>1017537.1955399496</v>
      </c>
      <c r="R32" s="548">
        <f>R31*(1+Inputs!$B$25)</f>
        <v>2778.8070544167649</v>
      </c>
      <c r="S32" s="552">
        <f t="shared" si="6"/>
        <v>20489.887273712247</v>
      </c>
    </row>
    <row r="33" spans="1:19" x14ac:dyDescent="0.25">
      <c r="A33" s="71" t="s">
        <v>644</v>
      </c>
      <c r="B33" s="804">
        <f>J25</f>
        <v>24321.752848072374</v>
      </c>
      <c r="C33" s="804"/>
      <c r="D33" s="805">
        <f>J48</f>
        <v>-13032.280208199278</v>
      </c>
      <c r="E33" s="810"/>
      <c r="G33" s="529" t="s">
        <v>468</v>
      </c>
      <c r="H33" s="661"/>
      <c r="I33" s="661"/>
      <c r="J33" s="531">
        <f>(IF(Inputs!$B$32=Inputs!$C$32,(HLOOKUP($B$25,'Bus 1 Calc'!$B$49:$J$64,10,FALSE)),(HLOOKUP($B$25,'Bus 1 Calc'!$B$68:$J$83,10,FALSE))))-O33</f>
        <v>37207.049756410634</v>
      </c>
      <c r="K33" s="531">
        <f>HLOOKUP($B$25,'Bus 1 Calc'!$B$31:$J$46,10,FALSE)</f>
        <v>44249.532905217835</v>
      </c>
      <c r="L33" s="551">
        <f t="shared" si="4"/>
        <v>81456.582661628461</v>
      </c>
      <c r="M33" s="535">
        <f>IF(Inputs!$B$5="Battery Electric",'CFP Credit Estimator'!$J31,IF(Inputs!$B$5="LPG-Propane",'CFP Credit Estimator'!$J73,IF(Inputs!$B$5="CNG-Natural Gas",'CFP Credit Estimator'!$J195,0)))</f>
        <v>0</v>
      </c>
      <c r="N33" s="533">
        <f>Inputs!$C$36</f>
        <v>0</v>
      </c>
      <c r="O33" s="533">
        <f>IF(Inputs!$B$34="Yes",M33*N33,0)</f>
        <v>0</v>
      </c>
      <c r="P33" s="539">
        <f t="shared" si="5"/>
        <v>1098993.778201578</v>
      </c>
      <c r="R33" s="548">
        <f>R32*(1+Inputs!$B$25)</f>
        <v>2845.4984237227673</v>
      </c>
      <c r="S33" s="552">
        <f t="shared" si="6"/>
        <v>23335.385697435013</v>
      </c>
    </row>
    <row r="34" spans="1:19" x14ac:dyDescent="0.25">
      <c r="A34" s="71" t="s">
        <v>748</v>
      </c>
      <c r="B34" s="804">
        <f>B27/B30</f>
        <v>2215.6573116691288</v>
      </c>
      <c r="C34" s="804"/>
      <c r="D34" s="804">
        <f>D27/D30</f>
        <v>8064.5161290322576</v>
      </c>
      <c r="E34" s="817"/>
      <c r="G34" s="529" t="s">
        <v>469</v>
      </c>
      <c r="H34" s="661"/>
      <c r="I34" s="661"/>
      <c r="J34" s="531">
        <f>(IF(Inputs!$B$32=Inputs!$C$32,(HLOOKUP($B$25,'Bus 1 Calc'!$B$49:$J$64,11,FALSE)),(HLOOKUP($B$25,'Bus 1 Calc'!$B$68:$J$83,11,FALSE))))-O34</f>
        <v>39510.401531942392</v>
      </c>
      <c r="K34" s="531">
        <f>HLOOKUP($B$25,'Bus 1 Calc'!$B$31:$J$46,11,FALSE)</f>
        <v>45311.521694943061</v>
      </c>
      <c r="L34" s="551">
        <f t="shared" si="4"/>
        <v>84821.923226885454</v>
      </c>
      <c r="M34" s="535">
        <f>IF(Inputs!$B$5="Battery Electric",'CFP Credit Estimator'!$J32,IF(Inputs!$B$5="LPG-Propane",'CFP Credit Estimator'!$J74,IF(Inputs!$B$5="CNG-Natural Gas",'CFP Credit Estimator'!$J196,0)))</f>
        <v>0</v>
      </c>
      <c r="N34" s="533">
        <f>Inputs!$C$36</f>
        <v>0</v>
      </c>
      <c r="O34" s="533">
        <f>IF(Inputs!$B$34="Yes",M34*N34,0)</f>
        <v>0</v>
      </c>
      <c r="P34" s="539">
        <f t="shared" si="5"/>
        <v>1183815.7014284634</v>
      </c>
      <c r="R34" s="548">
        <f>R33*(1+Inputs!$B$25)</f>
        <v>2913.7903858921136</v>
      </c>
      <c r="S34" s="552">
        <f t="shared" si="6"/>
        <v>26249.176083327126</v>
      </c>
    </row>
    <row r="35" spans="1:19" ht="18.75" x14ac:dyDescent="0.3">
      <c r="A35" s="827" t="s">
        <v>596</v>
      </c>
      <c r="B35" s="828"/>
      <c r="C35" s="828"/>
      <c r="D35" s="828"/>
      <c r="E35" s="829"/>
      <c r="G35" s="529" t="s">
        <v>470</v>
      </c>
      <c r="H35" s="661"/>
      <c r="I35" s="661"/>
      <c r="J35" s="531">
        <f>(IF(Inputs!$B$32=Inputs!$C$32,(HLOOKUP($B$25,'Bus 1 Calc'!$B$49:$J$64,12,FALSE)),(HLOOKUP($B$25,'Bus 1 Calc'!$B$68:$J$83,12,FALSE))))-O35</f>
        <v>40990.222643397348</v>
      </c>
      <c r="K35" s="531">
        <f>HLOOKUP($B$25,'Bus 1 Calc'!$B$31:$J$46,12,FALSE)</f>
        <v>46398.998215621694</v>
      </c>
      <c r="L35" s="551">
        <f t="shared" si="4"/>
        <v>87389.220859019042</v>
      </c>
      <c r="M35" s="535">
        <f>IF(Inputs!$B$5="Battery Electric",'CFP Credit Estimator'!$J33,IF(Inputs!$B$5="LPG-Propane",'CFP Credit Estimator'!$J75,IF(Inputs!$B$5="CNG-Natural Gas",'CFP Credit Estimator'!$J197,0)))</f>
        <v>0</v>
      </c>
      <c r="N35" s="533">
        <f>Inputs!$C$36</f>
        <v>0</v>
      </c>
      <c r="O35" s="533">
        <f>IF(Inputs!$B$34="Yes",M35*N35,0)</f>
        <v>0</v>
      </c>
      <c r="P35" s="539">
        <f t="shared" si="5"/>
        <v>1271204.9222874825</v>
      </c>
      <c r="R35" s="548">
        <f>R34*(1+Inputs!$B$25)</f>
        <v>2983.7213551535242</v>
      </c>
      <c r="S35" s="552">
        <f t="shared" si="6"/>
        <v>29232.89743848065</v>
      </c>
    </row>
    <row r="36" spans="1:19" x14ac:dyDescent="0.25">
      <c r="A36" s="71" t="s">
        <v>632</v>
      </c>
      <c r="B36" s="811">
        <f>Inputs!B29</f>
        <v>0.47751442307692304</v>
      </c>
      <c r="C36" s="811"/>
      <c r="D36" s="811">
        <f>Inputs!E29</f>
        <v>0.43</v>
      </c>
      <c r="E36" s="812"/>
      <c r="G36" s="529" t="s">
        <v>471</v>
      </c>
      <c r="H36" s="661"/>
      <c r="I36" s="661"/>
      <c r="J36" s="531">
        <f>(IF(Inputs!$B$32=Inputs!$C$32,(HLOOKUP($B$25,'Bus 1 Calc'!$B$49:$J$64,13,FALSE)),(HLOOKUP($B$25,'Bus 1 Calc'!$B$68:$J$83,13,FALSE))))-O36</f>
        <v>42560.110625694251</v>
      </c>
      <c r="K36" s="531">
        <f>HLOOKUP($B$25,'Bus 1 Calc'!$B$31:$J$46,13,FALSE)</f>
        <v>47512.574172796616</v>
      </c>
      <c r="L36" s="551">
        <f t="shared" si="4"/>
        <v>90072.684798490867</v>
      </c>
      <c r="M36" s="535">
        <f>IF(Inputs!$B$5="Battery Electric",'CFP Credit Estimator'!$J34,IF(Inputs!$B$5="LPG-Propane",'CFP Credit Estimator'!$J76,IF(Inputs!$B$5="CNG-Natural Gas",'CFP Credit Estimator'!$J198,0)))</f>
        <v>0</v>
      </c>
      <c r="N36" s="533">
        <f>Inputs!$C$36</f>
        <v>0</v>
      </c>
      <c r="O36" s="533">
        <f>IF(Inputs!$B$34="Yes",M36*N36,0)</f>
        <v>0</v>
      </c>
      <c r="P36" s="539">
        <f t="shared" si="5"/>
        <v>1361277.6070859735</v>
      </c>
      <c r="R36" s="548">
        <f>R35*(1+Inputs!$B$25)</f>
        <v>3055.330667677209</v>
      </c>
      <c r="S36" s="552">
        <f t="shared" si="6"/>
        <v>32288.228106157858</v>
      </c>
    </row>
    <row r="37" spans="1:19" x14ac:dyDescent="0.25">
      <c r="A37" s="71" t="s">
        <v>636</v>
      </c>
      <c r="B37" s="805">
        <f>B36*B27</f>
        <v>7162.7163461538457</v>
      </c>
      <c r="C37" s="805"/>
      <c r="D37" s="805">
        <f>D36*D27</f>
        <v>6450</v>
      </c>
      <c r="E37" s="810"/>
      <c r="G37" s="529" t="s">
        <v>472</v>
      </c>
      <c r="H37" s="661"/>
      <c r="I37" s="661"/>
      <c r="J37" s="531">
        <f>(IF(Inputs!$B$32=Inputs!$C$32,(HLOOKUP($B$25,'Bus 1 Calc'!$B$49:$J$64,14,FALSE)),(HLOOKUP($B$25,'Bus 1 Calc'!$B$68:$J$83,14,FALSE))))-O37</f>
        <v>43842.159946994099</v>
      </c>
      <c r="K37" s="531">
        <f>HLOOKUP($B$25,'Bus 1 Calc'!$B$31:$J$46,14,FALSE)</f>
        <v>48652.875952943738</v>
      </c>
      <c r="L37" s="551">
        <f t="shared" si="4"/>
        <v>92495.035899937837</v>
      </c>
      <c r="M37" s="535">
        <f>IF(Inputs!$B$5="Battery Electric",'CFP Credit Estimator'!$J35,IF(Inputs!$B$5="LPG-Propane",'CFP Credit Estimator'!$J77,IF(Inputs!$B$5="CNG-Natural Gas",'CFP Credit Estimator'!$J199,0)))</f>
        <v>0</v>
      </c>
      <c r="N37" s="533">
        <f>Inputs!$C$36</f>
        <v>0</v>
      </c>
      <c r="O37" s="533">
        <f>IF(Inputs!$B$34="Yes",M37*N37,0)</f>
        <v>0</v>
      </c>
      <c r="P37" s="539">
        <f t="shared" si="5"/>
        <v>1453772.6429859113</v>
      </c>
      <c r="R37" s="548">
        <f>R36*(1+Inputs!$B$25)</f>
        <v>3128.6586037014622</v>
      </c>
      <c r="S37" s="552">
        <f t="shared" si="6"/>
        <v>35416.886709859318</v>
      </c>
    </row>
    <row r="38" spans="1:19" x14ac:dyDescent="0.25">
      <c r="A38" s="71" t="s">
        <v>633</v>
      </c>
      <c r="B38" s="804">
        <f>B37*B26</f>
        <v>35813.581730769227</v>
      </c>
      <c r="C38" s="804"/>
      <c r="D38" s="805">
        <f>D37*D26</f>
        <v>32250</v>
      </c>
      <c r="E38" s="810"/>
      <c r="G38" s="529" t="s">
        <v>473</v>
      </c>
      <c r="H38" s="661"/>
      <c r="I38" s="661"/>
      <c r="J38" s="531">
        <f>(IF(Inputs!$B$32=Inputs!$C$32,(HLOOKUP($B$25,'Bus 1 Calc'!$B$49:$J$64,15,FALSE)),(HLOOKUP($B$25,'Bus 1 Calc'!$B$68:$J$83,15,FALSE))))-O38</f>
        <v>45059.166934719353</v>
      </c>
      <c r="K38" s="531">
        <f>HLOOKUP($B$25,'Bus 1 Calc'!$B$31:$J$46,15,FALSE)</f>
        <v>49820.544975814388</v>
      </c>
      <c r="L38" s="551">
        <f t="shared" si="4"/>
        <v>94879.711910533748</v>
      </c>
      <c r="M38" s="535">
        <f>IF(Inputs!$B$5="Battery Electric",'CFP Credit Estimator'!$J36,IF(Inputs!$B$5="LPG-Propane",'CFP Credit Estimator'!$J78,IF(Inputs!$B$5="CNG-Natural Gas",'CFP Credit Estimator'!$J200,0)))</f>
        <v>0</v>
      </c>
      <c r="N38" s="533">
        <f>Inputs!$C$36</f>
        <v>0</v>
      </c>
      <c r="O38" s="533">
        <f>IF(Inputs!$B$34="Yes",M38*N38,0)</f>
        <v>0</v>
      </c>
      <c r="P38" s="539">
        <f t="shared" si="5"/>
        <v>1548652.3548964451</v>
      </c>
      <c r="R38" s="548">
        <f>R37*(1+Inputs!$B$25)</f>
        <v>3203.7464101902974</v>
      </c>
      <c r="S38" s="552">
        <f t="shared" si="6"/>
        <v>38620.633120049613</v>
      </c>
    </row>
    <row r="39" spans="1:19" ht="15.75" thickBot="1" x14ac:dyDescent="0.3">
      <c r="A39" s="71" t="s">
        <v>637</v>
      </c>
      <c r="B39" s="803">
        <f>Inputs!B31</f>
        <v>7.5599999999999999E-3</v>
      </c>
      <c r="C39" s="803"/>
      <c r="D39" s="808">
        <f>Inputs!E31</f>
        <v>0</v>
      </c>
      <c r="E39" s="809"/>
      <c r="G39" s="587" t="s">
        <v>474</v>
      </c>
      <c r="H39" s="662"/>
      <c r="I39" s="662"/>
      <c r="J39" s="588">
        <f>(IF(Inputs!$B$32=Inputs!$C$32,(HLOOKUP($B$25,'Bus 1 Calc'!$B$49:$J$64,16,FALSE)),(HLOOKUP($B$25,'Bus 1 Calc'!$B$68:$J$83,16,FALSE))))-O39</f>
        <v>46343.393653404724</v>
      </c>
      <c r="K39" s="588">
        <f>HLOOKUP($B$25,'Bus 1 Calc'!$B$31:$J$46,16,FALSE)</f>
        <v>51016.238055233931</v>
      </c>
      <c r="L39" s="597">
        <f t="shared" si="4"/>
        <v>97359.631708638655</v>
      </c>
      <c r="M39" s="590">
        <f>IF(Inputs!$B$5="Battery Electric",'CFP Credit Estimator'!$J37,IF(Inputs!$B$5="LPG-Propane",'CFP Credit Estimator'!$J79,IF(Inputs!$B$5="CNG-Natural Gas",'CFP Credit Estimator'!$J201,0)))</f>
        <v>0</v>
      </c>
      <c r="N39" s="591">
        <f>Inputs!$C$36</f>
        <v>0</v>
      </c>
      <c r="O39" s="591">
        <f>IF(Inputs!$B$34="Yes",M39*N39,0)</f>
        <v>0</v>
      </c>
      <c r="P39" s="592">
        <f t="shared" si="5"/>
        <v>1646011.9866050838</v>
      </c>
      <c r="R39" s="548">
        <f>R38*(1+Inputs!$B$25)</f>
        <v>3280.6363240348646</v>
      </c>
      <c r="S39" s="552">
        <f t="shared" si="6"/>
        <v>41901.269444084479</v>
      </c>
    </row>
    <row r="40" spans="1:19" ht="15.75" thickBot="1" x14ac:dyDescent="0.3">
      <c r="A40" s="71" t="s">
        <v>639</v>
      </c>
      <c r="B40" s="804">
        <f>B39*B27</f>
        <v>113.39999999999999</v>
      </c>
      <c r="C40" s="804"/>
      <c r="D40" s="808">
        <f>D39*D27</f>
        <v>0</v>
      </c>
      <c r="E40" s="809"/>
      <c r="G40" s="585" t="s">
        <v>286</v>
      </c>
      <c r="H40" s="598">
        <f t="shared" ref="H40:M40" si="7">SUM(H25:H39)</f>
        <v>456250</v>
      </c>
      <c r="I40" s="598">
        <f t="shared" si="7"/>
        <v>0</v>
      </c>
      <c r="J40" s="598">
        <f t="shared" si="7"/>
        <v>538167.31848691287</v>
      </c>
      <c r="K40" s="598">
        <f t="shared" si="7"/>
        <v>651594.66811817093</v>
      </c>
      <c r="L40" s="593">
        <f t="shared" si="7"/>
        <v>1646011.9866050838</v>
      </c>
      <c r="M40" s="594">
        <f t="shared" si="7"/>
        <v>0</v>
      </c>
      <c r="N40" s="663"/>
      <c r="O40" s="595">
        <f>SUM(O25:O39)</f>
        <v>0</v>
      </c>
      <c r="P40" s="596"/>
      <c r="R40" s="549">
        <f>SUM(R25:R39)</f>
        <v>41901.269444084479</v>
      </c>
      <c r="S40" s="550"/>
    </row>
    <row r="41" spans="1:19" ht="15.75" thickTop="1" x14ac:dyDescent="0.25">
      <c r="A41" s="71" t="s">
        <v>638</v>
      </c>
      <c r="B41" s="804">
        <f>B39*B28</f>
        <v>567</v>
      </c>
      <c r="C41" s="804"/>
      <c r="D41" s="808">
        <f>D40*D26</f>
        <v>0</v>
      </c>
      <c r="E41" s="809"/>
      <c r="G41" s="544"/>
      <c r="H41" s="544"/>
      <c r="I41" s="544"/>
      <c r="J41" s="544"/>
      <c r="K41" s="544"/>
      <c r="L41" s="544"/>
      <c r="M41" s="544"/>
      <c r="N41" s="544"/>
      <c r="O41" s="544"/>
      <c r="P41" s="544"/>
      <c r="R41" s="544"/>
    </row>
    <row r="42" spans="1:19" x14ac:dyDescent="0.25">
      <c r="A42" s="71" t="s">
        <v>645</v>
      </c>
      <c r="B42" s="803">
        <f>Inputs!B33</f>
        <v>0.02</v>
      </c>
      <c r="C42" s="803"/>
      <c r="D42" s="808">
        <f>Inputs!E33</f>
        <v>5.3539721642528748E-4</v>
      </c>
      <c r="E42" s="809"/>
      <c r="G42" s="108"/>
      <c r="I42" s="363"/>
    </row>
    <row r="43" spans="1:19" ht="15.75" thickBot="1" x14ac:dyDescent="0.3">
      <c r="A43" s="71" t="s">
        <v>646</v>
      </c>
      <c r="B43" s="804">
        <f>B42*B28</f>
        <v>1500</v>
      </c>
      <c r="C43" s="804"/>
      <c r="D43" s="808">
        <f>D42*D28</f>
        <v>40.15479123189656</v>
      </c>
      <c r="E43" s="809"/>
      <c r="G43" s="363"/>
      <c r="H43" s="363"/>
      <c r="I43" s="353"/>
      <c r="J43" s="43"/>
    </row>
    <row r="44" spans="1:19" ht="24.75" thickTop="1" thickBot="1" x14ac:dyDescent="0.4">
      <c r="A44" s="71" t="s">
        <v>754</v>
      </c>
      <c r="B44" s="805">
        <f>B37+B40+B43</f>
        <v>8776.1163461538454</v>
      </c>
      <c r="C44" s="805"/>
      <c r="D44" s="805">
        <f>D37+D40+D43</f>
        <v>6490.1547912318965</v>
      </c>
      <c r="E44" s="810"/>
      <c r="G44" s="794" t="s">
        <v>806</v>
      </c>
      <c r="H44" s="813"/>
      <c r="I44" s="813"/>
      <c r="J44" s="813"/>
      <c r="K44" s="813"/>
      <c r="L44" s="813"/>
      <c r="M44" s="813"/>
      <c r="N44" s="813"/>
      <c r="O44" s="813"/>
      <c r="P44" s="814"/>
      <c r="R44" s="794" t="s">
        <v>831</v>
      </c>
      <c r="S44" s="814"/>
    </row>
    <row r="45" spans="1:19" ht="18.75" x14ac:dyDescent="0.3">
      <c r="A45" s="71" t="s">
        <v>755</v>
      </c>
      <c r="B45" s="805">
        <f>B38+B41+B43</f>
        <v>37880.581730769227</v>
      </c>
      <c r="C45" s="805"/>
      <c r="D45" s="805">
        <f>D38+D41+D43</f>
        <v>32290.154791231897</v>
      </c>
      <c r="E45" s="810"/>
      <c r="G45" s="602" t="str">
        <f>D25</f>
        <v>Battery Electric</v>
      </c>
      <c r="H45" s="832" t="s">
        <v>820</v>
      </c>
      <c r="I45" s="833"/>
      <c r="J45" s="833"/>
      <c r="K45" s="833"/>
      <c r="L45" s="844"/>
      <c r="M45" s="835" t="s">
        <v>821</v>
      </c>
      <c r="N45" s="836"/>
      <c r="O45" s="837"/>
      <c r="P45" s="815" t="s">
        <v>758</v>
      </c>
      <c r="R45" s="838" t="s">
        <v>827</v>
      </c>
      <c r="S45" s="839"/>
    </row>
    <row r="46" spans="1:19" ht="18.75" x14ac:dyDescent="0.3">
      <c r="A46" s="827" t="s">
        <v>133</v>
      </c>
      <c r="B46" s="828"/>
      <c r="C46" s="828"/>
      <c r="D46" s="828"/>
      <c r="E46" s="829"/>
      <c r="G46" s="603"/>
      <c r="H46" s="850" t="s">
        <v>661</v>
      </c>
      <c r="I46" s="850" t="s">
        <v>662</v>
      </c>
      <c r="J46" s="850" t="s">
        <v>595</v>
      </c>
      <c r="K46" s="850" t="s">
        <v>656</v>
      </c>
      <c r="L46" s="852" t="s">
        <v>823</v>
      </c>
      <c r="M46" s="846" t="s">
        <v>723</v>
      </c>
      <c r="N46" s="848" t="s">
        <v>724</v>
      </c>
      <c r="O46" s="848" t="s">
        <v>725</v>
      </c>
      <c r="P46" s="845"/>
      <c r="R46" s="840" t="s">
        <v>824</v>
      </c>
      <c r="S46" s="842" t="s">
        <v>825</v>
      </c>
    </row>
    <row r="47" spans="1:19" x14ac:dyDescent="0.25">
      <c r="A47" s="71" t="s">
        <v>647</v>
      </c>
      <c r="B47" s="804">
        <f>Inputs!B8</f>
        <v>91250</v>
      </c>
      <c r="C47" s="804"/>
      <c r="D47" s="804">
        <f>Inputs!E8</f>
        <v>250000</v>
      </c>
      <c r="E47" s="817"/>
      <c r="G47" s="584"/>
      <c r="H47" s="851"/>
      <c r="I47" s="851"/>
      <c r="J47" s="851"/>
      <c r="K47" s="851"/>
      <c r="L47" s="853"/>
      <c r="M47" s="847"/>
      <c r="N47" s="849"/>
      <c r="O47" s="849"/>
      <c r="P47" s="816"/>
      <c r="R47" s="841"/>
      <c r="S47" s="843"/>
    </row>
    <row r="48" spans="1:19" x14ac:dyDescent="0.25">
      <c r="A48" s="71" t="s">
        <v>772</v>
      </c>
      <c r="B48" s="804">
        <f>IF(Inputs!B9="Yes",'Bus 1 Calc'!N7,0)</f>
        <v>0</v>
      </c>
      <c r="C48" s="804"/>
      <c r="D48" s="804">
        <f>IF(Inputs!E9="Yes",'Bus 2 Calc'!N7,0)</f>
        <v>50000</v>
      </c>
      <c r="E48" s="817"/>
      <c r="G48" s="529" t="s">
        <v>460</v>
      </c>
      <c r="H48" s="530">
        <f>D52</f>
        <v>1000000</v>
      </c>
      <c r="I48" s="530">
        <f>D53</f>
        <v>111250</v>
      </c>
      <c r="J48" s="531">
        <f>(IF(Inputs!$E$32=Inputs!$F$32,(HLOOKUP($D$25,'Bus 2 Calc'!$B$49:$J$64,2,FALSE)),(HLOOKUP($D$25,'Bus 2 Calc'!$B$68:$J$83,2,FALSE))))</f>
        <v>-13032.280208199278</v>
      </c>
      <c r="K48" s="531">
        <f>HLOOKUP($D$25,'Bus 2 Calc'!$B$31:$J$46,2,FALSE)</f>
        <v>32324.687911691326</v>
      </c>
      <c r="L48" s="537">
        <f t="shared" ref="L48:L62" si="8">SUM(H48:K48)</f>
        <v>1130542.4077034921</v>
      </c>
      <c r="M48" s="535">
        <f>IF(Inputs!$E$5="Battery Electric",'CFP Credit Estimator'!$J23,IF(Inputs!$E$5="LPG-Propane",'CFP Credit Estimator'!$J65,IF(Inputs!$E$5="CNG-Natural Gas",'CFP Credit Estimator'!$J187,0)))</f>
        <v>237.37456348048076</v>
      </c>
      <c r="N48" s="533">
        <f>Inputs!$F$36</f>
        <v>128.08000000000001</v>
      </c>
      <c r="O48" s="533">
        <f>IF(Inputs!$E$35="Yes",M48*N48,0)</f>
        <v>30402.93409057998</v>
      </c>
      <c r="P48" s="539">
        <f>H48+I48+J48+K48</f>
        <v>1130542.4077034921</v>
      </c>
      <c r="R48" s="548">
        <f>D60</f>
        <v>106.76668515456849</v>
      </c>
      <c r="S48" s="552">
        <f>R48</f>
        <v>106.76668515456849</v>
      </c>
    </row>
    <row r="49" spans="1:19" x14ac:dyDescent="0.25">
      <c r="A49" s="71" t="s">
        <v>773</v>
      </c>
      <c r="B49" s="804">
        <f>B47-B48</f>
        <v>91250</v>
      </c>
      <c r="C49" s="804"/>
      <c r="D49" s="804">
        <f>D47-D48</f>
        <v>200000</v>
      </c>
      <c r="E49" s="817"/>
      <c r="G49" s="529" t="s">
        <v>461</v>
      </c>
      <c r="H49" s="661"/>
      <c r="I49" s="661"/>
      <c r="J49" s="531">
        <f>(IF(Inputs!$E$32=Inputs!$F$32,(HLOOKUP($D$25,'Bus 2 Calc'!$B$49:$J$64,3,FALSE)),(HLOOKUP($D$25,'Bus 2 Calc'!$B$68:$J$83,3,FALSE))))</f>
        <v>-12727.494432675587</v>
      </c>
      <c r="K49" s="531">
        <f>HLOOKUP($D$25,'Bus 2 Calc'!$B$31:$J$46,3,FALSE)</f>
        <v>33100.48042157192</v>
      </c>
      <c r="L49" s="537">
        <f t="shared" si="8"/>
        <v>20372.985988896333</v>
      </c>
      <c r="M49" s="535">
        <f>IF(Inputs!$E$5="Battery Electric",'CFP Credit Estimator'!$J24,IF(Inputs!$E$5="LPG-Propane",'CFP Credit Estimator'!$J66,IF(Inputs!$E$5="CNG-Natural Gas",'CFP Credit Estimator'!$J188,0)))</f>
        <v>233.65828348048075</v>
      </c>
      <c r="N49" s="533">
        <f>Inputs!$F$36</f>
        <v>128.08000000000001</v>
      </c>
      <c r="O49" s="533">
        <f>IF(Inputs!$E$35="Yes",M49*N49,0)</f>
        <v>29926.952948179976</v>
      </c>
      <c r="P49" s="539">
        <f t="shared" ref="P49:P62" si="9">H49+I49+J49+K49+P48</f>
        <v>1150915.3936923884</v>
      </c>
      <c r="R49" s="548">
        <f>R48*(1+Inputs!$B$25)</f>
        <v>109.32908559827814</v>
      </c>
      <c r="S49" s="552">
        <f>S48+R49</f>
        <v>216.09577075284665</v>
      </c>
    </row>
    <row r="50" spans="1:19" x14ac:dyDescent="0.25">
      <c r="A50" s="71" t="s">
        <v>791</v>
      </c>
      <c r="B50" s="804">
        <f>Inputs!B12</f>
        <v>0</v>
      </c>
      <c r="C50" s="804"/>
      <c r="D50" s="804">
        <f>Inputs!E12</f>
        <v>0</v>
      </c>
      <c r="E50" s="817"/>
      <c r="G50" s="529" t="s">
        <v>462</v>
      </c>
      <c r="H50" s="661"/>
      <c r="I50" s="661"/>
      <c r="J50" s="531">
        <f>(IF(Inputs!$E$32=Inputs!$F$32,(HLOOKUP($D$25,'Bus 2 Calc'!$B$49:$J$64,4,FALSE)),(HLOOKUP($D$25,'Bus 2 Calc'!$B$68:$J$83,4,FALSE))))</f>
        <v>-12344.815797078114</v>
      </c>
      <c r="K50" s="531">
        <f>HLOOKUP($D$25,'Bus 2 Calc'!$B$31:$J$46,4,FALSE)</f>
        <v>33894.891951689649</v>
      </c>
      <c r="L50" s="537">
        <f t="shared" si="8"/>
        <v>21550.076154611535</v>
      </c>
      <c r="M50" s="535">
        <f>IF(Inputs!$E$5="Battery Electric",'CFP Credit Estimator'!$J25,IF(Inputs!$E$5="LPG-Propane",'CFP Credit Estimator'!$J67,IF(Inputs!$E$5="CNG-Natural Gas",'CFP Credit Estimator'!$J189,0)))</f>
        <v>229.91689348048072</v>
      </c>
      <c r="N50" s="533">
        <f>Inputs!$F$36</f>
        <v>128.08000000000001</v>
      </c>
      <c r="O50" s="533">
        <f>IF(Inputs!$E$35="Yes",M50*N50,0)</f>
        <v>29447.755716979973</v>
      </c>
      <c r="P50" s="539">
        <f t="shared" si="9"/>
        <v>1172465.469847</v>
      </c>
      <c r="R50" s="548">
        <f>R49*(1+Inputs!$B$25)</f>
        <v>111.95298365263682</v>
      </c>
      <c r="S50" s="552">
        <f t="shared" ref="S50:S62" si="10">S49+R50</f>
        <v>328.04875440548346</v>
      </c>
    </row>
    <row r="51" spans="1:19" x14ac:dyDescent="0.25">
      <c r="A51" s="71" t="s">
        <v>792</v>
      </c>
      <c r="B51" s="804">
        <f>B49-B50</f>
        <v>91250</v>
      </c>
      <c r="C51" s="804"/>
      <c r="D51" s="804">
        <f>D49-D50</f>
        <v>200000</v>
      </c>
      <c r="E51" s="817"/>
      <c r="G51" s="529" t="s">
        <v>463</v>
      </c>
      <c r="H51" s="661"/>
      <c r="I51" s="661"/>
      <c r="J51" s="531">
        <f>(IF(Inputs!$E$32=Inputs!$F$32,(HLOOKUP($D$25,'Bus 2 Calc'!$B$49:$J$64,5,FALSE)),(HLOOKUP($D$25,'Bus 2 Calc'!$B$68:$J$83,5,FALSE))))</f>
        <v>-11838.141728342696</v>
      </c>
      <c r="K51" s="531">
        <f>HLOOKUP($D$25,'Bus 2 Calc'!$B$31:$J$46,5,FALSE)</f>
        <v>34708.369358530203</v>
      </c>
      <c r="L51" s="537">
        <f t="shared" si="8"/>
        <v>22870.227630187506</v>
      </c>
      <c r="M51" s="535">
        <f>IF(Inputs!$E$5="Battery Electric",'CFP Credit Estimator'!$J26,IF(Inputs!$E$5="LPG-Propane",'CFP Credit Estimator'!$J68,IF(Inputs!$E$5="CNG-Natural Gas",'CFP Credit Estimator'!$J190,0)))</f>
        <v>226.20061348048077</v>
      </c>
      <c r="N51" s="533">
        <f>Inputs!$F$36</f>
        <v>128.08000000000001</v>
      </c>
      <c r="O51" s="533">
        <f>IF(Inputs!$E$35="Yes",M51*N51,0)</f>
        <v>28971.77457457998</v>
      </c>
      <c r="P51" s="539">
        <f t="shared" si="9"/>
        <v>1195335.6974771875</v>
      </c>
      <c r="R51" s="548">
        <f>R50*(1+Inputs!$B$25)</f>
        <v>114.63985526030011</v>
      </c>
      <c r="S51" s="552">
        <f t="shared" si="10"/>
        <v>442.68860966578359</v>
      </c>
    </row>
    <row r="52" spans="1:19" x14ac:dyDescent="0.25">
      <c r="A52" s="71" t="s">
        <v>634</v>
      </c>
      <c r="B52" s="805">
        <f>B51*B26</f>
        <v>456250</v>
      </c>
      <c r="C52" s="805"/>
      <c r="D52" s="804">
        <f>D51*D26</f>
        <v>1000000</v>
      </c>
      <c r="E52" s="817"/>
      <c r="G52" s="529" t="s">
        <v>464</v>
      </c>
      <c r="H52" s="661"/>
      <c r="I52" s="661"/>
      <c r="J52" s="531">
        <f>(IF(Inputs!$E$32=Inputs!$F$32,(HLOOKUP($D$25,'Bus 2 Calc'!$B$49:$J$64,6,FALSE)),(HLOOKUP($D$25,'Bus 2 Calc'!$B$68:$J$83,6,FALSE))))</f>
        <v>-10862.104682410663</v>
      </c>
      <c r="K52" s="531">
        <f>HLOOKUP($D$25,'Bus 2 Calc'!$B$31:$J$46,6,FALSE)</f>
        <v>35541.370223134931</v>
      </c>
      <c r="L52" s="537">
        <f t="shared" si="8"/>
        <v>24679.265540724267</v>
      </c>
      <c r="M52" s="535">
        <f>IF(Inputs!$E$5="Battery Electric",'CFP Credit Estimator'!$J27,IF(Inputs!$E$5="LPG-Propane",'CFP Credit Estimator'!$J69,IF(Inputs!$E$5="CNG-Natural Gas",'CFP Credit Estimator'!$J191,0)))</f>
        <v>221.25394348048076</v>
      </c>
      <c r="N52" s="533">
        <f>Inputs!$F$36</f>
        <v>128.08000000000001</v>
      </c>
      <c r="O52" s="533">
        <f>IF(Inputs!$E$35="Yes",M52*N52,0)</f>
        <v>28338.205080979977</v>
      </c>
      <c r="P52" s="539">
        <f t="shared" si="9"/>
        <v>1220014.9630179117</v>
      </c>
      <c r="R52" s="548">
        <f>R51*(1+Inputs!$B$25)</f>
        <v>117.39121178654732</v>
      </c>
      <c r="S52" s="552">
        <f t="shared" si="10"/>
        <v>560.07982145233086</v>
      </c>
    </row>
    <row r="53" spans="1:19" x14ac:dyDescent="0.25">
      <c r="A53" s="71" t="s">
        <v>648</v>
      </c>
      <c r="B53" s="804">
        <f>Inputs!B19</f>
        <v>0</v>
      </c>
      <c r="C53" s="804"/>
      <c r="D53" s="804">
        <f>Inputs!E19</f>
        <v>111250</v>
      </c>
      <c r="E53" s="817"/>
      <c r="G53" s="529" t="s">
        <v>465</v>
      </c>
      <c r="H53" s="661"/>
      <c r="I53" s="661"/>
      <c r="J53" s="531">
        <f>(IF(Inputs!$E$32=Inputs!$F$32,(HLOOKUP($D$25,'Bus 2 Calc'!$B$49:$J$64,7,FALSE)),(HLOOKUP($D$25,'Bus 2 Calc'!$B$68:$J$83,7,FALSE))))</f>
        <v>-10345.735662207768</v>
      </c>
      <c r="K53" s="531">
        <f>HLOOKUP($D$25,'Bus 2 Calc'!$B$31:$J$46,7,FALSE)</f>
        <v>36394.363108490172</v>
      </c>
      <c r="L53" s="537">
        <f t="shared" si="8"/>
        <v>26048.627446282404</v>
      </c>
      <c r="M53" s="535">
        <f>IF(Inputs!$E$5="Battery Electric",'CFP Credit Estimator'!$J28,IF(Inputs!$E$5="LPG-Propane",'CFP Credit Estimator'!$J70,IF(Inputs!$E$5="CNG-Natural Gas",'CFP Credit Estimator'!$J192,0)))</f>
        <v>221.25394348048076</v>
      </c>
      <c r="N53" s="533">
        <f>Inputs!$F$36</f>
        <v>128.08000000000001</v>
      </c>
      <c r="O53" s="533">
        <f>IF(Inputs!$E$35="Yes",M53*N53,0)</f>
        <v>28338.205080979977</v>
      </c>
      <c r="P53" s="539">
        <f t="shared" si="9"/>
        <v>1246063.5904641941</v>
      </c>
      <c r="R53" s="548">
        <f>R52*(1+Inputs!$B$25)</f>
        <v>120.20860086942446</v>
      </c>
      <c r="S53" s="552">
        <f t="shared" si="10"/>
        <v>680.28842232175532</v>
      </c>
    </row>
    <row r="54" spans="1:19" x14ac:dyDescent="0.25">
      <c r="A54" s="71" t="s">
        <v>650</v>
      </c>
      <c r="B54" s="805">
        <f>B52+B53</f>
        <v>456250</v>
      </c>
      <c r="C54" s="805"/>
      <c r="D54" s="804">
        <f>D52+D53</f>
        <v>1111250</v>
      </c>
      <c r="E54" s="817"/>
      <c r="G54" s="529" t="s">
        <v>466</v>
      </c>
      <c r="H54" s="661"/>
      <c r="I54" s="661"/>
      <c r="J54" s="531">
        <f>(IF(Inputs!$E$32=Inputs!$F$32,(HLOOKUP($D$25,'Bus 2 Calc'!$B$49:$J$64,8,FALSE)),(HLOOKUP($D$25,'Bus 2 Calc'!$B$68:$J$83,8,FALSE))))</f>
        <v>-9854.1456010187758</v>
      </c>
      <c r="K54" s="531">
        <f>HLOOKUP($D$25,'Bus 2 Calc'!$B$31:$J$46,8,FALSE)</f>
        <v>37267.82782309394</v>
      </c>
      <c r="L54" s="537">
        <f t="shared" si="8"/>
        <v>27413.682222075164</v>
      </c>
      <c r="M54" s="535">
        <f>IF(Inputs!$E$5="Battery Electric",'CFP Credit Estimator'!$J29,IF(Inputs!$E$5="LPG-Propane",'CFP Credit Estimator'!$J71,IF(Inputs!$E$5="CNG-Natural Gas",'CFP Credit Estimator'!$J193,0)))</f>
        <v>221.25394348048076</v>
      </c>
      <c r="N54" s="533">
        <f>Inputs!$F$36</f>
        <v>128.08000000000001</v>
      </c>
      <c r="O54" s="533">
        <f>IF(Inputs!$E$35="Yes",M54*N54,0)</f>
        <v>28338.205080979977</v>
      </c>
      <c r="P54" s="539">
        <f t="shared" si="9"/>
        <v>1273477.2726862691</v>
      </c>
      <c r="R54" s="548">
        <f>R53*(1+Inputs!$B$25)</f>
        <v>123.09360729029065</v>
      </c>
      <c r="S54" s="552">
        <f t="shared" si="10"/>
        <v>803.38202961204593</v>
      </c>
    </row>
    <row r="55" spans="1:19" ht="18.75" x14ac:dyDescent="0.3">
      <c r="A55" s="827" t="s">
        <v>707</v>
      </c>
      <c r="B55" s="828"/>
      <c r="C55" s="828"/>
      <c r="D55" s="828"/>
      <c r="E55" s="829"/>
      <c r="G55" s="529" t="s">
        <v>467</v>
      </c>
      <c r="H55" s="661"/>
      <c r="I55" s="661"/>
      <c r="J55" s="531">
        <f>(IF(Inputs!$E$32=Inputs!$F$32,(HLOOKUP($D$25,'Bus 2 Calc'!$B$49:$J$64,9,FALSE)),(HLOOKUP($D$25,'Bus 2 Calc'!$B$68:$J$83,9,FALSE))))</f>
        <v>-9340.1072877450497</v>
      </c>
      <c r="K55" s="531">
        <f>HLOOKUP($D$25,'Bus 2 Calc'!$B$31:$J$46,9,FALSE)</f>
        <v>38162.255690848193</v>
      </c>
      <c r="L55" s="537">
        <f t="shared" si="8"/>
        <v>28822.148403103143</v>
      </c>
      <c r="M55" s="535">
        <f>IF(Inputs!$E$5="Battery Electric",'CFP Credit Estimator'!$J30,IF(Inputs!$E$5="LPG-Propane",'CFP Credit Estimator'!$J72,IF(Inputs!$E$5="CNG-Natural Gas",'CFP Credit Estimator'!$J194,0)))</f>
        <v>221.25394348048076</v>
      </c>
      <c r="N55" s="533">
        <f>Inputs!$F$36</f>
        <v>128.08000000000001</v>
      </c>
      <c r="O55" s="533">
        <f>IF(Inputs!$E$35="Yes",M55*N55,0)</f>
        <v>28338.205080979977</v>
      </c>
      <c r="P55" s="539">
        <f t="shared" si="9"/>
        <v>1302299.4210893724</v>
      </c>
      <c r="R55" s="548">
        <f>R54*(1+Inputs!$B$25)</f>
        <v>126.04785386525762</v>
      </c>
      <c r="S55" s="552">
        <f t="shared" si="10"/>
        <v>929.42988347730352</v>
      </c>
    </row>
    <row r="56" spans="1:19" x14ac:dyDescent="0.25">
      <c r="A56" s="71" t="s">
        <v>651</v>
      </c>
      <c r="B56" s="399" t="s">
        <v>655</v>
      </c>
      <c r="C56" s="399" t="s">
        <v>497</v>
      </c>
      <c r="D56" s="399" t="s">
        <v>655</v>
      </c>
      <c r="E56" s="467" t="s">
        <v>497</v>
      </c>
      <c r="G56" s="529" t="s">
        <v>468</v>
      </c>
      <c r="H56" s="661"/>
      <c r="I56" s="661"/>
      <c r="J56" s="531">
        <f>(IF(Inputs!$E$32=Inputs!$F$32,(HLOOKUP($D$25,'Bus 2 Calc'!$B$49:$J$64,10,FALSE)),(HLOOKUP($D$25,'Bus 2 Calc'!$B$68:$J$83,10,FALSE))))</f>
        <v>-8788.1955142075858</v>
      </c>
      <c r="K56" s="531">
        <f>HLOOKUP($D$25,'Bus 2 Calc'!$B$31:$J$46,10,FALSE)</f>
        <v>39078.149827428548</v>
      </c>
      <c r="L56" s="537">
        <f t="shared" si="8"/>
        <v>30289.954313220962</v>
      </c>
      <c r="M56" s="535">
        <f>IF(Inputs!$E$5="Battery Electric",'CFP Credit Estimator'!$J31,IF(Inputs!$E$5="LPG-Propane",'CFP Credit Estimator'!$J73,IF(Inputs!$E$5="CNG-Natural Gas",'CFP Credit Estimator'!$J195,0)))</f>
        <v>221.25394348048076</v>
      </c>
      <c r="N56" s="533">
        <f>Inputs!$F$36</f>
        <v>128.08000000000001</v>
      </c>
      <c r="O56" s="533">
        <f>IF(Inputs!$E$35="Yes",M56*N56,0)</f>
        <v>28338.205080979977</v>
      </c>
      <c r="P56" s="539">
        <f t="shared" si="9"/>
        <v>1332589.3754025933</v>
      </c>
      <c r="R56" s="548">
        <f>R55*(1+Inputs!$B$25)</f>
        <v>129.07300235802381</v>
      </c>
      <c r="S56" s="552">
        <f t="shared" si="10"/>
        <v>1058.5028858353273</v>
      </c>
    </row>
    <row r="57" spans="1:19" x14ac:dyDescent="0.25">
      <c r="A57" s="71" t="s">
        <v>652</v>
      </c>
      <c r="B57" s="402">
        <f>C57*B27</f>
        <v>1221.987338071184</v>
      </c>
      <c r="C57" s="471">
        <f>VLOOKUP(B25,'Default Data'!A2:AI10,20,FALSE)</f>
        <v>8.1465822538078936E-2</v>
      </c>
      <c r="D57" s="408">
        <f>E57*D27</f>
        <v>4.6099115519718197</v>
      </c>
      <c r="E57" s="472">
        <f>VLOOKUP(D25,'Default Data'!A2:AI10,20,FALSE)</f>
        <v>3.0732743679812131E-4</v>
      </c>
      <c r="G57" s="529" t="s">
        <v>469</v>
      </c>
      <c r="H57" s="661"/>
      <c r="I57" s="661"/>
      <c r="J57" s="531">
        <f>(IF(Inputs!$E$32=Inputs!$F$32,(HLOOKUP($D$25,'Bus 2 Calc'!$B$49:$J$64,11,FALSE)),(HLOOKUP($D$25,'Bus 2 Calc'!$B$68:$J$83,11,FALSE))))</f>
        <v>-8339.6781630882797</v>
      </c>
      <c r="K57" s="531">
        <f>HLOOKUP($D$25,'Bus 2 Calc'!$B$31:$J$46,11,FALSE)</f>
        <v>40016.025423286832</v>
      </c>
      <c r="L57" s="537">
        <f t="shared" si="8"/>
        <v>31676.347260198552</v>
      </c>
      <c r="M57" s="535">
        <f>IF(Inputs!$E$5="Battery Electric",'CFP Credit Estimator'!$J32,IF(Inputs!$E$5="LPG-Propane",'CFP Credit Estimator'!$J74,IF(Inputs!$E$5="CNG-Natural Gas",'CFP Credit Estimator'!$J196,0)))</f>
        <v>221.25394348048076</v>
      </c>
      <c r="N57" s="533">
        <f>Inputs!$F$36</f>
        <v>128.08000000000001</v>
      </c>
      <c r="O57" s="533">
        <f>IF(Inputs!$E$35="Yes",M57*N57,0)</f>
        <v>28338.205080979977</v>
      </c>
      <c r="P57" s="539">
        <f t="shared" si="9"/>
        <v>1364265.7226627918</v>
      </c>
      <c r="R57" s="548">
        <f>R56*(1+Inputs!$B$25)</f>
        <v>132.1707544146164</v>
      </c>
      <c r="S57" s="552">
        <f t="shared" si="10"/>
        <v>1190.6736402499437</v>
      </c>
    </row>
    <row r="58" spans="1:19" ht="15" customHeight="1" x14ac:dyDescent="0.25">
      <c r="A58" s="71" t="s">
        <v>653</v>
      </c>
      <c r="B58" s="402">
        <f>C58*B27</f>
        <v>127.18367264030837</v>
      </c>
      <c r="C58" s="470">
        <f>VLOOKUP(B25,'Default Data'!A2:AI10,22,FALSE)</f>
        <v>8.4789115093538911E-3</v>
      </c>
      <c r="D58" s="408">
        <f>E58*D27</f>
        <v>14.802850259798362</v>
      </c>
      <c r="E58" s="473">
        <f>VLOOKUP(D25,'Default Data'!A2:AI10,22,FALSE)</f>
        <v>9.8685668398655743E-4</v>
      </c>
      <c r="G58" s="529" t="s">
        <v>470</v>
      </c>
      <c r="H58" s="661"/>
      <c r="I58" s="661"/>
      <c r="J58" s="531">
        <f>(IF(Inputs!$E$32=Inputs!$F$32,(HLOOKUP($D$25,'Bus 2 Calc'!$B$49:$J$64,12,FALSE)),(HLOOKUP($D$25,'Bus 2 Calc'!$B$68:$J$83,12,FALSE))))</f>
        <v>-7776.2696927192701</v>
      </c>
      <c r="K58" s="531">
        <f>HLOOKUP($D$25,'Bus 2 Calc'!$B$31:$J$46,12,FALSE)</f>
        <v>40976.410033445718</v>
      </c>
      <c r="L58" s="537">
        <f t="shared" si="8"/>
        <v>33200.140340726444</v>
      </c>
      <c r="M58" s="535">
        <f>IF(Inputs!$E$5="Battery Electric",'CFP Credit Estimator'!$J33,IF(Inputs!$E$5="LPG-Propane",'CFP Credit Estimator'!$J75,IF(Inputs!$E$5="CNG-Natural Gas",'CFP Credit Estimator'!$J197,0)))</f>
        <v>221.25394348048076</v>
      </c>
      <c r="N58" s="533">
        <f>Inputs!$F$36</f>
        <v>128.08000000000001</v>
      </c>
      <c r="O58" s="533">
        <f>IF(Inputs!$E$35="Yes",M58*N58,0)</f>
        <v>28338.205080979977</v>
      </c>
      <c r="P58" s="539">
        <f t="shared" si="9"/>
        <v>1397465.8630035182</v>
      </c>
      <c r="R58" s="548">
        <f>R57*(1+Inputs!$B$25)</f>
        <v>135.34285252056719</v>
      </c>
      <c r="S58" s="552">
        <f t="shared" si="10"/>
        <v>1326.0164927705109</v>
      </c>
    </row>
    <row r="59" spans="1:19" x14ac:dyDescent="0.25">
      <c r="A59" s="71" t="s">
        <v>654</v>
      </c>
      <c r="B59" s="402">
        <f>C59*B27</f>
        <v>1004.5701184421805</v>
      </c>
      <c r="C59" s="470">
        <f>VLOOKUP(B25,'Default Data'!A2:AI10,24,FALSE)</f>
        <v>6.6971341229478704E-2</v>
      </c>
      <c r="D59" s="408">
        <f>E59*D27</f>
        <v>87.353923342798311</v>
      </c>
      <c r="E59" s="473">
        <f>VLOOKUP(D25,'Default Data'!A2:AI10,24,FALSE)</f>
        <v>5.8235948895198871E-3</v>
      </c>
      <c r="G59" s="529" t="s">
        <v>471</v>
      </c>
      <c r="H59" s="661"/>
      <c r="I59" s="661"/>
      <c r="J59" s="531">
        <f>(IF(Inputs!$E$32=Inputs!$F$32,(HLOOKUP($D$25,'Bus 2 Calc'!$B$49:$J$64,13,FALSE)),(HLOOKUP($D$25,'Bus 2 Calc'!$B$68:$J$83,13,FALSE))))</f>
        <v>-7304.561413401454</v>
      </c>
      <c r="K59" s="531">
        <f>HLOOKUP($D$25,'Bus 2 Calc'!$B$31:$J$46,13,FALSE)</f>
        <v>41959.843874248414</v>
      </c>
      <c r="L59" s="537">
        <f t="shared" si="8"/>
        <v>34655.28246084696</v>
      </c>
      <c r="M59" s="535">
        <f>IF(Inputs!$E$5="Battery Electric",'CFP Credit Estimator'!$J34,IF(Inputs!$E$5="LPG-Propane",'CFP Credit Estimator'!$J76,IF(Inputs!$E$5="CNG-Natural Gas",'CFP Credit Estimator'!$J198,0)))</f>
        <v>221.25394348048076</v>
      </c>
      <c r="N59" s="533">
        <f>Inputs!$F$36</f>
        <v>128.08000000000001</v>
      </c>
      <c r="O59" s="533">
        <f>IF(Inputs!$E$35="Yes",M59*N59,0)</f>
        <v>28338.205080979977</v>
      </c>
      <c r="P59" s="539">
        <f t="shared" si="9"/>
        <v>1432121.1454643651</v>
      </c>
      <c r="R59" s="548">
        <f>R58*(1+Inputs!$B$25)</f>
        <v>138.5910809810608</v>
      </c>
      <c r="S59" s="552">
        <f t="shared" si="10"/>
        <v>1464.6075737515716</v>
      </c>
    </row>
    <row r="60" spans="1:19" x14ac:dyDescent="0.25">
      <c r="A60" s="71" t="s">
        <v>756</v>
      </c>
      <c r="B60" s="408">
        <f>SUM(B57:B59)</f>
        <v>2353.7411291536728</v>
      </c>
      <c r="C60" s="399"/>
      <c r="D60" s="408">
        <f>SUM(D57:D59)</f>
        <v>106.76668515456849</v>
      </c>
      <c r="E60" s="467"/>
      <c r="G60" s="529" t="s">
        <v>472</v>
      </c>
      <c r="H60" s="661"/>
      <c r="I60" s="661"/>
      <c r="J60" s="531">
        <f>(IF(Inputs!$E$32=Inputs!$F$32,(HLOOKUP($D$25,'Bus 2 Calc'!$B$49:$J$64,14,FALSE)),(HLOOKUP($D$25,'Bus 2 Calc'!$B$68:$J$83,14,FALSE))))</f>
        <v>-6702.527836127083</v>
      </c>
      <c r="K60" s="531">
        <f>HLOOKUP($D$25,'Bus 2 Calc'!$B$31:$J$46,14,FALSE)</f>
        <v>42966.880127230375</v>
      </c>
      <c r="L60" s="537">
        <f t="shared" si="8"/>
        <v>36264.352291103292</v>
      </c>
      <c r="M60" s="535">
        <f>IF(Inputs!$E$5="Battery Electric",'CFP Credit Estimator'!$J35,IF(Inputs!$E$5="LPG-Propane",'CFP Credit Estimator'!$J77,IF(Inputs!$E$5="CNG-Natural Gas",'CFP Credit Estimator'!$J199,0)))</f>
        <v>221.25394348048076</v>
      </c>
      <c r="N60" s="533">
        <f>Inputs!$F$36</f>
        <v>128.08000000000001</v>
      </c>
      <c r="O60" s="533">
        <f>IF(Inputs!$E$35="Yes",M60*N60,0)</f>
        <v>28338.205080979977</v>
      </c>
      <c r="P60" s="539">
        <f t="shared" si="9"/>
        <v>1468385.4977554684</v>
      </c>
      <c r="R60" s="548">
        <f>R59*(1+Inputs!$B$25)</f>
        <v>141.91726692460625</v>
      </c>
      <c r="S60" s="552">
        <f t="shared" si="10"/>
        <v>1606.524840676178</v>
      </c>
    </row>
    <row r="61" spans="1:19" x14ac:dyDescent="0.25">
      <c r="A61" s="71" t="s">
        <v>757</v>
      </c>
      <c r="B61" s="408">
        <f>B60*B26</f>
        <v>11768.705645768365</v>
      </c>
      <c r="C61" s="399"/>
      <c r="D61" s="408">
        <f>D60*D26</f>
        <v>533.83342577284247</v>
      </c>
      <c r="E61" s="467"/>
      <c r="G61" s="529" t="s">
        <v>473</v>
      </c>
      <c r="H61" s="661"/>
      <c r="I61" s="661"/>
      <c r="J61" s="531">
        <f>(IF(Inputs!$E$32=Inputs!$F$32,(HLOOKUP($D$25,'Bus 2 Calc'!$B$49:$J$64,15,FALSE)),(HLOOKUP($D$25,'Bus 2 Calc'!$B$68:$J$83,15,FALSE))))</f>
        <v>-6193.0429664175026</v>
      </c>
      <c r="K61" s="531">
        <f>HLOOKUP($D$25,'Bus 2 Calc'!$B$31:$J$46,15,FALSE)</f>
        <v>43998.085250283904</v>
      </c>
      <c r="L61" s="537">
        <f t="shared" si="8"/>
        <v>37805.042283866402</v>
      </c>
      <c r="M61" s="535">
        <f>IF(Inputs!$E$5="Battery Electric",'CFP Credit Estimator'!$J36,IF(Inputs!$E$5="LPG-Propane",'CFP Credit Estimator'!$J78,IF(Inputs!$E$5="CNG-Natural Gas",'CFP Credit Estimator'!$J200,0)))</f>
        <v>221.25394348048076</v>
      </c>
      <c r="N61" s="533">
        <f>Inputs!$F$36</f>
        <v>128.08000000000001</v>
      </c>
      <c r="O61" s="533">
        <f>IF(Inputs!$E$35="Yes",M61*N61,0)</f>
        <v>28338.205080979977</v>
      </c>
      <c r="P61" s="539">
        <f t="shared" si="9"/>
        <v>1506190.5400393347</v>
      </c>
      <c r="R61" s="548">
        <f>R60*(1+Inputs!$B$25)</f>
        <v>145.32328133079682</v>
      </c>
      <c r="S61" s="552">
        <f t="shared" si="10"/>
        <v>1751.8481220069748</v>
      </c>
    </row>
    <row r="62" spans="1:19" ht="19.5" thickBot="1" x14ac:dyDescent="0.35">
      <c r="A62" s="827" t="s">
        <v>720</v>
      </c>
      <c r="B62" s="828"/>
      <c r="C62" s="828"/>
      <c r="D62" s="828"/>
      <c r="E62" s="829"/>
      <c r="G62" s="587" t="s">
        <v>474</v>
      </c>
      <c r="H62" s="662"/>
      <c r="I62" s="662"/>
      <c r="J62" s="588">
        <f>(IF(Inputs!$E$32=Inputs!$F$32,(HLOOKUP($D$25,'Bus 2 Calc'!$B$49:$J$64,16,FALSE)),(HLOOKUP($D$25,'Bus 2 Calc'!$B$68:$J$83,16,FALSE))))</f>
        <v>-5775.2064366055311</v>
      </c>
      <c r="K62" s="588">
        <f>HLOOKUP($D$25,'Bus 2 Calc'!$B$31:$J$46,16,FALSE)</f>
        <v>45054.039296290721</v>
      </c>
      <c r="L62" s="589">
        <f t="shared" si="8"/>
        <v>39278.832859685193</v>
      </c>
      <c r="M62" s="590">
        <f>IF(Inputs!$E$5="Battery Electric",'CFP Credit Estimator'!$J37,IF(Inputs!$E$5="LPG-Propane",'CFP Credit Estimator'!$J79,IF(Inputs!$E$5="CNG-Natural Gas",'CFP Credit Estimator'!$J201,0)))</f>
        <v>221.25394348048076</v>
      </c>
      <c r="N62" s="591">
        <f>Inputs!$F$36</f>
        <v>128.08000000000001</v>
      </c>
      <c r="O62" s="591">
        <f>IF(Inputs!$E$35="Yes",M62*N62,0)</f>
        <v>28338.205080979977</v>
      </c>
      <c r="P62" s="592">
        <f t="shared" si="9"/>
        <v>1545469.3728990199</v>
      </c>
      <c r="R62" s="548">
        <f>R61*(1+Inputs!$B$25)</f>
        <v>148.81104008273596</v>
      </c>
      <c r="S62" s="552">
        <f t="shared" si="10"/>
        <v>1900.6591620897107</v>
      </c>
    </row>
    <row r="63" spans="1:19" ht="15.75" thickBot="1" x14ac:dyDescent="0.3">
      <c r="A63" s="474" t="s">
        <v>721</v>
      </c>
      <c r="B63" s="475">
        <f>M40</f>
        <v>0</v>
      </c>
      <c r="C63" s="399"/>
      <c r="D63" s="475">
        <f>M63</f>
        <v>3360.9437322072113</v>
      </c>
      <c r="E63" s="467"/>
      <c r="G63" s="585" t="s">
        <v>286</v>
      </c>
      <c r="H63" s="598">
        <f t="shared" ref="H63:M63" si="11">SUM(H48:H62)</f>
        <v>1000000</v>
      </c>
      <c r="I63" s="598">
        <f t="shared" si="11"/>
        <v>111250</v>
      </c>
      <c r="J63" s="598">
        <f t="shared" si="11"/>
        <v>-141224.30742224466</v>
      </c>
      <c r="K63" s="598">
        <f t="shared" si="11"/>
        <v>575443.6803212649</v>
      </c>
      <c r="L63" s="593">
        <f t="shared" si="11"/>
        <v>1545469.3728990199</v>
      </c>
      <c r="M63" s="599">
        <f t="shared" si="11"/>
        <v>3360.9437322072113</v>
      </c>
      <c r="N63" s="664"/>
      <c r="O63" s="600">
        <f>SUM(O48:O62)</f>
        <v>430469.6732210996</v>
      </c>
      <c r="P63" s="586"/>
      <c r="R63" s="605">
        <f>SUM(R48:R62)</f>
        <v>1900.6591620897107</v>
      </c>
      <c r="S63" s="550"/>
    </row>
    <row r="64" spans="1:19" ht="24.75" thickTop="1" thickBot="1" x14ac:dyDescent="0.4">
      <c r="A64" s="476" t="s">
        <v>722</v>
      </c>
      <c r="B64" s="477">
        <f>O40</f>
        <v>0</v>
      </c>
      <c r="C64" s="73"/>
      <c r="D64" s="477">
        <f>O63</f>
        <v>430469.6732210996</v>
      </c>
      <c r="E64" s="478"/>
      <c r="P64" s="604"/>
      <c r="Q64" s="543"/>
    </row>
    <row r="65" spans="1:3" ht="66.75" customHeight="1" thickBot="1" x14ac:dyDescent="0.3"/>
    <row r="66" spans="1:3" ht="53.25" customHeight="1" thickTop="1" thickBot="1" x14ac:dyDescent="0.4">
      <c r="A66" s="790" t="s">
        <v>828</v>
      </c>
      <c r="B66" s="791"/>
      <c r="C66" s="792"/>
    </row>
    <row r="67" spans="1:3" ht="60.95" customHeight="1" thickTop="1" x14ac:dyDescent="0.3">
      <c r="A67" s="557"/>
      <c r="B67" s="558" t="str">
        <f>+B25</f>
        <v>Diesel (B5)</v>
      </c>
      <c r="C67" s="559" t="str">
        <f>+D25</f>
        <v>Battery Electric</v>
      </c>
    </row>
    <row r="68" spans="1:3" ht="32.1" customHeight="1" x14ac:dyDescent="0.3">
      <c r="A68" s="556" t="s">
        <v>658</v>
      </c>
      <c r="B68" s="555">
        <f>H40</f>
        <v>456250</v>
      </c>
      <c r="C68" s="553">
        <f>H63</f>
        <v>1000000</v>
      </c>
    </row>
    <row r="69" spans="1:3" ht="19.5" thickBot="1" x14ac:dyDescent="0.35">
      <c r="A69" s="568" t="s">
        <v>169</v>
      </c>
      <c r="B69" s="569">
        <f>I40</f>
        <v>0</v>
      </c>
      <c r="C69" s="570">
        <f>I63</f>
        <v>111250</v>
      </c>
    </row>
    <row r="70" spans="1:3" ht="47.25" customHeight="1" thickBot="1" x14ac:dyDescent="0.35">
      <c r="A70" s="574" t="s">
        <v>286</v>
      </c>
      <c r="B70" s="575">
        <f>SUM(B68:B69)</f>
        <v>456250</v>
      </c>
      <c r="C70" s="576">
        <f>SUM(C68:C69)</f>
        <v>1111250</v>
      </c>
    </row>
    <row r="71" spans="1:3" ht="87.75" customHeight="1" thickTop="1" thickBot="1" x14ac:dyDescent="0.3"/>
    <row r="72" spans="1:3" ht="24.75" thickTop="1" thickBot="1" x14ac:dyDescent="0.4">
      <c r="A72" s="790" t="s">
        <v>807</v>
      </c>
      <c r="B72" s="798"/>
      <c r="C72" s="799"/>
    </row>
    <row r="73" spans="1:3" ht="19.5" thickTop="1" x14ac:dyDescent="0.3">
      <c r="A73" s="560"/>
      <c r="B73" s="561" t="str">
        <f>G23</f>
        <v>Diesel (B5)</v>
      </c>
      <c r="C73" s="562" t="str">
        <f>D25</f>
        <v>Battery Electric</v>
      </c>
    </row>
    <row r="74" spans="1:3" ht="18.75" x14ac:dyDescent="0.3">
      <c r="A74" s="556" t="s">
        <v>658</v>
      </c>
      <c r="B74" s="555">
        <f>H25</f>
        <v>456250</v>
      </c>
      <c r="C74" s="534">
        <f>H48</f>
        <v>1000000</v>
      </c>
    </row>
    <row r="75" spans="1:3" ht="18.75" x14ac:dyDescent="0.3">
      <c r="A75" s="556" t="s">
        <v>169</v>
      </c>
      <c r="B75" s="555">
        <f>I25</f>
        <v>0</v>
      </c>
      <c r="C75" s="534">
        <f>I48</f>
        <v>111250</v>
      </c>
    </row>
    <row r="76" spans="1:3" ht="18.75" x14ac:dyDescent="0.3">
      <c r="A76" s="556" t="s">
        <v>659</v>
      </c>
      <c r="B76" s="555">
        <f>J25</f>
        <v>24321.752848072374</v>
      </c>
      <c r="C76" s="534">
        <f>J48</f>
        <v>-13032.280208199278</v>
      </c>
    </row>
    <row r="77" spans="1:3" ht="61.5" customHeight="1" thickBot="1" x14ac:dyDescent="0.35">
      <c r="A77" s="568" t="s">
        <v>874</v>
      </c>
      <c r="B77" s="569">
        <f>K25</f>
        <v>36602.355733723438</v>
      </c>
      <c r="C77" s="571">
        <f>K48</f>
        <v>32324.687911691326</v>
      </c>
    </row>
    <row r="78" spans="1:3" ht="42.75" customHeight="1" thickBot="1" x14ac:dyDescent="0.35">
      <c r="A78" s="574" t="s">
        <v>286</v>
      </c>
      <c r="B78" s="575">
        <f>SUM(B74:B77)</f>
        <v>517174.10858179582</v>
      </c>
      <c r="C78" s="577">
        <f>SUM(C74:C77)</f>
        <v>1130542.4077034921</v>
      </c>
    </row>
    <row r="79" spans="1:3" ht="140.25" customHeight="1" thickTop="1" x14ac:dyDescent="0.3">
      <c r="A79" s="606"/>
      <c r="B79" s="607"/>
      <c r="C79" s="608"/>
    </row>
    <row r="80" spans="1:3" ht="75.75" customHeight="1" thickBot="1" x14ac:dyDescent="0.3"/>
    <row r="81" spans="1:17" ht="22.5" customHeight="1" thickTop="1" thickBot="1" x14ac:dyDescent="0.4">
      <c r="A81" s="800" t="s">
        <v>829</v>
      </c>
      <c r="B81" s="801"/>
      <c r="C81" s="802"/>
      <c r="P81" s="399"/>
      <c r="Q81" s="399"/>
    </row>
    <row r="82" spans="1:17" ht="19.5" thickTop="1" x14ac:dyDescent="0.3">
      <c r="A82" s="566"/>
      <c r="B82" s="564" t="str">
        <f>+B25</f>
        <v>Diesel (B5)</v>
      </c>
      <c r="C82" s="562" t="str">
        <f>+D25</f>
        <v>Battery Electric</v>
      </c>
      <c r="Q82" s="545"/>
    </row>
    <row r="83" spans="1:17" x14ac:dyDescent="0.25">
      <c r="A83" s="567" t="s">
        <v>658</v>
      </c>
      <c r="B83" s="565">
        <f>H40</f>
        <v>456250</v>
      </c>
      <c r="C83" s="534">
        <f>H63</f>
        <v>1000000</v>
      </c>
    </row>
    <row r="84" spans="1:17" x14ac:dyDescent="0.25">
      <c r="A84" s="567" t="s">
        <v>169</v>
      </c>
      <c r="B84" s="565">
        <f>I40</f>
        <v>0</v>
      </c>
      <c r="C84" s="534">
        <f>I63</f>
        <v>111250</v>
      </c>
    </row>
    <row r="85" spans="1:17" x14ac:dyDescent="0.25">
      <c r="A85" s="567" t="s">
        <v>659</v>
      </c>
      <c r="B85" s="565">
        <f>J40</f>
        <v>538167.31848691287</v>
      </c>
      <c r="C85" s="534">
        <f>J63</f>
        <v>-141224.30742224466</v>
      </c>
    </row>
    <row r="86" spans="1:17" ht="15.75" thickBot="1" x14ac:dyDescent="0.3">
      <c r="A86" s="572" t="s">
        <v>660</v>
      </c>
      <c r="B86" s="573">
        <f>K40</f>
        <v>651594.66811817093</v>
      </c>
      <c r="C86" s="571">
        <f>K63</f>
        <v>575443.6803212649</v>
      </c>
    </row>
    <row r="87" spans="1:17" ht="37.5" customHeight="1" thickTop="1" thickBot="1" x14ac:dyDescent="0.3">
      <c r="A87" s="578" t="s">
        <v>286</v>
      </c>
      <c r="B87" s="579">
        <f>SUM(B83:B86)</f>
        <v>1646011.9866050838</v>
      </c>
      <c r="C87" s="580">
        <f>SUM(C83:C86)</f>
        <v>1545469.3728990201</v>
      </c>
    </row>
    <row r="88" spans="1:17" ht="58.5" customHeight="1" thickTop="1" thickBot="1" x14ac:dyDescent="0.3"/>
    <row r="89" spans="1:17" ht="31.5" customHeight="1" thickTop="1" thickBot="1" x14ac:dyDescent="0.4">
      <c r="A89" s="800" t="s">
        <v>830</v>
      </c>
      <c r="B89" s="801"/>
      <c r="C89" s="802"/>
    </row>
    <row r="90" spans="1:17" ht="19.5" thickTop="1" x14ac:dyDescent="0.3">
      <c r="A90" s="566"/>
      <c r="B90" s="564" t="str">
        <f>G23</f>
        <v>Diesel (B5)</v>
      </c>
      <c r="C90" s="562" t="str">
        <f>+D25</f>
        <v>Battery Electric</v>
      </c>
    </row>
    <row r="91" spans="1:17" x14ac:dyDescent="0.25">
      <c r="A91" s="567" t="s">
        <v>658</v>
      </c>
      <c r="B91" s="565">
        <f>H40</f>
        <v>456250</v>
      </c>
      <c r="C91" s="534">
        <f>H63</f>
        <v>1000000</v>
      </c>
    </row>
    <row r="92" spans="1:17" x14ac:dyDescent="0.25">
      <c r="A92" s="567" t="s">
        <v>169</v>
      </c>
      <c r="B92" s="565">
        <f>I40</f>
        <v>0</v>
      </c>
      <c r="C92" s="534">
        <f>+I63</f>
        <v>111250</v>
      </c>
    </row>
    <row r="93" spans="1:17" x14ac:dyDescent="0.25">
      <c r="A93" s="567" t="s">
        <v>659</v>
      </c>
      <c r="B93" s="565">
        <f>J40</f>
        <v>538167.31848691287</v>
      </c>
      <c r="C93" s="534">
        <f>+J63</f>
        <v>-141224.30742224466</v>
      </c>
    </row>
    <row r="94" spans="1:17" x14ac:dyDescent="0.25">
      <c r="A94" s="567" t="s">
        <v>874</v>
      </c>
      <c r="B94" s="565">
        <f>K40</f>
        <v>651594.66811817093</v>
      </c>
      <c r="C94" s="534">
        <f>+K63</f>
        <v>575443.6803212649</v>
      </c>
    </row>
    <row r="95" spans="1:17" x14ac:dyDescent="0.25">
      <c r="A95" s="567" t="s">
        <v>597</v>
      </c>
      <c r="B95" s="565">
        <f>R40</f>
        <v>41901.269444084479</v>
      </c>
      <c r="C95" s="534">
        <f>R63</f>
        <v>1900.6591620897107</v>
      </c>
    </row>
    <row r="96" spans="1:17" ht="26.25" customHeight="1" thickBot="1" x14ac:dyDescent="0.3">
      <c r="A96" s="581" t="s">
        <v>286</v>
      </c>
      <c r="B96" s="582">
        <f>SUM(B91:B95)</f>
        <v>1687913.2560491683</v>
      </c>
      <c r="C96" s="583">
        <f>SUM(C91:C95)</f>
        <v>1547370.0320611098</v>
      </c>
    </row>
    <row r="97" spans="1:3" ht="85.5" customHeight="1" thickTop="1" thickBot="1" x14ac:dyDescent="0.3"/>
    <row r="98" spans="1:3" ht="28.5" customHeight="1" thickTop="1" thickBot="1" x14ac:dyDescent="0.4">
      <c r="A98" s="790" t="s">
        <v>808</v>
      </c>
      <c r="B98" s="791"/>
      <c r="C98" s="792"/>
    </row>
    <row r="99" spans="1:3" ht="18.600000000000001" customHeight="1" thickTop="1" x14ac:dyDescent="0.3">
      <c r="A99" s="563"/>
      <c r="B99" s="609" t="str">
        <f>B25</f>
        <v>Diesel (B5)</v>
      </c>
      <c r="C99" s="559" t="str">
        <f>D25</f>
        <v>Battery Electric</v>
      </c>
    </row>
    <row r="100" spans="1:3" ht="18.600000000000001" customHeight="1" x14ac:dyDescent="0.25">
      <c r="A100" s="610" t="s">
        <v>460</v>
      </c>
      <c r="B100" s="532">
        <f t="shared" ref="B100:B114" si="12">J25+K25</f>
        <v>60924.108581795808</v>
      </c>
      <c r="C100" s="534">
        <f t="shared" ref="C100:C114" si="13">J48+K48</f>
        <v>19292.407703492048</v>
      </c>
    </row>
    <row r="101" spans="1:3" ht="18.600000000000001" customHeight="1" x14ac:dyDescent="0.25">
      <c r="A101" s="610" t="s">
        <v>461</v>
      </c>
      <c r="B101" s="532">
        <f t="shared" si="12"/>
        <v>63223.427054183609</v>
      </c>
      <c r="C101" s="534">
        <f t="shared" si="13"/>
        <v>20372.985988896333</v>
      </c>
    </row>
    <row r="102" spans="1:3" ht="18.600000000000001" customHeight="1" x14ac:dyDescent="0.25">
      <c r="A102" s="610" t="s">
        <v>462</v>
      </c>
      <c r="B102" s="532">
        <f t="shared" si="12"/>
        <v>66804.598052115092</v>
      </c>
      <c r="C102" s="534">
        <f t="shared" si="13"/>
        <v>21550.076154611535</v>
      </c>
    </row>
    <row r="103" spans="1:3" ht="18.600000000000001" customHeight="1" x14ac:dyDescent="0.25">
      <c r="A103" s="610" t="s">
        <v>463</v>
      </c>
      <c r="B103" s="532">
        <f t="shared" si="12"/>
        <v>69235.209350100995</v>
      </c>
      <c r="C103" s="534">
        <f t="shared" si="13"/>
        <v>22870.227630187506</v>
      </c>
    </row>
    <row r="104" spans="1:3" ht="18.600000000000001" customHeight="1" x14ac:dyDescent="0.25">
      <c r="A104" s="610" t="s">
        <v>464</v>
      </c>
      <c r="B104" s="532">
        <f t="shared" si="12"/>
        <v>71580.968379367216</v>
      </c>
      <c r="C104" s="534">
        <f t="shared" si="13"/>
        <v>24679.265540724267</v>
      </c>
    </row>
    <row r="105" spans="1:3" ht="18.600000000000001" customHeight="1" x14ac:dyDescent="0.25">
      <c r="A105" s="610" t="s">
        <v>465</v>
      </c>
      <c r="B105" s="532">
        <f t="shared" si="12"/>
        <v>73995.577567223052</v>
      </c>
      <c r="C105" s="534">
        <f t="shared" si="13"/>
        <v>26048.627446282404</v>
      </c>
    </row>
    <row r="106" spans="1:3" ht="18.600000000000001" customHeight="1" x14ac:dyDescent="0.25">
      <c r="A106" s="610" t="s">
        <v>466</v>
      </c>
      <c r="B106" s="532">
        <f t="shared" si="12"/>
        <v>76471.850597818338</v>
      </c>
      <c r="C106" s="534">
        <f t="shared" si="13"/>
        <v>27413.682222075164</v>
      </c>
    </row>
    <row r="107" spans="1:3" ht="18.600000000000001" customHeight="1" x14ac:dyDescent="0.25">
      <c r="A107" s="610" t="s">
        <v>467</v>
      </c>
      <c r="B107" s="532">
        <f t="shared" si="12"/>
        <v>79051.455957345592</v>
      </c>
      <c r="C107" s="534">
        <f t="shared" si="13"/>
        <v>28822.148403103143</v>
      </c>
    </row>
    <row r="108" spans="1:3" ht="18.600000000000001" customHeight="1" x14ac:dyDescent="0.25">
      <c r="A108" s="610" t="s">
        <v>468</v>
      </c>
      <c r="B108" s="532">
        <f t="shared" si="12"/>
        <v>81456.582661628461</v>
      </c>
      <c r="C108" s="534">
        <f t="shared" si="13"/>
        <v>30289.954313220962</v>
      </c>
    </row>
    <row r="109" spans="1:3" ht="18.600000000000001" customHeight="1" x14ac:dyDescent="0.25">
      <c r="A109" s="610" t="s">
        <v>469</v>
      </c>
      <c r="B109" s="532">
        <f t="shared" si="12"/>
        <v>84821.923226885454</v>
      </c>
      <c r="C109" s="534">
        <f t="shared" si="13"/>
        <v>31676.347260198552</v>
      </c>
    </row>
    <row r="110" spans="1:3" ht="18.600000000000001" customHeight="1" x14ac:dyDescent="0.25">
      <c r="A110" s="610" t="s">
        <v>470</v>
      </c>
      <c r="B110" s="532">
        <f t="shared" si="12"/>
        <v>87389.220859019042</v>
      </c>
      <c r="C110" s="534">
        <f t="shared" si="13"/>
        <v>33200.140340726444</v>
      </c>
    </row>
    <row r="111" spans="1:3" ht="18.600000000000001" customHeight="1" x14ac:dyDescent="0.25">
      <c r="A111" s="610" t="s">
        <v>471</v>
      </c>
      <c r="B111" s="532">
        <f t="shared" si="12"/>
        <v>90072.684798490867</v>
      </c>
      <c r="C111" s="534">
        <f t="shared" si="13"/>
        <v>34655.28246084696</v>
      </c>
    </row>
    <row r="112" spans="1:3" ht="18.600000000000001" customHeight="1" x14ac:dyDescent="0.25">
      <c r="A112" s="610" t="s">
        <v>472</v>
      </c>
      <c r="B112" s="532">
        <f t="shared" si="12"/>
        <v>92495.035899937837</v>
      </c>
      <c r="C112" s="534">
        <f t="shared" si="13"/>
        <v>36264.352291103292</v>
      </c>
    </row>
    <row r="113" spans="1:14" ht="18.600000000000001" customHeight="1" x14ac:dyDescent="0.25">
      <c r="A113" s="610" t="s">
        <v>473</v>
      </c>
      <c r="B113" s="532">
        <f t="shared" si="12"/>
        <v>94879.711910533748</v>
      </c>
      <c r="C113" s="534">
        <f t="shared" si="13"/>
        <v>37805.042283866402</v>
      </c>
    </row>
    <row r="114" spans="1:14" ht="25.5" customHeight="1" thickBot="1" x14ac:dyDescent="0.4">
      <c r="A114" s="538" t="s">
        <v>474</v>
      </c>
      <c r="B114" s="601">
        <f t="shared" si="12"/>
        <v>97359.631708638655</v>
      </c>
      <c r="C114" s="554">
        <f t="shared" si="13"/>
        <v>39278.832859685193</v>
      </c>
      <c r="L114" s="793"/>
      <c r="M114" s="793"/>
      <c r="N114" s="793"/>
    </row>
    <row r="115" spans="1:14" ht="48.75" customHeight="1" thickTop="1" x14ac:dyDescent="0.3">
      <c r="J115" s="43"/>
      <c r="L115" s="398"/>
      <c r="M115" s="659"/>
      <c r="N115" s="659"/>
    </row>
    <row r="116" spans="1:14" ht="25.5" customHeight="1" x14ac:dyDescent="0.25">
      <c r="J116" s="43"/>
      <c r="L116" s="656"/>
      <c r="M116" s="660"/>
      <c r="N116" s="657"/>
    </row>
    <row r="117" spans="1:14" ht="18.600000000000001" customHeight="1" x14ac:dyDescent="0.3">
      <c r="A117" s="632"/>
      <c r="B117" s="658"/>
      <c r="C117" s="658"/>
      <c r="J117" s="43"/>
      <c r="L117" s="656"/>
      <c r="M117" s="660"/>
      <c r="N117" s="657"/>
    </row>
    <row r="118" spans="1:14" ht="18.600000000000001" customHeight="1" x14ac:dyDescent="0.25">
      <c r="A118" s="634"/>
      <c r="B118" s="631"/>
      <c r="C118" s="631"/>
      <c r="J118" s="43"/>
      <c r="L118" s="656"/>
      <c r="M118" s="660"/>
      <c r="N118" s="657"/>
    </row>
    <row r="119" spans="1:14" ht="18.600000000000001" customHeight="1" x14ac:dyDescent="0.25">
      <c r="A119" s="634"/>
      <c r="B119" s="631"/>
      <c r="C119" s="631"/>
      <c r="J119" s="43"/>
      <c r="L119" s="656"/>
      <c r="M119" s="660"/>
      <c r="N119" s="657"/>
    </row>
    <row r="120" spans="1:14" ht="18.600000000000001" customHeight="1" x14ac:dyDescent="0.25">
      <c r="A120" s="634"/>
      <c r="B120" s="631"/>
      <c r="C120" s="631"/>
      <c r="J120" s="43"/>
      <c r="L120" s="656"/>
      <c r="M120" s="660"/>
      <c r="N120" s="657"/>
    </row>
    <row r="121" spans="1:14" ht="18.600000000000001" customHeight="1" x14ac:dyDescent="0.25">
      <c r="A121" s="634"/>
      <c r="B121" s="631"/>
      <c r="C121" s="631"/>
      <c r="J121" s="43"/>
      <c r="L121" s="656"/>
      <c r="M121" s="660"/>
      <c r="N121" s="657"/>
    </row>
    <row r="122" spans="1:14" ht="18.600000000000001" customHeight="1" x14ac:dyDescent="0.25">
      <c r="A122" s="634"/>
      <c r="B122" s="631"/>
      <c r="C122" s="631"/>
      <c r="L122" s="656"/>
      <c r="M122" s="660"/>
      <c r="N122" s="657"/>
    </row>
    <row r="123" spans="1:14" ht="18.600000000000001" customHeight="1" x14ac:dyDescent="0.25">
      <c r="A123" s="634"/>
      <c r="B123" s="631"/>
      <c r="C123" s="631"/>
      <c r="L123" s="656"/>
      <c r="M123" s="660"/>
      <c r="N123" s="657"/>
    </row>
    <row r="124" spans="1:14" ht="18.600000000000001" customHeight="1" x14ac:dyDescent="0.25">
      <c r="A124" s="634"/>
      <c r="B124" s="631"/>
      <c r="C124" s="631"/>
      <c r="L124" s="656"/>
      <c r="M124" s="660"/>
      <c r="N124" s="657"/>
    </row>
    <row r="125" spans="1:14" ht="18.600000000000001" customHeight="1" x14ac:dyDescent="0.25">
      <c r="A125" s="634"/>
      <c r="B125" s="631"/>
      <c r="C125" s="631"/>
      <c r="L125" s="656"/>
      <c r="M125" s="660"/>
      <c r="N125" s="657"/>
    </row>
    <row r="126" spans="1:14" ht="18.600000000000001" customHeight="1" x14ac:dyDescent="0.25">
      <c r="A126" s="634"/>
      <c r="B126" s="631"/>
      <c r="C126" s="631"/>
      <c r="L126" s="656"/>
      <c r="M126" s="660"/>
      <c r="N126" s="657"/>
    </row>
    <row r="127" spans="1:14" ht="18.600000000000001" customHeight="1" x14ac:dyDescent="0.25">
      <c r="A127" s="634"/>
      <c r="B127" s="631"/>
      <c r="C127" s="631"/>
      <c r="L127" s="656"/>
      <c r="M127" s="660"/>
      <c r="N127" s="657"/>
    </row>
    <row r="128" spans="1:14" ht="18.600000000000001" customHeight="1" x14ac:dyDescent="0.25">
      <c r="A128" s="634"/>
      <c r="B128" s="631"/>
      <c r="C128" s="631"/>
      <c r="L128" s="656"/>
      <c r="M128" s="660"/>
      <c r="N128" s="657"/>
    </row>
    <row r="129" spans="1:14" ht="18.600000000000001" customHeight="1" x14ac:dyDescent="0.25">
      <c r="A129" s="634"/>
      <c r="B129" s="631"/>
      <c r="C129" s="631"/>
      <c r="L129" s="656"/>
      <c r="M129" s="660"/>
      <c r="N129" s="657"/>
    </row>
    <row r="130" spans="1:14" ht="18.600000000000001" customHeight="1" x14ac:dyDescent="0.25">
      <c r="A130" s="634"/>
      <c r="B130" s="631"/>
      <c r="C130" s="631"/>
      <c r="L130" s="656"/>
      <c r="M130" s="660"/>
      <c r="N130" s="657"/>
    </row>
    <row r="131" spans="1:14" ht="18.600000000000001" customHeight="1" x14ac:dyDescent="0.35">
      <c r="A131" s="793"/>
      <c r="B131" s="793"/>
      <c r="C131" s="793"/>
      <c r="M131" s="611"/>
    </row>
    <row r="132" spans="1:14" ht="18.600000000000001" customHeight="1" x14ac:dyDescent="0.25">
      <c r="A132" s="634"/>
      <c r="B132" s="631"/>
      <c r="C132" s="631"/>
    </row>
    <row r="133" spans="1:14" ht="27" customHeight="1" x14ac:dyDescent="0.35">
      <c r="A133" s="793"/>
      <c r="B133" s="793"/>
      <c r="C133" s="793"/>
    </row>
    <row r="134" spans="1:14" ht="18.600000000000001" customHeight="1" x14ac:dyDescent="0.25">
      <c r="A134" s="398"/>
      <c r="B134" s="655"/>
      <c r="C134" s="655"/>
    </row>
    <row r="135" spans="1:14" ht="18.600000000000001" customHeight="1" x14ac:dyDescent="0.25">
      <c r="A135" s="656"/>
      <c r="B135" s="657"/>
      <c r="C135" s="657"/>
    </row>
    <row r="136" spans="1:14" ht="18.600000000000001" customHeight="1" x14ac:dyDescent="0.25">
      <c r="A136" s="656"/>
      <c r="B136" s="657"/>
      <c r="C136" s="657"/>
    </row>
    <row r="137" spans="1:14" ht="18.600000000000001" customHeight="1" x14ac:dyDescent="0.25">
      <c r="A137" s="656"/>
      <c r="B137" s="657"/>
      <c r="C137" s="657"/>
    </row>
    <row r="138" spans="1:14" ht="18.600000000000001" customHeight="1" x14ac:dyDescent="0.25">
      <c r="A138" s="656"/>
      <c r="B138" s="657"/>
      <c r="C138" s="657"/>
    </row>
    <row r="139" spans="1:14" ht="18.600000000000001" customHeight="1" x14ac:dyDescent="0.25">
      <c r="A139" s="656"/>
      <c r="B139" s="657"/>
      <c r="C139" s="657"/>
    </row>
    <row r="140" spans="1:14" ht="18.600000000000001" customHeight="1" x14ac:dyDescent="0.25">
      <c r="A140" s="656"/>
      <c r="B140" s="657"/>
      <c r="C140" s="657"/>
    </row>
    <row r="141" spans="1:14" ht="18.600000000000001" customHeight="1" x14ac:dyDescent="0.25">
      <c r="A141" s="656"/>
      <c r="B141" s="657"/>
      <c r="C141" s="657"/>
    </row>
    <row r="142" spans="1:14" ht="18.600000000000001" customHeight="1" x14ac:dyDescent="0.25">
      <c r="A142" s="656"/>
      <c r="B142" s="657"/>
      <c r="C142" s="657"/>
    </row>
    <row r="143" spans="1:14" ht="18.600000000000001" customHeight="1" x14ac:dyDescent="0.25">
      <c r="A143" s="656"/>
      <c r="B143" s="657"/>
      <c r="C143" s="657"/>
    </row>
    <row r="144" spans="1:14" ht="18.600000000000001" customHeight="1" x14ac:dyDescent="0.25">
      <c r="A144" s="656"/>
      <c r="B144" s="657"/>
      <c r="C144" s="657"/>
    </row>
    <row r="145" spans="1:3" ht="18.600000000000001" customHeight="1" x14ac:dyDescent="0.25">
      <c r="A145" s="656"/>
      <c r="B145" s="657"/>
      <c r="C145" s="657"/>
    </row>
    <row r="146" spans="1:3" ht="18.600000000000001" customHeight="1" x14ac:dyDescent="0.25">
      <c r="A146" s="656"/>
      <c r="B146" s="657"/>
      <c r="C146" s="657"/>
    </row>
    <row r="147" spans="1:3" ht="18.600000000000001" customHeight="1" x14ac:dyDescent="0.25">
      <c r="A147" s="656"/>
      <c r="B147" s="657"/>
      <c r="C147" s="657"/>
    </row>
    <row r="148" spans="1:3" ht="18.600000000000001" customHeight="1" x14ac:dyDescent="0.25">
      <c r="A148" s="656"/>
      <c r="B148" s="657"/>
      <c r="C148" s="657"/>
    </row>
    <row r="149" spans="1:3" ht="18.600000000000001" customHeight="1" x14ac:dyDescent="0.25">
      <c r="A149" s="656"/>
      <c r="B149" s="657"/>
      <c r="C149" s="657"/>
    </row>
  </sheetData>
  <sheetProtection algorithmName="SHA-512" hashValue="VePc8fRYE0rvFzTGoRJZS3HfVu4DKKlLp18UHrDeOZQbdNdciogQy6eNrVcV9uso3FFMLUebQFv8QUqzDUgCSw==" saltValue="g9w2Bw8ldE0RajwqvIMkxQ==" spinCount="100000" sheet="1" objects="1" scenarios="1"/>
  <mergeCells count="96">
    <mergeCell ref="R44:S44"/>
    <mergeCell ref="R45:S45"/>
    <mergeCell ref="R46:R47"/>
    <mergeCell ref="S46:S47"/>
    <mergeCell ref="G44:P44"/>
    <mergeCell ref="H45:L45"/>
    <mergeCell ref="M45:O45"/>
    <mergeCell ref="P45:P47"/>
    <mergeCell ref="M46:M47"/>
    <mergeCell ref="N46:N47"/>
    <mergeCell ref="O46:O47"/>
    <mergeCell ref="H46:H47"/>
    <mergeCell ref="I46:I47"/>
    <mergeCell ref="J46:J47"/>
    <mergeCell ref="K46:K47"/>
    <mergeCell ref="L46:L47"/>
    <mergeCell ref="A62:E62"/>
    <mergeCell ref="A55:E55"/>
    <mergeCell ref="G23:G24"/>
    <mergeCell ref="H23:L23"/>
    <mergeCell ref="M23:O23"/>
    <mergeCell ref="D52:E52"/>
    <mergeCell ref="B47:C47"/>
    <mergeCell ref="D47:E47"/>
    <mergeCell ref="B48:C48"/>
    <mergeCell ref="B49:C49"/>
    <mergeCell ref="D49:E49"/>
    <mergeCell ref="D48:E48"/>
    <mergeCell ref="D42:E42"/>
    <mergeCell ref="D43:E43"/>
    <mergeCell ref="D44:E44"/>
    <mergeCell ref="D45:E45"/>
    <mergeCell ref="B53:C53"/>
    <mergeCell ref="D53:E53"/>
    <mergeCell ref="B54:C54"/>
    <mergeCell ref="D54:E54"/>
    <mergeCell ref="B24:C24"/>
    <mergeCell ref="D24:E24"/>
    <mergeCell ref="A29:E29"/>
    <mergeCell ref="A35:E35"/>
    <mergeCell ref="A46:E46"/>
    <mergeCell ref="B50:C50"/>
    <mergeCell ref="D50:E50"/>
    <mergeCell ref="B51:C51"/>
    <mergeCell ref="D51:E51"/>
    <mergeCell ref="B52:C52"/>
    <mergeCell ref="D38:E38"/>
    <mergeCell ref="D39:E39"/>
    <mergeCell ref="G22:P22"/>
    <mergeCell ref="P23:P24"/>
    <mergeCell ref="D32:E32"/>
    <mergeCell ref="D33:E33"/>
    <mergeCell ref="D34:E34"/>
    <mergeCell ref="A22:E23"/>
    <mergeCell ref="B27:C27"/>
    <mergeCell ref="B28:C28"/>
    <mergeCell ref="B30:C30"/>
    <mergeCell ref="B31:C31"/>
    <mergeCell ref="B25:C25"/>
    <mergeCell ref="B26:C26"/>
    <mergeCell ref="D25:E25"/>
    <mergeCell ref="D26:E26"/>
    <mergeCell ref="D27:E27"/>
    <mergeCell ref="D28:E28"/>
    <mergeCell ref="B45:C45"/>
    <mergeCell ref="B38:C38"/>
    <mergeCell ref="B37:C37"/>
    <mergeCell ref="A4:C4"/>
    <mergeCell ref="D30:E30"/>
    <mergeCell ref="D31:E31"/>
    <mergeCell ref="B32:C32"/>
    <mergeCell ref="B33:C33"/>
    <mergeCell ref="B34:C34"/>
    <mergeCell ref="D37:E37"/>
    <mergeCell ref="B36:C36"/>
    <mergeCell ref="B42:C42"/>
    <mergeCell ref="B43:C43"/>
    <mergeCell ref="D40:E40"/>
    <mergeCell ref="D41:E41"/>
    <mergeCell ref="D36:E36"/>
    <mergeCell ref="E3:G4"/>
    <mergeCell ref="Q3:S4"/>
    <mergeCell ref="A98:C98"/>
    <mergeCell ref="A133:C133"/>
    <mergeCell ref="R22:S22"/>
    <mergeCell ref="R23:S23"/>
    <mergeCell ref="A66:C66"/>
    <mergeCell ref="A72:C72"/>
    <mergeCell ref="A89:C89"/>
    <mergeCell ref="A131:C131"/>
    <mergeCell ref="A81:C81"/>
    <mergeCell ref="L114:N114"/>
    <mergeCell ref="B39:C39"/>
    <mergeCell ref="B40:C40"/>
    <mergeCell ref="B41:C41"/>
    <mergeCell ref="B44:C44"/>
  </mergeCells>
  <printOptions horizontalCentered="1" verticalCentered="1"/>
  <pageMargins left="0.7" right="0.7" top="1.1309523809523809" bottom="0.75" header="0.3" footer="0.3"/>
  <pageSetup paperSize="5" scale="40" fitToWidth="4" orientation="landscape" horizontalDpi="300" verticalDpi="300" r:id="rId1"/>
  <headerFooter>
    <oddHeader>&amp;L&amp;G</oddHeader>
  </headerFooter>
  <rowBreaks count="1" manualBreakCount="1">
    <brk id="79"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20F1-1279-45CA-BB43-8E5A0D14302C}">
  <sheetPr codeName="Sheet4">
    <tabColor theme="4" tint="-0.249977111117893"/>
  </sheetPr>
  <dimension ref="B1:H27"/>
  <sheetViews>
    <sheetView showGridLines="0" view="pageLayout" zoomScale="75" zoomScaleNormal="44" zoomScalePageLayoutView="75" workbookViewId="0">
      <selection activeCell="C5" sqref="C5 C9"/>
    </sheetView>
  </sheetViews>
  <sheetFormatPr defaultRowHeight="15" x14ac:dyDescent="0.25"/>
  <cols>
    <col min="1" max="1" width="1.85546875" customWidth="1"/>
    <col min="2" max="2" width="17.5703125" customWidth="1"/>
  </cols>
  <sheetData>
    <row r="1" spans="2:8" ht="12" customHeight="1" x14ac:dyDescent="0.25"/>
    <row r="2" spans="2:8" ht="21" x14ac:dyDescent="0.25">
      <c r="B2" s="854" t="s">
        <v>602</v>
      </c>
      <c r="C2" s="854"/>
      <c r="D2" s="854"/>
      <c r="E2" s="854"/>
      <c r="F2" s="854"/>
      <c r="G2" s="854"/>
      <c r="H2" s="854"/>
    </row>
    <row r="4" spans="2:8" x14ac:dyDescent="0.25">
      <c r="B4" t="s">
        <v>603</v>
      </c>
      <c r="C4" t="s">
        <v>604</v>
      </c>
      <c r="E4" t="s">
        <v>609</v>
      </c>
    </row>
    <row r="5" spans="2:8" x14ac:dyDescent="0.25">
      <c r="B5" t="s">
        <v>606</v>
      </c>
      <c r="C5" s="40">
        <f>'School Bus Table'!E25</f>
        <v>145.47468310371238</v>
      </c>
      <c r="D5" t="s">
        <v>607</v>
      </c>
      <c r="E5">
        <v>0</v>
      </c>
      <c r="F5" t="s">
        <v>607</v>
      </c>
    </row>
    <row r="6" spans="2:8" x14ac:dyDescent="0.25">
      <c r="B6" t="s">
        <v>402</v>
      </c>
      <c r="C6" s="40">
        <f>'School Bus Table'!E36</f>
        <v>131.60559414460198</v>
      </c>
      <c r="D6" t="s">
        <v>607</v>
      </c>
      <c r="E6" s="40">
        <f>$C$5-C6</f>
        <v>13.8690889591104</v>
      </c>
      <c r="F6" t="s">
        <v>607</v>
      </c>
    </row>
    <row r="7" spans="2:8" x14ac:dyDescent="0.25">
      <c r="B7" t="s">
        <v>90</v>
      </c>
      <c r="C7" s="40">
        <f>'School Bus Table'!E49</f>
        <v>128.99257738418987</v>
      </c>
      <c r="D7" t="s">
        <v>607</v>
      </c>
      <c r="E7" s="40">
        <f t="shared" ref="E7:E13" si="0">$C$5-C7</f>
        <v>16.482105719522508</v>
      </c>
      <c r="F7" t="s">
        <v>607</v>
      </c>
    </row>
    <row r="8" spans="2:8" x14ac:dyDescent="0.25">
      <c r="B8" t="s">
        <v>94</v>
      </c>
      <c r="C8" s="40">
        <f>'School Bus Table'!E62</f>
        <v>57.586869373697546</v>
      </c>
      <c r="D8" t="s">
        <v>607</v>
      </c>
      <c r="E8" s="40">
        <f t="shared" si="0"/>
        <v>87.887813730014841</v>
      </c>
      <c r="F8" t="s">
        <v>607</v>
      </c>
    </row>
    <row r="9" spans="2:8" x14ac:dyDescent="0.25">
      <c r="B9" t="s">
        <v>98</v>
      </c>
      <c r="C9" s="40">
        <f>'School Bus Table'!E74</f>
        <v>128.8225360091503</v>
      </c>
      <c r="D9" t="s">
        <v>607</v>
      </c>
      <c r="E9" s="40">
        <f t="shared" si="0"/>
        <v>16.652147094562082</v>
      </c>
      <c r="F9" t="s">
        <v>607</v>
      </c>
    </row>
    <row r="10" spans="2:8" x14ac:dyDescent="0.25">
      <c r="B10" t="s">
        <v>584</v>
      </c>
      <c r="C10" s="40">
        <f>'School Bus Table'!E99</f>
        <v>1.8986250006192509</v>
      </c>
      <c r="D10" t="s">
        <v>607</v>
      </c>
      <c r="E10" s="40">
        <f t="shared" si="0"/>
        <v>143.57605810309312</v>
      </c>
      <c r="F10" t="s">
        <v>607</v>
      </c>
    </row>
    <row r="11" spans="2:8" x14ac:dyDescent="0.25">
      <c r="B11" t="s">
        <v>112</v>
      </c>
      <c r="C11" s="40">
        <f>'School Bus Table'!E112</f>
        <v>134.05976878447404</v>
      </c>
      <c r="D11" t="s">
        <v>607</v>
      </c>
      <c r="E11" s="40">
        <f t="shared" si="0"/>
        <v>11.414914319238335</v>
      </c>
      <c r="F11" t="s">
        <v>607</v>
      </c>
    </row>
    <row r="12" spans="2:8" x14ac:dyDescent="0.25">
      <c r="B12" t="s">
        <v>120</v>
      </c>
      <c r="C12" s="40">
        <f>'School Bus Table'!E123</f>
        <v>52.975231213219573</v>
      </c>
      <c r="D12" t="s">
        <v>607</v>
      </c>
      <c r="E12" s="40">
        <f t="shared" si="0"/>
        <v>92.499451890492807</v>
      </c>
      <c r="F12" t="s">
        <v>607</v>
      </c>
    </row>
    <row r="13" spans="2:8" x14ac:dyDescent="0.25">
      <c r="B13" t="s">
        <v>124</v>
      </c>
      <c r="C13" s="358">
        <f>'School Bus Table'!E135</f>
        <v>138.10536362129113</v>
      </c>
      <c r="D13" t="s">
        <v>607</v>
      </c>
      <c r="E13" s="40">
        <f t="shared" si="0"/>
        <v>7.3693194824212469</v>
      </c>
      <c r="F13" t="s">
        <v>607</v>
      </c>
    </row>
    <row r="17" spans="2:6" x14ac:dyDescent="0.25">
      <c r="B17" t="s">
        <v>608</v>
      </c>
    </row>
    <row r="18" spans="2:6" x14ac:dyDescent="0.25">
      <c r="C18" t="s">
        <v>604</v>
      </c>
      <c r="E18" t="s">
        <v>605</v>
      </c>
    </row>
    <row r="19" spans="2:6" x14ac:dyDescent="0.25">
      <c r="B19" t="s">
        <v>606</v>
      </c>
      <c r="C19" s="40">
        <f>'School Bus Table'!E25*15</f>
        <v>2182.1202465556858</v>
      </c>
      <c r="D19" t="s">
        <v>607</v>
      </c>
      <c r="E19">
        <f>0</f>
        <v>0</v>
      </c>
      <c r="F19" t="s">
        <v>607</v>
      </c>
    </row>
    <row r="20" spans="2:6" x14ac:dyDescent="0.25">
      <c r="B20" t="s">
        <v>402</v>
      </c>
      <c r="C20" s="40">
        <f>'School Bus Table'!E36*15</f>
        <v>1974.0839121690296</v>
      </c>
      <c r="D20" t="s">
        <v>607</v>
      </c>
      <c r="E20" s="40">
        <f>$C$19-C20</f>
        <v>208.03633438665611</v>
      </c>
      <c r="F20" t="s">
        <v>607</v>
      </c>
    </row>
    <row r="21" spans="2:6" x14ac:dyDescent="0.25">
      <c r="B21" t="s">
        <v>90</v>
      </c>
      <c r="C21" s="40">
        <f>'School Bus Table'!E49*15</f>
        <v>1934.8886607628481</v>
      </c>
      <c r="D21" t="s">
        <v>607</v>
      </c>
      <c r="E21" s="40">
        <f t="shared" ref="E21:E26" si="1">$C$19-C21</f>
        <v>247.23158579283768</v>
      </c>
      <c r="F21" t="s">
        <v>607</v>
      </c>
    </row>
    <row r="22" spans="2:6" x14ac:dyDescent="0.25">
      <c r="B22" t="s">
        <v>94</v>
      </c>
      <c r="C22" s="40">
        <f>'School Bus Table'!E62*15</f>
        <v>863.80304060546314</v>
      </c>
      <c r="D22" t="s">
        <v>607</v>
      </c>
      <c r="E22" s="40">
        <f t="shared" si="1"/>
        <v>1318.3172059502226</v>
      </c>
      <c r="F22" t="s">
        <v>607</v>
      </c>
    </row>
    <row r="23" spans="2:6" x14ac:dyDescent="0.25">
      <c r="B23" t="s">
        <v>98</v>
      </c>
      <c r="C23" s="40">
        <f>'School Bus Table'!E74*15</f>
        <v>1932.3380401372544</v>
      </c>
      <c r="D23" t="s">
        <v>607</v>
      </c>
      <c r="E23" s="40">
        <f t="shared" si="1"/>
        <v>249.78220641843131</v>
      </c>
      <c r="F23" t="s">
        <v>607</v>
      </c>
    </row>
    <row r="24" spans="2:6" x14ac:dyDescent="0.25">
      <c r="B24" t="s">
        <v>154</v>
      </c>
      <c r="C24" s="40">
        <f>'School Bus Table'!E99*15</f>
        <v>28.479375009288763</v>
      </c>
      <c r="D24" t="s">
        <v>607</v>
      </c>
      <c r="E24" s="40">
        <f t="shared" si="1"/>
        <v>2153.6408715463972</v>
      </c>
      <c r="F24" t="s">
        <v>607</v>
      </c>
    </row>
    <row r="25" spans="2:6" x14ac:dyDescent="0.25">
      <c r="B25" t="s">
        <v>112</v>
      </c>
      <c r="C25" s="40">
        <f>'School Bus Table'!E112*15</f>
        <v>2010.8965317671107</v>
      </c>
      <c r="D25" t="s">
        <v>607</v>
      </c>
      <c r="E25" s="40">
        <f t="shared" si="1"/>
        <v>171.22371478857508</v>
      </c>
      <c r="F25" t="s">
        <v>607</v>
      </c>
    </row>
    <row r="26" spans="2:6" x14ac:dyDescent="0.25">
      <c r="B26" t="s">
        <v>120</v>
      </c>
      <c r="C26" s="40">
        <f>'School Bus Table'!E123*15</f>
        <v>794.6284681982936</v>
      </c>
      <c r="D26" t="s">
        <v>607</v>
      </c>
      <c r="E26" s="40">
        <f t="shared" si="1"/>
        <v>1387.4917783573921</v>
      </c>
      <c r="F26" t="s">
        <v>607</v>
      </c>
    </row>
    <row r="27" spans="2:6" x14ac:dyDescent="0.25">
      <c r="B27" t="s">
        <v>124</v>
      </c>
      <c r="C27" s="40">
        <f>'School Bus Table'!E135*15</f>
        <v>2071.5804543193672</v>
      </c>
      <c r="D27" t="s">
        <v>607</v>
      </c>
      <c r="E27" s="40">
        <f>C19-C27</f>
        <v>110.53979223631859</v>
      </c>
      <c r="F27" t="s">
        <v>607</v>
      </c>
    </row>
  </sheetData>
  <sheetProtection sheet="1" objects="1" scenarios="1"/>
  <mergeCells count="1">
    <mergeCell ref="B2:H2"/>
  </mergeCells>
  <pageMargins left="0.7" right="0.7" top="1.125" bottom="0.75" header="0.3" footer="0.3"/>
  <pageSetup paperSize="5" scale="60" fitToWidth="4" orientation="landscape" horizontalDpi="300" verticalDpi="300" r:id="rId1"/>
  <headerFooter>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93AE-80FD-489F-8A93-0F749167C70C}">
  <sheetPr codeName="Sheet5"/>
  <dimension ref="A1:P172"/>
  <sheetViews>
    <sheetView topLeftCell="A31" workbookViewId="0">
      <selection activeCell="F37" sqref="F37"/>
    </sheetView>
  </sheetViews>
  <sheetFormatPr defaultRowHeight="15" x14ac:dyDescent="0.25"/>
  <cols>
    <col min="1" max="1" width="30" customWidth="1"/>
    <col min="2" max="2" width="13.140625" customWidth="1"/>
    <col min="3" max="3" width="11.5703125" customWidth="1"/>
    <col min="4" max="4" width="11.85546875" customWidth="1"/>
    <col min="5" max="5" width="12.42578125" customWidth="1"/>
    <col min="6" max="6" width="13.140625" customWidth="1"/>
    <col min="7" max="7" width="12.140625" customWidth="1"/>
    <col min="8" max="8" width="11.28515625" customWidth="1"/>
    <col min="9" max="9" width="11.85546875" customWidth="1"/>
    <col min="10" max="10" width="11.5703125" customWidth="1"/>
    <col min="11" max="11" width="11.140625" customWidth="1"/>
    <col min="12" max="12" width="11.85546875" customWidth="1"/>
    <col min="14" max="14" width="11.5703125" bestFit="1" customWidth="1"/>
    <col min="16" max="16" width="12.5703125" bestFit="1" customWidth="1"/>
  </cols>
  <sheetData>
    <row r="1" spans="1:16" ht="39" x14ac:dyDescent="0.25">
      <c r="A1" s="250" t="str">
        <f>Inputs!B5</f>
        <v>Diesel (B5)</v>
      </c>
      <c r="B1" s="90" t="s">
        <v>1</v>
      </c>
      <c r="C1" s="108" t="s">
        <v>149</v>
      </c>
      <c r="D1" s="90" t="s">
        <v>150</v>
      </c>
      <c r="E1" s="108" t="s">
        <v>151</v>
      </c>
      <c r="F1" s="90" t="s">
        <v>152</v>
      </c>
      <c r="G1" s="126" t="s">
        <v>154</v>
      </c>
      <c r="H1" s="90" t="s">
        <v>155</v>
      </c>
      <c r="I1" s="126" t="s">
        <v>156</v>
      </c>
      <c r="J1" s="114" t="s">
        <v>124</v>
      </c>
      <c r="K1" s="126" t="s">
        <v>735</v>
      </c>
    </row>
    <row r="2" spans="1:16" x14ac:dyDescent="0.25">
      <c r="A2" s="251" t="s">
        <v>446</v>
      </c>
      <c r="B2" s="252">
        <f>Inputs!$B$14</f>
        <v>5</v>
      </c>
      <c r="C2" s="252">
        <f>Inputs!$B$14</f>
        <v>5</v>
      </c>
      <c r="D2" s="252">
        <f>Inputs!$B$14</f>
        <v>5</v>
      </c>
      <c r="E2" s="252">
        <f>Inputs!$B$14</f>
        <v>5</v>
      </c>
      <c r="F2" s="252">
        <f>Inputs!$B$14</f>
        <v>5</v>
      </c>
      <c r="G2" s="252">
        <f>Inputs!$B$14</f>
        <v>5</v>
      </c>
      <c r="H2" s="252">
        <f>Inputs!$B$14</f>
        <v>5</v>
      </c>
      <c r="I2" s="252">
        <f>Inputs!$B$14</f>
        <v>5</v>
      </c>
      <c r="J2" s="252">
        <f>Inputs!$B$14</f>
        <v>5</v>
      </c>
      <c r="K2" s="252">
        <f>Inputs!$B$14</f>
        <v>5</v>
      </c>
      <c r="M2" s="5" t="s">
        <v>767</v>
      </c>
    </row>
    <row r="3" spans="1:16" x14ac:dyDescent="0.25">
      <c r="A3" s="251" t="s">
        <v>480</v>
      </c>
      <c r="B3" s="253">
        <f>Inputs!$B$23</f>
        <v>15000</v>
      </c>
      <c r="C3" s="253">
        <f>Inputs!$B$23</f>
        <v>15000</v>
      </c>
      <c r="D3" s="253">
        <f>Inputs!$B$23</f>
        <v>15000</v>
      </c>
      <c r="E3" s="253">
        <f>Inputs!$B$23</f>
        <v>15000</v>
      </c>
      <c r="F3" s="253">
        <f>Inputs!$B$23</f>
        <v>15000</v>
      </c>
      <c r="G3" s="253">
        <f>Inputs!$B$23</f>
        <v>15000</v>
      </c>
      <c r="H3" s="253">
        <f>Inputs!$B$23</f>
        <v>15000</v>
      </c>
      <c r="I3" s="253">
        <f>Inputs!$B$23</f>
        <v>15000</v>
      </c>
      <c r="J3" s="253">
        <f>Inputs!$B$23</f>
        <v>15000</v>
      </c>
      <c r="K3" s="253">
        <f>Inputs!$B$23</f>
        <v>15000</v>
      </c>
      <c r="M3" t="s">
        <v>769</v>
      </c>
      <c r="O3" t="s">
        <v>770</v>
      </c>
    </row>
    <row r="4" spans="1:16" x14ac:dyDescent="0.25">
      <c r="A4" s="251" t="s">
        <v>447</v>
      </c>
      <c r="B4" s="253">
        <f>Inputs!$B$24</f>
        <v>75000</v>
      </c>
      <c r="C4" s="253">
        <f>Inputs!$B$24</f>
        <v>75000</v>
      </c>
      <c r="D4" s="253">
        <f>Inputs!$B$24</f>
        <v>75000</v>
      </c>
      <c r="E4" s="253">
        <f>Inputs!$B$24</f>
        <v>75000</v>
      </c>
      <c r="F4" s="253">
        <f>Inputs!$B$24</f>
        <v>75000</v>
      </c>
      <c r="G4" s="253">
        <f>Inputs!$B$24</f>
        <v>75000</v>
      </c>
      <c r="H4" s="253">
        <f>Inputs!$B$24</f>
        <v>75000</v>
      </c>
      <c r="I4" s="253">
        <f>Inputs!$B$24</f>
        <v>75000</v>
      </c>
      <c r="J4" s="253">
        <f>Inputs!$B$24</f>
        <v>75000</v>
      </c>
      <c r="K4" s="253">
        <f>Inputs!$B$24</f>
        <v>75000</v>
      </c>
      <c r="M4" t="s">
        <v>768</v>
      </c>
      <c r="N4" s="36">
        <f>Inputs!B8</f>
        <v>91250</v>
      </c>
      <c r="P4" s="36">
        <f>Inputs!E8</f>
        <v>250000</v>
      </c>
    </row>
    <row r="5" spans="1:16" x14ac:dyDescent="0.25">
      <c r="A5" s="251" t="s">
        <v>448</v>
      </c>
      <c r="B5" s="255">
        <f>IF(Inputs!$B$5=$B$1,IF(Inputs!$B$30=Inputs!$C$30,'School Bus Table'!F17,(B10*Inputs!$B$32)/Inputs!$B$24),'School Bus Table'!F17)</f>
        <v>0.32429003797429834</v>
      </c>
      <c r="C5" s="255">
        <f>IF(Inputs!$B$5=$B$1,IF(Inputs!$B$30=Inputs!$C$30,'School Bus Table'!F27,(C10*Inputs!$B$32)/Inputs!$B$24),'School Bus Table'!F27)</f>
        <v>0.36289565097282128</v>
      </c>
      <c r="D5" s="255">
        <f>IF(Inputs!$B$5=$B$1,IF(Inputs!$B$30=Inputs!$C$30,'School Bus Table'!F40,(D10*Inputs!$B$32)/Inputs!$B$24),'School Bus Table'!F40)</f>
        <v>0.36289565097282128</v>
      </c>
      <c r="E5" s="255">
        <f>IF(Inputs!$B$5=$B$1,IF(Inputs!$B$30=Inputs!$C$30,'School Bus Table'!F53,(E10*Inputs!$B$32)/Inputs!$B$24),'School Bus Table'!F53)</f>
        <v>0.34767640610956646</v>
      </c>
      <c r="F5" s="255">
        <f>IF(Inputs!$B$5=$B$1,IF(Inputs!$B$30=Inputs!$C$30,'School Bus Table'!F68,(F10*Inputs!$B$32)/Inputs!$B$24),'School Bus Table'!F68)</f>
        <v>0.31659822092845186</v>
      </c>
      <c r="G5" s="255">
        <f>IF(Inputs!$B$5=$B$1,IF(Inputs!$B$30=Inputs!$C$30,'School Bus Table'!F93,(G10*Inputs!$B$32)/Inputs!$B$24),'School Bus Table'!F93)</f>
        <v>0.23160871843174269</v>
      </c>
      <c r="H5" s="255">
        <f>IF(Inputs!$B$5=$B$1,IF(Inputs!$B$30=Inputs!$C$30,'School Bus Table'!F105,(H10*Inputs!$B$32)/Inputs!$B$24),'School Bus Table'!F105)</f>
        <v>0.1545080084745763</v>
      </c>
      <c r="I5" s="255">
        <f>IF(Inputs!$B$5=$B$1,IF(Inputs!$B$30=Inputs!$C$30,'School Bus Table'!F116,(I10*Inputs!$B$32)/Inputs!$B$24),'School Bus Table'!F116)</f>
        <v>5.9169025423728823E-2</v>
      </c>
      <c r="J5" s="255">
        <f>IF(Inputs!$B$5=$B$1,IF(Inputs!$B$30=Inputs!$C$30,'School Bus Table'!F129,(J10*Inputs!$B$32)/Inputs!$B$24),'School Bus Table'!F129)</f>
        <v>0.31792701095935222</v>
      </c>
      <c r="K5" s="255">
        <f>IF(Inputs!$B$5=$B$1,IF(Inputs!$B$30=Inputs!$C$30,'School Bus Table'!F79,(K10*Inputs!$B$32)/Inputs!$B$24),'School Bus Table'!F79)</f>
        <v>0</v>
      </c>
      <c r="L5" s="255"/>
      <c r="M5" s="459">
        <f>Inputs!B10</f>
        <v>0</v>
      </c>
      <c r="N5" s="36">
        <f>N4*O5</f>
        <v>0</v>
      </c>
      <c r="O5" s="459">
        <f>Inputs!E10</f>
        <v>0</v>
      </c>
      <c r="P5" s="36">
        <f>P4*O5</f>
        <v>0</v>
      </c>
    </row>
    <row r="6" spans="1:16" x14ac:dyDescent="0.25">
      <c r="A6" s="251" t="s">
        <v>481</v>
      </c>
      <c r="B6" s="254">
        <f>B5*B4</f>
        <v>24321.752848072374</v>
      </c>
      <c r="C6" s="254">
        <f>C5*C4</f>
        <v>27217.173822961595</v>
      </c>
      <c r="D6" s="254">
        <f t="shared" ref="D6:K6" si="0">D5*D4</f>
        <v>27217.173822961595</v>
      </c>
      <c r="E6" s="254">
        <f t="shared" si="0"/>
        <v>26075.730458217484</v>
      </c>
      <c r="F6" s="254">
        <f t="shared" si="0"/>
        <v>23744.86656963389</v>
      </c>
      <c r="G6" s="254">
        <f t="shared" si="0"/>
        <v>17370.653882380702</v>
      </c>
      <c r="H6" s="254">
        <f t="shared" si="0"/>
        <v>11588.100635593222</v>
      </c>
      <c r="I6" s="254">
        <f t="shared" si="0"/>
        <v>4437.6769067796613</v>
      </c>
      <c r="J6" s="254">
        <f t="shared" si="0"/>
        <v>23844.525821951418</v>
      </c>
      <c r="K6" s="254">
        <f t="shared" si="0"/>
        <v>0</v>
      </c>
      <c r="N6" s="131">
        <v>50000</v>
      </c>
      <c r="P6" s="131">
        <v>50000</v>
      </c>
    </row>
    <row r="7" spans="1:16" x14ac:dyDescent="0.25">
      <c r="A7" s="251" t="s">
        <v>705</v>
      </c>
      <c r="B7" s="254">
        <f>IF(Inputs!$B$5=B1,IF(Inputs!$B$29=Inputs!$C$29,'Default Data'!M2*'School Bus Table'!$D$10,Inputs!$B$29*'School Bus Table'!$D$10),'Default Data'!M2*'School Bus Table'!$D$10)</f>
        <v>35813.581730769227</v>
      </c>
      <c r="C7" s="254">
        <f>IF(Inputs!$B$5=C1,IF(Inputs!$B$29=Inputs!$C$29,'Default Data'!M3*'School Bus Table'!$D$10,Inputs!$B$29*'School Bus Table'!$D$10),'Default Data'!M3*'School Bus Table'!$D$10)</f>
        <v>35250</v>
      </c>
      <c r="D7" s="254">
        <f>IF(Inputs!$B$5=D1,IF(Inputs!$B$29=Inputs!$C$29,'Default Data'!M4*'School Bus Table'!$D$10,Inputs!$B$29*'School Bus Table'!$D$10),'Default Data'!M4*'School Bus Table'!$D$10)</f>
        <v>35250</v>
      </c>
      <c r="E7" s="254">
        <f>IF(Inputs!$B$5=E1,IF(Inputs!$B$29=Inputs!$C$29,'Default Data'!M5*'School Bus Table'!$D$10,Inputs!$B$29*'School Bus Table'!$D$10),'Default Data'!M5*'School Bus Table'!$D$10)</f>
        <v>32250</v>
      </c>
      <c r="F7" s="254">
        <f>IF(Inputs!$B$5=F1,IF(Inputs!$B$29=Inputs!$C$29,'Default Data'!M6*'School Bus Table'!$D$10,Inputs!$B$29*'School Bus Table'!$D$10),'Default Data'!M6*'School Bus Table'!$D$10)</f>
        <v>26760.000000000004</v>
      </c>
      <c r="G7" s="254">
        <f>IF(Inputs!$B$5=G1,IF(Inputs!$B$29=Inputs!$C$29,'Default Data'!M7*'School Bus Table'!$D$10,Inputs!$B$29*'School Bus Table'!$D$10),'Default Data'!M7*'School Bus Table'!$D$10)</f>
        <v>32250</v>
      </c>
      <c r="H7" s="254">
        <f>IF(Inputs!$B$5=H1,IF(Inputs!$B$29=Inputs!$C$29,'Default Data'!M8*'School Bus Table'!$D$10,Inputs!$B$29*'School Bus Table'!$D$10),'Default Data'!M8*'School Bus Table'!$D$10)</f>
        <v>36000</v>
      </c>
      <c r="I7" s="254">
        <f>IF(Inputs!$B$5=I1,IF(Inputs!$B$29=Inputs!$C$29,'Default Data'!M9*'School Bus Table'!$D$10,Inputs!$B$29*'School Bus Table'!$D$10),'Default Data'!M9*'School Bus Table'!$D$10)</f>
        <v>36000</v>
      </c>
      <c r="J7" s="254">
        <f>IF(Inputs!$B$5=J1,IF(Inputs!$B$29=Inputs!$C$29,'Default Data'!M10*'School Bus Table'!$D$10,Inputs!$B$29*'School Bus Table'!$D$10),'Default Data'!M10*'School Bus Table'!$D$10)</f>
        <v>27000</v>
      </c>
      <c r="K7" s="254">
        <f>IF(Inputs!$B$5=K1,IF(Inputs!$B$29=Inputs!$C$29,'Default Data'!M11*'School Bus Table'!$D$10,Inputs!$B$29*'School Bus Table'!$D$10),'Default Data'!M11*'School Bus Table'!$D$10)</f>
        <v>26760.000000000004</v>
      </c>
      <c r="M7" s="3" t="s">
        <v>771</v>
      </c>
      <c r="N7" s="36">
        <f>IF(N5&lt;50000,N5,50000)</f>
        <v>0</v>
      </c>
      <c r="P7" s="36">
        <f>IF(P5&lt;50000,P5,50000)</f>
        <v>0</v>
      </c>
    </row>
    <row r="8" spans="1:16" x14ac:dyDescent="0.25">
      <c r="A8" s="251" t="s">
        <v>706</v>
      </c>
      <c r="B8" s="254">
        <f>IF(Inputs!B5=$B$1,IF(Inputs!$B$33=Inputs!$C$33,'Default Data'!$P$2,Inputs!B33*$B$10),'Default Data'!$P$2)</f>
        <v>221.56573116691285</v>
      </c>
      <c r="C8" s="254">
        <f>IF(Inputs!B5=$C$1,IF(Inputs!$B$33=Inputs!$C$33,'Default Data'!$P$3,Inputs!B33*$C$10),'Default Data'!$P$3)</f>
        <v>221.56573116691285</v>
      </c>
      <c r="D8" s="254">
        <f>IF(Inputs!B5=$D$1,IF(Inputs!$B$33=Inputs!$C$33,'Default Data'!$P$4,Inputs!B33*$D$10),'Default Data'!$P$4)</f>
        <v>221.56573116691285</v>
      </c>
      <c r="E8" s="254">
        <f>IF(Inputs!B5=$E$1,IF(Inputs!$B$33=Inputs!$C$33,'Default Data'!$P$5,Inputs!B33*$E$10),'Default Data'!$P$5)</f>
        <v>221.56573116691285</v>
      </c>
      <c r="F8" s="254">
        <f>'Default Data'!O6</f>
        <v>0</v>
      </c>
      <c r="G8" s="254">
        <f>'Default Data'!P7</f>
        <v>74.687911691327599</v>
      </c>
      <c r="H8" s="254">
        <f>'Default Data'!P8</f>
        <v>4449.1525423728817</v>
      </c>
      <c r="I8" s="254">
        <f>'Default Data'!P9</f>
        <v>4449.1525423728817</v>
      </c>
      <c r="J8" s="254">
        <f>'Default Data'!P10</f>
        <v>235.10971786833855</v>
      </c>
      <c r="K8" s="416">
        <f>'Default Data'!P11</f>
        <v>0</v>
      </c>
      <c r="M8" s="461" t="s">
        <v>797</v>
      </c>
      <c r="N8" s="43">
        <f>N4-N7</f>
        <v>91250</v>
      </c>
      <c r="P8" s="43">
        <f>P4-P7</f>
        <v>250000</v>
      </c>
    </row>
    <row r="9" spans="1:16" x14ac:dyDescent="0.25">
      <c r="A9" s="108" t="s">
        <v>449</v>
      </c>
      <c r="B9" s="256">
        <f>IF(Inputs!$B$5=$B$1,IF(Inputs!$B$31=Inputs!$C$31,'School Bus Table'!F21,Inputs!$B$31*Inputs!$B$24),'School Bus Table'!F21)</f>
        <v>567.20827178729689</v>
      </c>
      <c r="C9" s="256">
        <f>IF(Inputs!$B$5=$B$1,IF(Inputs!$B$31=Inputs!$C$31,'School Bus Table'!F31,Inputs!$B$31*Inputs!$B$24),'School Bus Table'!F31)</f>
        <v>510.48744460856722</v>
      </c>
      <c r="D9" s="256">
        <f>IF(Inputs!$B$5=$B$1,IF(Inputs!$B$31=Inputs!$C$31,'School Bus Table'!F44,Inputs!$B$31*Inputs!$B$24),'School Bus Table'!F44)</f>
        <v>510.48744460856722</v>
      </c>
      <c r="E9" s="256">
        <f>IF(Inputs!$B$5=$B$1,IF(Inputs!$B$31=Inputs!$C$31,'School Bus Table'!F57,Inputs!$B$31*Inputs!$B$24),'School Bus Table'!F57)</f>
        <v>453.76661742983754</v>
      </c>
      <c r="F9" s="256">
        <v>0</v>
      </c>
      <c r="G9" s="256">
        <v>0</v>
      </c>
      <c r="H9" s="256">
        <f>'School Bus Table'!F108</f>
        <v>3416.9491525423728</v>
      </c>
      <c r="I9" s="256">
        <f>'School Bus Table'!F119</f>
        <v>3498.9559322033897</v>
      </c>
      <c r="J9" s="256">
        <v>0</v>
      </c>
      <c r="K9" s="416">
        <v>0</v>
      </c>
    </row>
    <row r="10" spans="1:16" x14ac:dyDescent="0.25">
      <c r="A10" s="108" t="s">
        <v>579</v>
      </c>
      <c r="B10" s="270">
        <f>IF(Inputs!$B$5=$B$1,IF(Inputs!$B$30=Inputs!$C$30,'School Bus Table'!F19,B4/Inputs!$B$30),'School Bus Table'!F19)</f>
        <v>11078.286558345642</v>
      </c>
      <c r="C10" s="270">
        <f>IF(Inputs!$B$5=$C$1,IF(Inputs!$B$30=Inputs!$C$30,'School Bus Table'!F29,C4/Inputs!$B$30),'School Bus Table'!F29)</f>
        <v>11078.286558345642</v>
      </c>
      <c r="D10" s="270">
        <f>IF(Inputs!$B$5=$D$1,IF(Inputs!$B$30=Inputs!$C$30,'School Bus Table'!F42,D4/Inputs!$B$30),'School Bus Table'!F42)</f>
        <v>11078.286558345642</v>
      </c>
      <c r="E10" s="270">
        <f>IF(Inputs!$B$5=$E$1,IF(Inputs!$B$30=Inputs!$C$30,'School Bus Table'!F55,E4/Inputs!$B$30),'School Bus Table'!F55)</f>
        <v>11078.286558345642</v>
      </c>
      <c r="F10" s="270">
        <f>IF(Inputs!$B$5=$F$1,IF(Inputs!$B$30=Inputs!$C$30,'School Bus Table'!F70,F4/Inputs!$B$30),'School Bus Table'!F70)</f>
        <v>17772.511848341233</v>
      </c>
      <c r="G10" s="270">
        <f>IF(Inputs!$B$5=$G$1,IF(Inputs!$B$30=Inputs!$C$30,'School Bus Table'!B11*12,G4/Inputs!$B$30),'School Bus Table'!B11*12)</f>
        <v>139500</v>
      </c>
      <c r="H10" s="270">
        <f>IF(Inputs!$B$5=$H$1,IF(Inputs!$B$30=Inputs!$C$30,'School Bus Table'!F111,H4/Inputs!$B$30),'School Bus Table'!F111)</f>
        <v>15889.830508474577</v>
      </c>
      <c r="I10" s="270">
        <f>IF(Inputs!$B$5=$I$1,IF(Inputs!$B$30=Inputs!$C$30,'School Bus Table'!F111,I4/Inputs!$B$30),'School Bus Table'!F111)</f>
        <v>15889.830508474577</v>
      </c>
      <c r="J10" s="270">
        <f>IF(Inputs!$B$5=$J$1,IF(Inputs!$B$30=Inputs!$C$30,'School Bus Table'!F131,J4/Inputs!$B$30),'School Bus Table'!F131)</f>
        <v>11755.485893416928</v>
      </c>
      <c r="K10" s="270">
        <f>IF(Inputs!$B$5=$K$1,IF(Inputs!$B$30=Inputs!$C$30,'School Bus Table'!F70,K4/Inputs!$B$30),'School Bus Table'!F70)</f>
        <v>17772.511848341233</v>
      </c>
    </row>
    <row r="11" spans="1:16" x14ac:dyDescent="0.25">
      <c r="A11" s="258" t="s">
        <v>450</v>
      </c>
      <c r="B11" s="259">
        <f>Inputs!$B$25</f>
        <v>2.4E-2</v>
      </c>
      <c r="C11" s="259">
        <f>Inputs!$B$25</f>
        <v>2.4E-2</v>
      </c>
      <c r="D11" s="259">
        <f>Inputs!$B$25</f>
        <v>2.4E-2</v>
      </c>
      <c r="E11" s="259">
        <f>Inputs!$B$25</f>
        <v>2.4E-2</v>
      </c>
      <c r="F11" s="259">
        <f>Inputs!$B$25</f>
        <v>2.4E-2</v>
      </c>
      <c r="G11" s="259">
        <f>Inputs!$B$25</f>
        <v>2.4E-2</v>
      </c>
      <c r="H11" s="259">
        <f>Inputs!$B$25</f>
        <v>2.4E-2</v>
      </c>
      <c r="I11" s="259">
        <f>Inputs!$B$25</f>
        <v>2.4E-2</v>
      </c>
      <c r="J11" s="259">
        <f>Inputs!$B$25</f>
        <v>2.4E-2</v>
      </c>
      <c r="K11" s="259">
        <f>Inputs!$B$25</f>
        <v>2.4E-2</v>
      </c>
    </row>
    <row r="12" spans="1:16" x14ac:dyDescent="0.25">
      <c r="A12" s="108" t="s">
        <v>580</v>
      </c>
      <c r="B12" s="270">
        <f>SUM('School Bus Table'!F25:T25)</f>
        <v>2182.1202465556853</v>
      </c>
      <c r="C12" s="270">
        <f>SUM('School Bus Table'!F36:T36)</f>
        <v>1974.0839121690303</v>
      </c>
      <c r="D12" s="270">
        <f>SUM('School Bus Table'!F49:T49)</f>
        <v>1934.8886607628481</v>
      </c>
      <c r="E12" s="270">
        <f>SUM('School Bus Table'!F62:T62)</f>
        <v>863.80304060546348</v>
      </c>
      <c r="F12" s="270">
        <f>SUM('School Bus Table'!F74:T74)</f>
        <v>1932.3380401372547</v>
      </c>
      <c r="G12" s="270">
        <f>SUM('School Bus Table'!F99:T99)</f>
        <v>28.479375009288766</v>
      </c>
      <c r="H12" s="270">
        <f>SUM('School Bus Table'!F112:T112)</f>
        <v>2010.8965317671107</v>
      </c>
      <c r="I12" s="270">
        <f>SUM('School Bus Table'!F123:T123)</f>
        <v>794.62846819829349</v>
      </c>
      <c r="J12" s="270">
        <f>SUM('School Bus Table'!F135:T135)</f>
        <v>2071.5804543193676</v>
      </c>
      <c r="K12" s="112">
        <f>SUM('School Bus Table'!F85:T85)</f>
        <v>938.35689558605122</v>
      </c>
    </row>
    <row r="13" spans="1:16" x14ac:dyDescent="0.25">
      <c r="A13" s="108" t="s">
        <v>581</v>
      </c>
      <c r="B13" s="257">
        <f>'Default Data'!U2*Inputs!$B$24*15</f>
        <v>0.95481307436202167</v>
      </c>
      <c r="C13" s="257">
        <f>'Default Data'!U3*Inputs!$B$24*15</f>
        <v>0.95481307436202167</v>
      </c>
      <c r="D13" s="257">
        <f>'Default Data'!U4*Inputs!$B$24*15</f>
        <v>0.95481307436202167</v>
      </c>
      <c r="E13" s="257">
        <f>'Default Data'!U5*Inputs!$B$24*15</f>
        <v>0.95481307436202167</v>
      </c>
      <c r="F13" s="346">
        <f>'Default Data'!U6*Inputs!B24*15</f>
        <v>0.21999256107628526</v>
      </c>
      <c r="G13" s="346">
        <f>'Default Data'!U7*Inputs!B24*15</f>
        <v>0.11113026281173174</v>
      </c>
      <c r="H13" s="257">
        <f>'Default Data'!U8*Inputs!B24*15</f>
        <v>0.47627255490742165</v>
      </c>
      <c r="I13" s="257">
        <f>'Default Data'!U9*Inputs!B24*15</f>
        <v>0.47627255490742165</v>
      </c>
      <c r="J13" s="257">
        <f>'Default Data'!U10*Inputs!B23*15</f>
        <v>0.10976948408342481</v>
      </c>
    </row>
    <row r="14" spans="1:16" x14ac:dyDescent="0.25">
      <c r="A14" s="108" t="s">
        <v>582</v>
      </c>
      <c r="B14" s="347">
        <f>'Default Data'!W2*Inputs!$B$24*15</f>
        <v>0.15648955375529572</v>
      </c>
      <c r="C14" s="347">
        <f>'Default Data'!W3*Inputs!$B$24*15</f>
        <v>0.15648955375529572</v>
      </c>
      <c r="D14" s="347">
        <f>'Default Data'!W4*Inputs!B24*15</f>
        <v>0.15648955375529572</v>
      </c>
      <c r="E14" s="347">
        <f>'Default Data'!W5*Inputs!$B$24*15</f>
        <v>0.15648955375529572</v>
      </c>
      <c r="F14" s="347">
        <f>'Default Data'!W6*Inputs!B24*15</f>
        <v>0.16556141194400847</v>
      </c>
      <c r="G14" s="348">
        <f>'Default Data'!W7*Inputs!B24*15</f>
        <v>1.3607787283069193E-2</v>
      </c>
      <c r="H14" s="347">
        <f>'Default Data'!W8*Inputs!B24*15</f>
        <v>0.15648955375529572</v>
      </c>
      <c r="I14" s="347">
        <f>'Default Data'!W9*Inputs!B24*15</f>
        <v>0.15648955375529572</v>
      </c>
      <c r="J14" s="260">
        <f>'Default Data'!W10*Inputs!B23*15</f>
        <v>3.3112282388801699E-2</v>
      </c>
      <c r="K14" s="260"/>
    </row>
    <row r="15" spans="1:16" x14ac:dyDescent="0.25">
      <c r="A15" s="108"/>
      <c r="B15" s="4"/>
      <c r="C15" s="4"/>
      <c r="D15" s="4"/>
      <c r="E15" s="4"/>
      <c r="F15" s="4"/>
      <c r="G15" s="4"/>
      <c r="H15" s="4"/>
      <c r="I15" s="4"/>
      <c r="J15" s="4"/>
    </row>
    <row r="16" spans="1:16" x14ac:dyDescent="0.25">
      <c r="A16" s="261" t="s">
        <v>454</v>
      </c>
      <c r="B16" s="262">
        <f>B23</f>
        <v>456250</v>
      </c>
      <c r="C16" s="262">
        <f>C23</f>
        <v>456250</v>
      </c>
      <c r="D16" s="262">
        <f>D23</f>
        <v>456250</v>
      </c>
      <c r="E16" s="262">
        <f>E23</f>
        <v>456250</v>
      </c>
      <c r="F16" s="262">
        <f t="shared" ref="F16:K16" si="1">F23</f>
        <v>500500</v>
      </c>
      <c r="G16" s="262">
        <f t="shared" si="1"/>
        <v>1761250</v>
      </c>
      <c r="H16" s="262">
        <f t="shared" si="1"/>
        <v>850000</v>
      </c>
      <c r="I16" s="262">
        <f t="shared" si="1"/>
        <v>850000</v>
      </c>
      <c r="J16" s="262">
        <f t="shared" si="1"/>
        <v>448750</v>
      </c>
      <c r="K16" s="262">
        <f t="shared" si="1"/>
        <v>10500</v>
      </c>
      <c r="L16" t="s">
        <v>798</v>
      </c>
    </row>
    <row r="17" spans="1:11" x14ac:dyDescent="0.25">
      <c r="A17" s="251" t="s">
        <v>499</v>
      </c>
      <c r="B17" s="254">
        <f>IF(Inputs!$B$5=B1,IF(Inputs!$B$8=Inputs!$C$8,'Default Data'!B2,Inputs!$B$8),'Default Data'!B2)</f>
        <v>91250</v>
      </c>
      <c r="C17" s="254">
        <f>IF(Inputs!$B$5=C1,IF(Inputs!$B$8=$C$7,'Default Data'!B3,Inputs!$B$8),'Default Data'!B3)</f>
        <v>91250</v>
      </c>
      <c r="D17" s="254">
        <f>IF(Inputs!$B$5=D1,IF(Inputs!$B$8=$C$7,'Default Data'!B4,Inputs!$B$8),'Default Data'!B4)</f>
        <v>91250</v>
      </c>
      <c r="E17" s="254">
        <f>IF(Inputs!$B$5=E1,IF(Inputs!$B$8=$C$7,'Default Data'!B5,Inputs!$B$8),'Default Data'!B5)</f>
        <v>91250</v>
      </c>
      <c r="F17" s="254">
        <f>IF(Inputs!$B$5=F1,IF(Inputs!$B$8=$C$7,'Default Data'!B6,Inputs!$B$8),'Default Data'!B6)</f>
        <v>98000</v>
      </c>
      <c r="G17" s="254">
        <f>IF(Inputs!$B$5=G1,IF(Inputs!$B$8=$C$7,'Default Data'!B7,Inputs!$B$8),'Default Data'!B7)</f>
        <v>330000</v>
      </c>
      <c r="H17" s="254">
        <f>IF(Inputs!$B$5=H1,IF(Inputs!$B$8=$C$7,'Default Data'!B8,Inputs!$B$8),'Default Data'!B8)</f>
        <v>120000</v>
      </c>
      <c r="I17" s="254">
        <f>IF(Inputs!$B$5=I1,IF(Inputs!$B$8=$C$7,'Default Data'!B9,Inputs!$B$8),'Default Data'!B9)</f>
        <v>120000</v>
      </c>
      <c r="J17" s="254">
        <f>IF(Inputs!$B$5=J1,IF(Inputs!$B$8=$C$7,'Default Data'!B10,Inputs!$B$8),'Default Data'!B10)</f>
        <v>89750</v>
      </c>
      <c r="K17" s="254">
        <f>IF(Inputs!$B$5=K1,IF(Inputs!$B$8=$C$7,'Default Data'!B11,Inputs!$B$8),'Default Data'!B11)</f>
        <v>98000</v>
      </c>
    </row>
    <row r="18" spans="1:11" x14ac:dyDescent="0.25">
      <c r="A18" s="251" t="s">
        <v>796</v>
      </c>
      <c r="B18" s="254">
        <f>IF(Inputs!$B$5=B1,IF(Inputs!$B$9="Yes",$N$8,B17),'Default Data'!B2)</f>
        <v>91250</v>
      </c>
      <c r="C18" s="254">
        <f>IF(Inputs!$B$5=C1,IF(Inputs!$B$9="Yes",$N$8,C17),'Default Data'!B3)</f>
        <v>91250</v>
      </c>
      <c r="D18" s="254">
        <f>IF(Inputs!$B$5=D1,IF(Inputs!$B$9="Yes",$N$8,D17),'Default Data'!B4)</f>
        <v>91250</v>
      </c>
      <c r="E18" s="254">
        <f>IF(Inputs!$B$5=E1,IF(Inputs!$B$9="Yes",$N$8,E17),'Default Data'!B5)</f>
        <v>91250</v>
      </c>
      <c r="F18" s="254">
        <f>IF(Inputs!$B$5=F1,IF(Inputs!$B$9="Yes",$N$8,F17),'Default Data'!B6)</f>
        <v>98000</v>
      </c>
      <c r="G18" s="254">
        <f>IF(Inputs!$B$5=G1,IF(Inputs!$B$9="Yes",$N$8,G17),'Default Data'!B7)</f>
        <v>330000</v>
      </c>
      <c r="H18" s="254">
        <f>IF(Inputs!$B$5=H1,IF(Inputs!$B$9="Yes",$N$8,H17),'Default Data'!B8)</f>
        <v>120000</v>
      </c>
      <c r="I18" s="254">
        <f>IF(Inputs!$B$5=I1,IF(Inputs!$B$9="Yes",$N$8,I17),'Default Data'!B9)</f>
        <v>120000</v>
      </c>
      <c r="J18" s="254">
        <f>IF(Inputs!$B$5=J1,IF(Inputs!$B$9="Yes",$N$8,J17),'Default Data'!B10)</f>
        <v>89750</v>
      </c>
      <c r="K18" s="254">
        <f>IF(Inputs!$B$5=K1,IF(Inputs!$B$9="Yes",$N$8,K17),'Default Data'!B11)</f>
        <v>98000</v>
      </c>
    </row>
    <row r="19" spans="1:11" x14ac:dyDescent="0.25">
      <c r="A19" s="466" t="s">
        <v>791</v>
      </c>
      <c r="B19" s="254">
        <f>IF(Inputs!$B$5=B1,Inputs!$B$12,0)</f>
        <v>0</v>
      </c>
      <c r="C19" s="254">
        <f>IF(Inputs!$B$5=C1,Inputs!$B$12,0)</f>
        <v>0</v>
      </c>
      <c r="D19" s="254">
        <f>IF(Inputs!$B$5=D1,Inputs!$B$12,0)</f>
        <v>0</v>
      </c>
      <c r="E19" s="254">
        <f>IF(Inputs!$B$5=E1,Inputs!$B$12,0)</f>
        <v>0</v>
      </c>
      <c r="F19" s="254">
        <f>IF(Inputs!$B$5=F1,Inputs!$B$12,0)</f>
        <v>0</v>
      </c>
      <c r="G19" s="254">
        <f>IF(Inputs!$B$5=G1,Inputs!$B$12,0)</f>
        <v>0</v>
      </c>
      <c r="H19" s="254">
        <f>IF(Inputs!$B$5=H1,Inputs!$B$12,0)</f>
        <v>0</v>
      </c>
      <c r="I19" s="254">
        <f>IF(Inputs!$B$5=I1,Inputs!$B$12,0)</f>
        <v>0</v>
      </c>
      <c r="J19" s="254">
        <f>IF(Inputs!$B$5=J1,Inputs!$B$12,0)</f>
        <v>0</v>
      </c>
      <c r="K19" s="254">
        <f>IF(Inputs!$B$5=K1,Inputs!$B$12,0)</f>
        <v>0</v>
      </c>
    </row>
    <row r="20" spans="1:11" x14ac:dyDescent="0.25">
      <c r="A20" s="251" t="s">
        <v>799</v>
      </c>
      <c r="B20" s="254">
        <f>B18-B19</f>
        <v>91250</v>
      </c>
      <c r="C20" s="254">
        <f t="shared" ref="C20:K20" si="2">C18-C19</f>
        <v>91250</v>
      </c>
      <c r="D20" s="254">
        <f t="shared" si="2"/>
        <v>91250</v>
      </c>
      <c r="E20" s="254">
        <f t="shared" si="2"/>
        <v>91250</v>
      </c>
      <c r="F20" s="254">
        <f t="shared" si="2"/>
        <v>98000</v>
      </c>
      <c r="G20" s="254">
        <f t="shared" si="2"/>
        <v>330000</v>
      </c>
      <c r="H20" s="254">
        <f t="shared" si="2"/>
        <v>120000</v>
      </c>
      <c r="I20" s="254">
        <f t="shared" si="2"/>
        <v>120000</v>
      </c>
      <c r="J20" s="254">
        <f t="shared" si="2"/>
        <v>89750</v>
      </c>
      <c r="K20" s="254">
        <f t="shared" si="2"/>
        <v>98000</v>
      </c>
    </row>
    <row r="21" spans="1:11" x14ac:dyDescent="0.25">
      <c r="A21" s="251" t="s">
        <v>795</v>
      </c>
      <c r="B21" s="254">
        <f>B20*Inputs!$B$14</f>
        <v>456250</v>
      </c>
      <c r="C21" s="254">
        <f>C17*Inputs!$B$14</f>
        <v>456250</v>
      </c>
      <c r="D21" s="254">
        <f>D17*Inputs!$B$14</f>
        <v>456250</v>
      </c>
      <c r="E21" s="254">
        <f>E17*Inputs!$B$14</f>
        <v>456250</v>
      </c>
      <c r="F21" s="254">
        <f>F17*Inputs!$B$14</f>
        <v>490000</v>
      </c>
      <c r="G21" s="254">
        <f>G17*Inputs!$B$14</f>
        <v>1650000</v>
      </c>
      <c r="H21" s="254">
        <f>H17*Inputs!B14</f>
        <v>600000</v>
      </c>
      <c r="I21" s="254">
        <f>I17*Inputs!$B$14</f>
        <v>600000</v>
      </c>
      <c r="J21" s="254">
        <f>J17*Inputs!B14</f>
        <v>448750</v>
      </c>
      <c r="K21" s="254">
        <f>K17*Inputs!C14</f>
        <v>0</v>
      </c>
    </row>
    <row r="22" spans="1:11" x14ac:dyDescent="0.25">
      <c r="A22" s="251" t="s">
        <v>455</v>
      </c>
      <c r="B22" s="254">
        <f>IF(Inputs!B5='Bus 1 Calc'!B1,Inputs!B19,'Default Data'!Q2)</f>
        <v>0</v>
      </c>
      <c r="C22" s="254">
        <f>IF(Inputs!B5='Bus 1 Calc'!C1,Inputs!B19,'Default Data'!Q3)</f>
        <v>0</v>
      </c>
      <c r="D22" s="254">
        <f>IF(Inputs!B5='Bus 1 Calc'!D1,Inputs!B19,'Default Data'!Q4)</f>
        <v>0</v>
      </c>
      <c r="E22" s="254">
        <f>IF(Inputs!B5='Bus 1 Calc'!E1,Inputs!B19,'Default Data'!Q5)</f>
        <v>0</v>
      </c>
      <c r="F22" s="254">
        <f>IF(Inputs!B5='Bus 1 Calc'!F1,Inputs!B19,IF(Inputs!B14&lt;25,'Bus Price-Infrastructure'!N18,'Bus Price-Infrastructure'!N23))</f>
        <v>10500</v>
      </c>
      <c r="G22" s="254">
        <f>IF(Inputs!B5='Bus 1 Calc'!G1,Inputs!B19,'Default Data'!Q7)</f>
        <v>111250</v>
      </c>
      <c r="H22" s="254">
        <f>IF(Inputs!B5='Bus 1 Calc'!H1,Inputs!B19,IF(Inputs!B14&lt;10,50000*Inputs!B14,IF(Inputs!B14&gt;20,1200000,800000)))</f>
        <v>250000</v>
      </c>
      <c r="I22" s="254">
        <f>IF(Inputs!B5='Bus 1 Calc'!I1,Inputs!B19,IF(Inputs!B14&lt;10,50000*Inputs!B14,IF(Inputs!B14&gt;20,1200000,800000)))</f>
        <v>250000</v>
      </c>
      <c r="J22" s="254">
        <f>IF(Inputs!B5='Bus 1 Calc'!J1,Inputs!B19,'Default Data'!Q10)</f>
        <v>0</v>
      </c>
      <c r="K22" s="254">
        <f>IF(Inputs!B5='Bus 1 Calc'!K1,Inputs!B19,IF(Inputs!B14&lt;25,'Bus Price-Infrastructure'!N18,'Bus Price-Infrastructure'!N23))</f>
        <v>10500</v>
      </c>
    </row>
    <row r="23" spans="1:11" x14ac:dyDescent="0.25">
      <c r="A23" s="251" t="s">
        <v>456</v>
      </c>
      <c r="B23" s="120">
        <f>B21+B22</f>
        <v>456250</v>
      </c>
      <c r="C23" s="120">
        <f t="shared" ref="C23:K23" si="3">C21+C22</f>
        <v>456250</v>
      </c>
      <c r="D23" s="120">
        <f t="shared" si="3"/>
        <v>456250</v>
      </c>
      <c r="E23" s="120">
        <f t="shared" si="3"/>
        <v>456250</v>
      </c>
      <c r="F23" s="120">
        <f t="shared" si="3"/>
        <v>500500</v>
      </c>
      <c r="G23" s="120">
        <f t="shared" si="3"/>
        <v>1761250</v>
      </c>
      <c r="H23" s="120">
        <f t="shared" si="3"/>
        <v>850000</v>
      </c>
      <c r="I23" s="120">
        <f t="shared" si="3"/>
        <v>850000</v>
      </c>
      <c r="J23" s="120">
        <f t="shared" si="3"/>
        <v>448750</v>
      </c>
      <c r="K23" s="120">
        <f t="shared" si="3"/>
        <v>10500</v>
      </c>
    </row>
    <row r="24" spans="1:11" x14ac:dyDescent="0.25">
      <c r="A24" s="251"/>
      <c r="B24" s="120"/>
      <c r="C24" s="120"/>
      <c r="D24" s="120"/>
      <c r="E24" s="120"/>
      <c r="F24" s="120"/>
      <c r="G24" s="120"/>
      <c r="H24" s="120"/>
      <c r="I24" s="120"/>
      <c r="J24" s="120"/>
    </row>
    <row r="25" spans="1:11" x14ac:dyDescent="0.25">
      <c r="A25" s="261" t="s">
        <v>457</v>
      </c>
      <c r="B25" s="262"/>
      <c r="C25" s="262"/>
      <c r="D25" s="262"/>
      <c r="E25" s="262"/>
      <c r="F25" s="262"/>
      <c r="G25" s="262"/>
      <c r="H25" s="262"/>
      <c r="I25" s="262"/>
      <c r="J25" s="262"/>
      <c r="K25" s="425"/>
    </row>
    <row r="26" spans="1:11" x14ac:dyDescent="0.25">
      <c r="A26" s="263" t="s">
        <v>458</v>
      </c>
      <c r="B26" s="264">
        <f>'Default Data'!T2</f>
        <v>8.1465822538078936E-2</v>
      </c>
      <c r="C26" s="264">
        <f>'Default Data'!T3</f>
        <v>7.3699132720977112E-2</v>
      </c>
      <c r="D26" s="264">
        <f>'Default Data'!T4</f>
        <v>7.2235843335146321E-2</v>
      </c>
      <c r="E26" s="264">
        <f>'Default Data'!T5</f>
        <v>3.2248646849270625E-2</v>
      </c>
      <c r="F26" s="264">
        <f>'Default Data'!T6</f>
        <v>7.2140620165124167E-2</v>
      </c>
      <c r="G26" s="264">
        <f>'Default Data'!T7</f>
        <v>3.0732743679812131E-4</v>
      </c>
      <c r="H26" s="264">
        <f>'Default Data'!T8</f>
        <v>7.5073470519305463E-2</v>
      </c>
      <c r="I26" s="264">
        <f>'Default Data'!T9</f>
        <v>2.9666129479402961E-2</v>
      </c>
      <c r="J26" s="264">
        <f>'Default Data'!T10</f>
        <v>7.7339003627923036E-2</v>
      </c>
      <c r="K26" s="264">
        <f>'Default Data'!T11</f>
        <v>0</v>
      </c>
    </row>
    <row r="27" spans="1:11" x14ac:dyDescent="0.25">
      <c r="A27" s="251" t="s">
        <v>452</v>
      </c>
      <c r="B27" s="265">
        <f>'Default Data'!V2</f>
        <v>8.4789115093538911E-3</v>
      </c>
      <c r="C27" s="265">
        <f>'Default Data'!V3</f>
        <v>8.4789115093538911E-3</v>
      </c>
      <c r="D27" s="265">
        <f>'Default Data'!V4</f>
        <v>8.4789115093538911E-3</v>
      </c>
      <c r="E27" s="265">
        <f>'Default Data'!V5</f>
        <v>8.4789115093538911E-3</v>
      </c>
      <c r="F27" s="265">
        <f>'Default Data'!V6</f>
        <v>1.9535734356468585E-3</v>
      </c>
      <c r="G27" s="265">
        <f>'Default Data'!V7</f>
        <v>9.8685668398655743E-4</v>
      </c>
      <c r="H27" s="265">
        <f>'Default Data'!V9</f>
        <v>4.2293857885138172E-3</v>
      </c>
      <c r="I27" s="265">
        <f>'Default Data'!V9</f>
        <v>4.2293857885138172E-3</v>
      </c>
      <c r="J27" s="265">
        <f>'Default Data'!V10</f>
        <v>4.8738636229540182E-3</v>
      </c>
    </row>
    <row r="28" spans="1:11" x14ac:dyDescent="0.25">
      <c r="A28" s="266" t="s">
        <v>453</v>
      </c>
      <c r="B28" s="267">
        <f>'Default Data'!X2</f>
        <v>6.6971341229478704E-2</v>
      </c>
      <c r="C28" s="267">
        <f>'Default Data'!X3</f>
        <v>6.6971341229478704E-2</v>
      </c>
      <c r="D28" s="267">
        <f>'Default Data'!X4</f>
        <v>6.6971341229478704E-2</v>
      </c>
      <c r="E28" s="267">
        <f>'Default Data'!X5</f>
        <v>6.6971341229478704E-2</v>
      </c>
      <c r="F28" s="267">
        <f>'Default Data'!X6</f>
        <v>7.085373782249195E-2</v>
      </c>
      <c r="G28" s="267">
        <f>'Default Data'!X7</f>
        <v>5.8235948895198871E-3</v>
      </c>
      <c r="H28" s="267">
        <f>'Default Data'!X8</f>
        <v>6.6971341229478704E-2</v>
      </c>
      <c r="I28" s="267">
        <f>'Default Data'!X9</f>
        <v>6.6971341229478704E-2</v>
      </c>
      <c r="J28" s="267">
        <f>'Default Data'!X10</f>
        <v>7.085373782249195E-2</v>
      </c>
    </row>
    <row r="29" spans="1:11" x14ac:dyDescent="0.25">
      <c r="A29" s="349" t="s">
        <v>286</v>
      </c>
      <c r="B29" s="350">
        <f>SUM(B26:B28)</f>
        <v>0.15691607527691154</v>
      </c>
      <c r="C29" s="350">
        <f t="shared" ref="C29:J29" si="4">SUM(C26:C28)</f>
        <v>0.14914938545980971</v>
      </c>
      <c r="D29" s="350">
        <f t="shared" si="4"/>
        <v>0.14768609607397892</v>
      </c>
      <c r="E29" s="350">
        <f t="shared" si="4"/>
        <v>0.10769889958810322</v>
      </c>
      <c r="F29" s="350">
        <f t="shared" si="4"/>
        <v>0.14494793142326295</v>
      </c>
      <c r="G29" s="350">
        <f t="shared" si="4"/>
        <v>7.1177790103045657E-3</v>
      </c>
      <c r="H29" s="350">
        <f t="shared" si="4"/>
        <v>0.14627419753729798</v>
      </c>
      <c r="I29" s="350">
        <f t="shared" si="4"/>
        <v>0.10086685649739549</v>
      </c>
      <c r="J29" s="350">
        <f t="shared" si="4"/>
        <v>0.153066605073369</v>
      </c>
    </row>
    <row r="30" spans="1:11" x14ac:dyDescent="0.25">
      <c r="A30" s="261" t="s">
        <v>459</v>
      </c>
    </row>
    <row r="31" spans="1:11" ht="39" x14ac:dyDescent="0.25">
      <c r="A31" s="361"/>
      <c r="B31" s="90" t="s">
        <v>1</v>
      </c>
      <c r="C31" s="108" t="s">
        <v>149</v>
      </c>
      <c r="D31" s="90" t="s">
        <v>150</v>
      </c>
      <c r="E31" s="108" t="s">
        <v>151</v>
      </c>
      <c r="F31" s="90" t="s">
        <v>152</v>
      </c>
      <c r="G31" s="126" t="s">
        <v>154</v>
      </c>
      <c r="H31" s="90" t="s">
        <v>155</v>
      </c>
      <c r="I31" s="126" t="s">
        <v>156</v>
      </c>
      <c r="J31" s="114" t="s">
        <v>124</v>
      </c>
      <c r="K31" s="126" t="s">
        <v>735</v>
      </c>
    </row>
    <row r="32" spans="1:11" x14ac:dyDescent="0.25">
      <c r="A32" s="108" t="s">
        <v>460</v>
      </c>
      <c r="B32" s="262">
        <f t="shared" ref="B32:J32" si="5">B7+B8+B9</f>
        <v>36602.355733723438</v>
      </c>
      <c r="C32" s="262">
        <f t="shared" si="5"/>
        <v>35982.05317577548</v>
      </c>
      <c r="D32" s="262">
        <f t="shared" si="5"/>
        <v>35982.05317577548</v>
      </c>
      <c r="E32" s="262">
        <f t="shared" si="5"/>
        <v>32925.332348596748</v>
      </c>
      <c r="F32" s="262">
        <f t="shared" si="5"/>
        <v>26760.000000000004</v>
      </c>
      <c r="G32" s="262">
        <f t="shared" si="5"/>
        <v>32324.687911691326</v>
      </c>
      <c r="H32" s="262">
        <f t="shared" si="5"/>
        <v>43866.101694915254</v>
      </c>
      <c r="I32" s="262">
        <f t="shared" si="5"/>
        <v>43948.108474576271</v>
      </c>
      <c r="J32" s="262">
        <f t="shared" si="5"/>
        <v>27235.109717868338</v>
      </c>
      <c r="K32" s="262">
        <f>K7+K8+K9</f>
        <v>26760.000000000004</v>
      </c>
    </row>
    <row r="33" spans="1:11" x14ac:dyDescent="0.25">
      <c r="A33" s="108" t="s">
        <v>461</v>
      </c>
      <c r="B33" s="36">
        <f t="shared" ref="B33:J34" si="6">B32*(1+$B$11)</f>
        <v>37480.812271332798</v>
      </c>
      <c r="C33" s="36">
        <f t="shared" si="6"/>
        <v>36845.622451994095</v>
      </c>
      <c r="D33" s="36">
        <f t="shared" si="6"/>
        <v>36845.622451994095</v>
      </c>
      <c r="E33" s="36">
        <f t="shared" si="6"/>
        <v>33715.540324963069</v>
      </c>
      <c r="F33" s="36">
        <f t="shared" si="6"/>
        <v>27402.240000000005</v>
      </c>
      <c r="G33" s="36">
        <f t="shared" si="6"/>
        <v>33100.48042157192</v>
      </c>
      <c r="H33" s="36">
        <f t="shared" si="6"/>
        <v>44918.888135593224</v>
      </c>
      <c r="I33" s="36">
        <f t="shared" si="6"/>
        <v>45002.863077966103</v>
      </c>
      <c r="J33" s="36">
        <f t="shared" si="6"/>
        <v>27888.752351097177</v>
      </c>
      <c r="K33" s="36">
        <f>K32*(1+$B$11)</f>
        <v>27402.240000000005</v>
      </c>
    </row>
    <row r="34" spans="1:11" x14ac:dyDescent="0.25">
      <c r="A34" s="108" t="s">
        <v>462</v>
      </c>
      <c r="B34" s="36">
        <f t="shared" si="6"/>
        <v>38380.351765844789</v>
      </c>
      <c r="C34" s="36">
        <f t="shared" si="6"/>
        <v>37729.917390841954</v>
      </c>
      <c r="D34" s="36">
        <f t="shared" si="6"/>
        <v>37729.917390841954</v>
      </c>
      <c r="E34" s="36">
        <f t="shared" si="6"/>
        <v>34524.713292762186</v>
      </c>
      <c r="F34" s="36">
        <f t="shared" si="6"/>
        <v>28059.893760000006</v>
      </c>
      <c r="G34" s="36">
        <f t="shared" si="6"/>
        <v>33894.891951689649</v>
      </c>
      <c r="H34" s="36">
        <f t="shared" si="6"/>
        <v>45996.941450847466</v>
      </c>
      <c r="I34" s="36">
        <f t="shared" si="6"/>
        <v>46082.931791837291</v>
      </c>
      <c r="J34" s="36">
        <f t="shared" si="6"/>
        <v>28558.08240752351</v>
      </c>
      <c r="K34" s="36">
        <f t="shared" ref="K34:K43" si="7">K33*(1+$B$11)</f>
        <v>28059.893760000006</v>
      </c>
    </row>
    <row r="35" spans="1:11" x14ac:dyDescent="0.25">
      <c r="A35" s="108" t="s">
        <v>463</v>
      </c>
      <c r="B35" s="36">
        <f t="shared" ref="B35:B46" si="8">B34*(1+$B$11)</f>
        <v>39301.480208225068</v>
      </c>
      <c r="C35" s="36">
        <f t="shared" ref="C35:C43" si="9">C34*(1+$B$11)</f>
        <v>38635.435408222162</v>
      </c>
      <c r="D35" s="36">
        <f t="shared" ref="D35:D43" si="10">D34*(1+$B$11)</f>
        <v>38635.435408222162</v>
      </c>
      <c r="E35" s="36">
        <f t="shared" ref="E35:E43" si="11">E34*(1+$B$11)</f>
        <v>35353.306411788479</v>
      </c>
      <c r="F35" s="36">
        <f t="shared" ref="F35:F43" si="12">F34*(1+$B$11)</f>
        <v>28733.331210240009</v>
      </c>
      <c r="G35" s="36">
        <f t="shared" ref="G35:G43" si="13">G34*(1+$B$11)</f>
        <v>34708.369358530203</v>
      </c>
      <c r="H35" s="36">
        <f t="shared" ref="H35:H43" si="14">H34*(1+$B$11)</f>
        <v>47100.868045667805</v>
      </c>
      <c r="I35" s="36">
        <f t="shared" ref="I35:I43" si="15">I34*(1+$B$11)</f>
        <v>47188.922154841384</v>
      </c>
      <c r="J35" s="36">
        <f t="shared" ref="J35:J43" si="16">J34*(1+$B$11)</f>
        <v>29243.476385304075</v>
      </c>
      <c r="K35" s="36">
        <f t="shared" si="7"/>
        <v>28733.331210240009</v>
      </c>
    </row>
    <row r="36" spans="1:11" x14ac:dyDescent="0.25">
      <c r="A36" s="108" t="s">
        <v>464</v>
      </c>
      <c r="B36" s="36">
        <f t="shared" si="8"/>
        <v>40244.715733222467</v>
      </c>
      <c r="C36" s="36">
        <f t="shared" si="9"/>
        <v>39562.685858019497</v>
      </c>
      <c r="D36" s="36">
        <f t="shared" si="10"/>
        <v>39562.685858019497</v>
      </c>
      <c r="E36" s="36">
        <f t="shared" si="11"/>
        <v>36201.785765671404</v>
      </c>
      <c r="F36" s="36">
        <f t="shared" si="12"/>
        <v>29422.93115928577</v>
      </c>
      <c r="G36" s="36">
        <f t="shared" si="13"/>
        <v>35541.370223134931</v>
      </c>
      <c r="H36" s="36">
        <f t="shared" si="14"/>
        <v>48231.288878763837</v>
      </c>
      <c r="I36" s="36">
        <f t="shared" si="15"/>
        <v>48321.456286557579</v>
      </c>
      <c r="J36" s="36">
        <f t="shared" si="16"/>
        <v>29945.319818551372</v>
      </c>
      <c r="K36" s="36">
        <f t="shared" si="7"/>
        <v>29422.93115928577</v>
      </c>
    </row>
    <row r="37" spans="1:11" x14ac:dyDescent="0.25">
      <c r="A37" s="108" t="s">
        <v>465</v>
      </c>
      <c r="B37" s="36">
        <f t="shared" si="8"/>
        <v>41210.58891081981</v>
      </c>
      <c r="C37" s="36">
        <f t="shared" si="9"/>
        <v>40512.190318611967</v>
      </c>
      <c r="D37" s="36">
        <f t="shared" si="10"/>
        <v>40512.190318611967</v>
      </c>
      <c r="E37" s="36">
        <f t="shared" si="11"/>
        <v>37070.628624047516</v>
      </c>
      <c r="F37" s="36">
        <f t="shared" si="12"/>
        <v>30129.081507108629</v>
      </c>
      <c r="G37" s="36">
        <f t="shared" si="13"/>
        <v>36394.363108490172</v>
      </c>
      <c r="H37" s="36">
        <f t="shared" si="14"/>
        <v>49388.839811854166</v>
      </c>
      <c r="I37" s="36">
        <f t="shared" si="15"/>
        <v>49481.171237434959</v>
      </c>
      <c r="J37" s="36">
        <f t="shared" si="16"/>
        <v>30664.007494196605</v>
      </c>
      <c r="K37" s="36">
        <f t="shared" si="7"/>
        <v>30129.081507108629</v>
      </c>
    </row>
    <row r="38" spans="1:11" x14ac:dyDescent="0.25">
      <c r="A38" s="108" t="s">
        <v>466</v>
      </c>
      <c r="B38" s="36">
        <f t="shared" si="8"/>
        <v>42199.643044679484</v>
      </c>
      <c r="C38" s="36">
        <f t="shared" si="9"/>
        <v>41484.482886258658</v>
      </c>
      <c r="D38" s="36">
        <f t="shared" si="10"/>
        <v>41484.482886258658</v>
      </c>
      <c r="E38" s="36">
        <f t="shared" si="11"/>
        <v>37960.323711024655</v>
      </c>
      <c r="F38" s="36">
        <f t="shared" si="12"/>
        <v>30852.179463279237</v>
      </c>
      <c r="G38" s="36">
        <f t="shared" si="13"/>
        <v>37267.82782309394</v>
      </c>
      <c r="H38" s="36">
        <f t="shared" si="14"/>
        <v>50574.171967338669</v>
      </c>
      <c r="I38" s="36">
        <f t="shared" si="15"/>
        <v>50668.719347133396</v>
      </c>
      <c r="J38" s="36">
        <f t="shared" si="16"/>
        <v>31399.943674057326</v>
      </c>
      <c r="K38" s="36">
        <f t="shared" si="7"/>
        <v>30852.179463279237</v>
      </c>
    </row>
    <row r="39" spans="1:11" x14ac:dyDescent="0.25">
      <c r="A39" s="108" t="s">
        <v>467</v>
      </c>
      <c r="B39" s="36">
        <f t="shared" si="8"/>
        <v>43212.434477751791</v>
      </c>
      <c r="C39" s="36">
        <f t="shared" si="9"/>
        <v>42480.110475528869</v>
      </c>
      <c r="D39" s="36">
        <f t="shared" si="10"/>
        <v>42480.110475528869</v>
      </c>
      <c r="E39" s="36">
        <f t="shared" si="11"/>
        <v>38871.371480089249</v>
      </c>
      <c r="F39" s="36">
        <f t="shared" si="12"/>
        <v>31592.63177039794</v>
      </c>
      <c r="G39" s="36">
        <f t="shared" si="13"/>
        <v>38162.255690848193</v>
      </c>
      <c r="H39" s="36">
        <f t="shared" si="14"/>
        <v>51787.952094554799</v>
      </c>
      <c r="I39" s="36">
        <f t="shared" si="15"/>
        <v>51884.768611464599</v>
      </c>
      <c r="J39" s="36">
        <f t="shared" si="16"/>
        <v>32153.542322234702</v>
      </c>
      <c r="K39" s="36">
        <f t="shared" si="7"/>
        <v>31592.63177039794</v>
      </c>
    </row>
    <row r="40" spans="1:11" x14ac:dyDescent="0.25">
      <c r="A40" s="108" t="s">
        <v>468</v>
      </c>
      <c r="B40" s="36">
        <f t="shared" si="8"/>
        <v>44249.532905217835</v>
      </c>
      <c r="C40" s="36">
        <f t="shared" si="9"/>
        <v>43499.63312694156</v>
      </c>
      <c r="D40" s="36">
        <f t="shared" si="10"/>
        <v>43499.63312694156</v>
      </c>
      <c r="E40" s="36">
        <f t="shared" si="11"/>
        <v>39804.284395611394</v>
      </c>
      <c r="F40" s="36">
        <f t="shared" si="12"/>
        <v>32350.854932887491</v>
      </c>
      <c r="G40" s="36">
        <f t="shared" si="13"/>
        <v>39078.149827428548</v>
      </c>
      <c r="H40" s="36">
        <f t="shared" si="14"/>
        <v>53030.862944824119</v>
      </c>
      <c r="I40" s="36">
        <f t="shared" si="15"/>
        <v>53130.003058139751</v>
      </c>
      <c r="J40" s="36">
        <f t="shared" si="16"/>
        <v>32925.227337968332</v>
      </c>
      <c r="K40" s="36">
        <f t="shared" si="7"/>
        <v>32350.854932887491</v>
      </c>
    </row>
    <row r="41" spans="1:11" x14ac:dyDescent="0.25">
      <c r="A41" s="108" t="s">
        <v>469</v>
      </c>
      <c r="B41" s="36">
        <f t="shared" si="8"/>
        <v>45311.521694943061</v>
      </c>
      <c r="C41" s="36">
        <f t="shared" si="9"/>
        <v>44543.624321988158</v>
      </c>
      <c r="D41" s="36">
        <f t="shared" si="10"/>
        <v>44543.624321988158</v>
      </c>
      <c r="E41" s="36">
        <f t="shared" si="11"/>
        <v>40759.587221106071</v>
      </c>
      <c r="F41" s="36">
        <f t="shared" si="12"/>
        <v>33127.275451276793</v>
      </c>
      <c r="G41" s="36">
        <f t="shared" si="13"/>
        <v>40016.025423286832</v>
      </c>
      <c r="H41" s="36">
        <f t="shared" si="14"/>
        <v>54303.603655499901</v>
      </c>
      <c r="I41" s="36">
        <f t="shared" si="15"/>
        <v>54405.123131535103</v>
      </c>
      <c r="J41" s="36">
        <f t="shared" si="16"/>
        <v>33715.43279407957</v>
      </c>
      <c r="K41" s="36">
        <f t="shared" si="7"/>
        <v>33127.275451276793</v>
      </c>
    </row>
    <row r="42" spans="1:11" x14ac:dyDescent="0.25">
      <c r="A42" s="108" t="s">
        <v>470</v>
      </c>
      <c r="B42" s="36">
        <f t="shared" si="8"/>
        <v>46398.998215621694</v>
      </c>
      <c r="C42" s="36">
        <f t="shared" si="9"/>
        <v>45612.671305715878</v>
      </c>
      <c r="D42" s="36">
        <f t="shared" si="10"/>
        <v>45612.671305715878</v>
      </c>
      <c r="E42" s="36">
        <f t="shared" si="11"/>
        <v>41737.817314412619</v>
      </c>
      <c r="F42" s="36">
        <f t="shared" si="12"/>
        <v>33922.330062107438</v>
      </c>
      <c r="G42" s="36">
        <f t="shared" si="13"/>
        <v>40976.410033445718</v>
      </c>
      <c r="H42" s="36">
        <f t="shared" si="14"/>
        <v>55606.890143231896</v>
      </c>
      <c r="I42" s="36">
        <f t="shared" si="15"/>
        <v>55710.846086691949</v>
      </c>
      <c r="J42" s="36">
        <f t="shared" si="16"/>
        <v>34524.603181137478</v>
      </c>
      <c r="K42" s="36">
        <f t="shared" si="7"/>
        <v>33922.330062107438</v>
      </c>
    </row>
    <row r="43" spans="1:11" x14ac:dyDescent="0.25">
      <c r="A43" s="108" t="s">
        <v>471</v>
      </c>
      <c r="B43" s="36">
        <f t="shared" si="8"/>
        <v>47512.574172796616</v>
      </c>
      <c r="C43" s="36">
        <f t="shared" si="9"/>
        <v>46707.375417053059</v>
      </c>
      <c r="D43" s="36">
        <f t="shared" si="10"/>
        <v>46707.375417053059</v>
      </c>
      <c r="E43" s="36">
        <f t="shared" si="11"/>
        <v>42739.524929958527</v>
      </c>
      <c r="F43" s="36">
        <f t="shared" si="12"/>
        <v>34736.46598359802</v>
      </c>
      <c r="G43" s="36">
        <f t="shared" si="13"/>
        <v>41959.843874248414</v>
      </c>
      <c r="H43" s="36">
        <f t="shared" si="14"/>
        <v>56941.455506669459</v>
      </c>
      <c r="I43" s="36">
        <f t="shared" si="15"/>
        <v>57047.906392772558</v>
      </c>
      <c r="J43" s="36">
        <f t="shared" si="16"/>
        <v>35353.193657484779</v>
      </c>
      <c r="K43" s="36">
        <f t="shared" si="7"/>
        <v>34736.46598359802</v>
      </c>
    </row>
    <row r="44" spans="1:11" x14ac:dyDescent="0.25">
      <c r="A44" s="108" t="s">
        <v>472</v>
      </c>
      <c r="B44" s="36">
        <f t="shared" si="8"/>
        <v>48652.875952943738</v>
      </c>
      <c r="C44" s="36">
        <f t="shared" ref="C44:K46" si="17">C43*(1+$B$11)</f>
        <v>47828.352427062331</v>
      </c>
      <c r="D44" s="36">
        <f t="shared" si="17"/>
        <v>47828.352427062331</v>
      </c>
      <c r="E44" s="36">
        <f t="shared" si="17"/>
        <v>43765.273528277532</v>
      </c>
      <c r="F44" s="36">
        <f t="shared" si="17"/>
        <v>35570.141167204376</v>
      </c>
      <c r="G44" s="36">
        <f t="shared" si="17"/>
        <v>42966.880127230375</v>
      </c>
      <c r="H44" s="36">
        <f t="shared" si="17"/>
        <v>58308.05043882953</v>
      </c>
      <c r="I44" s="36">
        <f t="shared" si="17"/>
        <v>58417.056146199102</v>
      </c>
      <c r="J44" s="36">
        <f t="shared" si="17"/>
        <v>36201.670305264415</v>
      </c>
      <c r="K44" s="36">
        <f t="shared" si="17"/>
        <v>35570.141167204376</v>
      </c>
    </row>
    <row r="45" spans="1:11" x14ac:dyDescent="0.25">
      <c r="A45" s="108" t="s">
        <v>473</v>
      </c>
      <c r="B45" s="36">
        <f t="shared" si="8"/>
        <v>49820.544975814388</v>
      </c>
      <c r="C45" s="36">
        <f t="shared" si="17"/>
        <v>48976.232885311831</v>
      </c>
      <c r="D45" s="36">
        <f t="shared" si="17"/>
        <v>48976.232885311831</v>
      </c>
      <c r="E45" s="36">
        <f t="shared" si="17"/>
        <v>44815.640092956193</v>
      </c>
      <c r="F45" s="36">
        <f t="shared" si="17"/>
        <v>36423.824555217281</v>
      </c>
      <c r="G45" s="36">
        <f t="shared" si="17"/>
        <v>43998.085250283904</v>
      </c>
      <c r="H45" s="36">
        <f t="shared" si="17"/>
        <v>59707.443649361441</v>
      </c>
      <c r="I45" s="36">
        <f t="shared" si="17"/>
        <v>59819.06549370788</v>
      </c>
      <c r="J45" s="36">
        <f t="shared" si="17"/>
        <v>37070.510392590761</v>
      </c>
      <c r="K45" s="36">
        <f t="shared" si="17"/>
        <v>36423.824555217281</v>
      </c>
    </row>
    <row r="46" spans="1:11" x14ac:dyDescent="0.25">
      <c r="A46" s="108" t="s">
        <v>474</v>
      </c>
      <c r="B46" s="36">
        <f t="shared" si="8"/>
        <v>51016.238055233931</v>
      </c>
      <c r="C46" s="36">
        <f t="shared" si="17"/>
        <v>50151.662474559314</v>
      </c>
      <c r="D46" s="36">
        <f t="shared" si="17"/>
        <v>50151.662474559314</v>
      </c>
      <c r="E46" s="36">
        <f t="shared" si="17"/>
        <v>45891.215455187143</v>
      </c>
      <c r="F46" s="36">
        <f t="shared" si="17"/>
        <v>37297.996344542495</v>
      </c>
      <c r="G46" s="36">
        <f t="shared" si="17"/>
        <v>45054.039296290721</v>
      </c>
      <c r="H46" s="36">
        <f t="shared" si="17"/>
        <v>61140.422296946119</v>
      </c>
      <c r="I46" s="36">
        <f t="shared" si="17"/>
        <v>61254.723065556871</v>
      </c>
      <c r="J46" s="36">
        <f t="shared" si="17"/>
        <v>37960.20264201294</v>
      </c>
      <c r="K46" s="36">
        <f t="shared" si="17"/>
        <v>37297.996344542495</v>
      </c>
    </row>
    <row r="47" spans="1:11" x14ac:dyDescent="0.25">
      <c r="A47" s="108" t="s">
        <v>475</v>
      </c>
      <c r="B47" s="36">
        <f>SUM(B32:B46)</f>
        <v>651594.66811817093</v>
      </c>
      <c r="C47" s="36">
        <f t="shared" ref="C47:J47" si="18">SUM(C32:C46)</f>
        <v>640552.0499238848</v>
      </c>
      <c r="D47" s="36">
        <f t="shared" si="18"/>
        <v>640552.0499238848</v>
      </c>
      <c r="E47" s="36">
        <f t="shared" si="18"/>
        <v>586136.34489645273</v>
      </c>
      <c r="F47" s="36">
        <f t="shared" si="18"/>
        <v>476381.17736714549</v>
      </c>
      <c r="G47" s="36">
        <f t="shared" si="18"/>
        <v>575443.6803212649</v>
      </c>
      <c r="H47" s="36">
        <f t="shared" si="18"/>
        <v>780903.78071489779</v>
      </c>
      <c r="I47" s="36">
        <f t="shared" si="18"/>
        <v>782363.66435641481</v>
      </c>
      <c r="J47" s="36">
        <f t="shared" si="18"/>
        <v>484839.07448137144</v>
      </c>
      <c r="K47" s="36">
        <f>SUM(K32:K46)</f>
        <v>476381.17736714549</v>
      </c>
    </row>
    <row r="48" spans="1:11" x14ac:dyDescent="0.25">
      <c r="A48" s="356" t="s">
        <v>747</v>
      </c>
      <c r="B48" s="268"/>
      <c r="C48" s="268"/>
      <c r="D48" s="268"/>
      <c r="E48" s="268"/>
      <c r="F48" s="268"/>
      <c r="G48" s="268"/>
      <c r="H48" s="268"/>
      <c r="I48" s="268"/>
      <c r="J48" s="268"/>
    </row>
    <row r="49" spans="1:11" ht="39" x14ac:dyDescent="0.25">
      <c r="A49" s="250" t="s">
        <v>445</v>
      </c>
      <c r="B49" s="90" t="s">
        <v>1</v>
      </c>
      <c r="C49" s="108" t="s">
        <v>149</v>
      </c>
      <c r="D49" s="90" t="s">
        <v>150</v>
      </c>
      <c r="E49" s="108" t="s">
        <v>151</v>
      </c>
      <c r="F49" s="90" t="s">
        <v>152</v>
      </c>
      <c r="G49" s="126" t="s">
        <v>154</v>
      </c>
      <c r="H49" s="90" t="s">
        <v>155</v>
      </c>
      <c r="I49" s="126" t="s">
        <v>156</v>
      </c>
      <c r="J49" s="114" t="s">
        <v>124</v>
      </c>
      <c r="K49" s="126" t="s">
        <v>735</v>
      </c>
    </row>
    <row r="50" spans="1:11" x14ac:dyDescent="0.25">
      <c r="A50" s="108" t="s">
        <v>460</v>
      </c>
      <c r="B50" s="268">
        <f>IF(Inputs!$B$5='Bus 1 Calc'!$B$49,IF(Inputs!$B$30=Inputs!$C$30,'School Bus Table'!F$18,('School Bus Table'!$D$10/Inputs!$B$30)*'School Bus Table'!F$16),'School Bus Table'!F$18)</f>
        <v>24321.752848072374</v>
      </c>
      <c r="C50" s="268">
        <f>IF(Inputs!$B$5='Bus 1 Calc'!$C$49,IF(Inputs!$B$30=Inputs!$C$30,'School Bus Table'!F$28,('School Bus Table'!$D$10/Inputs!$B$30)*'School Bus Table'!F$26),'School Bus Table'!F$28)</f>
        <v>27217.173822961595</v>
      </c>
      <c r="D50" s="268">
        <f>IF(Inputs!$B$5='Bus 1 Calc'!$D$49,IF(Inputs!$B$30=Inputs!$C$30,'School Bus Table'!F$41,('School Bus Table'!$D$10/Inputs!$B$30)*'School Bus Table'!F$39),'School Bus Table'!F$41)</f>
        <v>27217.173822961595</v>
      </c>
      <c r="E50" s="268">
        <f>IF(Inputs!$B$5='Bus 1 Calc'!$E$49,IF(Inputs!$B$30=Inputs!$C$30,'School Bus Table'!F$54,('School Bus Table'!$D$10/Inputs!$B$30)*'School Bus Table'!F$52),'School Bus Table'!F$54)</f>
        <v>26075.730458217484</v>
      </c>
      <c r="F50" s="268">
        <f>IF(Inputs!$B$5=$F$49,IF(Inputs!$B$30=Inputs!$C$30,'School Bus Table'!F$69-IF(Inputs!$B$34="YES",F121,0),(Inputs!$B$24/Inputs!$B$30)*'School Bus Table'!F$67)-IF(Inputs!$B$34="Yes",F121,0),'School Bus Table'!F$69-IF(Inputs!$B$34="YES",F121,0))</f>
        <v>23744.86656963389</v>
      </c>
      <c r="G50" s="268">
        <f>IF(Inputs!$B$5=$G$49,'School Bus Table'!F$94-IF(Inputs!$B$34="Yes",G121,0),'School Bus Table'!F$94-IF(Inputs!$B$34="YES",G121,0))</f>
        <v>17370.653882380702</v>
      </c>
      <c r="H50" s="268">
        <f>IF(Inputs!$B$5=$H$49,IF(Inputs!$B$30=Inputs!$C$30,'School Bus Table'!F$106-IF(Inputs!$B$34="YES",H121,0),(Inputs!$B$24/Inputs!$B$30)*'School Bus Table'!F$104)-IF(Inputs!$B$34="Yes",H121,0),'School Bus Table'!F$106-IF(Inputs!$B$34="YES",H121,0))</f>
        <v>11588.100635593222</v>
      </c>
      <c r="I50" s="268">
        <f>IF(Inputs!$B$5=$I$49,IF(Inputs!$B$30=Inputs!$C$30,'School Bus Table'!F$117,(Inputs!$B$24/Inputs!$B$30)*'School Bus Table'!F$115),'School Bus Table'!F$117)</f>
        <v>4437.6769067796613</v>
      </c>
      <c r="J50" s="268">
        <f>IF(Inputs!$B$5='Bus 1 Calc'!$J$49,IF(Inputs!$B$30=Inputs!$C$30,'School Bus Table'!F$130,('School Bus Table'!$D$10/Inputs!$B$30)*'School Bus Table'!F$128),'School Bus Table'!F$130)</f>
        <v>23844.525821951414</v>
      </c>
    </row>
    <row r="51" spans="1:11" x14ac:dyDescent="0.25">
      <c r="A51" s="108" t="s">
        <v>461</v>
      </c>
      <c r="B51" s="268">
        <f>IF(Inputs!$B$5='Bus 1 Calc'!$B$49,IF(Inputs!$B$30=Inputs!$C$30,'School Bus Table'!G$18,('School Bus Table'!$D$10/Inputs!$B$30)*'School Bus Table'!G$16),'School Bus Table'!G$18)</f>
        <v>25742.614782850811</v>
      </c>
      <c r="C51" s="268">
        <f>IF(Inputs!$B$5='Bus 1 Calc'!$C$49,IF(Inputs!$B$30=Inputs!$C$30,'School Bus Table'!G$28,('School Bus Table'!$D$10/Inputs!$B$30)*'School Bus Table'!G$26),'School Bus Table'!G$28)</f>
        <v>28638.035757740032</v>
      </c>
      <c r="D51" s="268">
        <f>IF(Inputs!$B$5='Bus 1 Calc'!$D$49,IF(Inputs!$B$30=Inputs!$C$30,'School Bus Table'!G$41,('School Bus Table'!$D$10/Inputs!$B$30)*'School Bus Table'!G$39),'School Bus Table'!G$41)</f>
        <v>28638.035757740032</v>
      </c>
      <c r="E51" s="268">
        <f>IF(Inputs!$B$5='Bus 1 Calc'!$E$49,IF(Inputs!$B$30=Inputs!$C$30,'School Bus Table'!G$54,('School Bus Table'!$D$10/Inputs!$B$30)*'School Bus Table'!G$52),'School Bus Table'!G$54)</f>
        <v>27496.592392995921</v>
      </c>
      <c r="F51" s="268">
        <f>IF(Inputs!$B$5=$F$49,IF(Inputs!$B$30=Inputs!$C$30,'School Bus Table'!G$69-IF(Inputs!$B$34="YES",F122,0),(Inputs!$B$24/Inputs!$B$30)*'School Bus Table'!G$67)-IF(Inputs!$B$34="Yes",F122,0),'School Bus Table'!G$69-IF(Inputs!$B$34="YES",F122,0))</f>
        <v>24402.79710774175</v>
      </c>
      <c r="G51" s="268">
        <f>IF(Inputs!$B$5=$G$49,'School Bus Table'!G$94-IF(Inputs!$B$34="Yes",G122,0),'School Bus Table'!G$94-IF(Inputs!$B$34="YES",G122,0))</f>
        <v>17199.45851550439</v>
      </c>
      <c r="H51" s="268">
        <f>IF(Inputs!$B$5=$H$49,IF(Inputs!$B$30=Inputs!$C$30,'School Bus Table'!G$106-IF(Inputs!$B$34="YES",H122,0),(Inputs!$B$24/Inputs!$B$30)*'School Bus Table'!G$104)-IF(Inputs!$B$34="Yes",H122,0),'School Bus Table'!G$106-IF(Inputs!$B$34="YES",H122,0))</f>
        <v>12742.190148305086</v>
      </c>
      <c r="I51" s="268">
        <f>IF(Inputs!$B$5=$I$49,IF(Inputs!$B$30=Inputs!$C$30,'School Bus Table'!G$117,(Inputs!$B$24/Inputs!$B$30)*'School Bus Table'!G$115),'School Bus Table'!G$117)</f>
        <v>5591.7664194915251</v>
      </c>
      <c r="J51" s="268">
        <f>IF(Inputs!$B$5='Bus 1 Calc'!$J$49,IF(Inputs!$B$30=Inputs!$C$30,'School Bus Table'!G$130,('School Bus Table'!$D$10/Inputs!$B$30)*'School Bus Table'!G$128),'School Bus Table'!G$130)</f>
        <v>24953.24719034091</v>
      </c>
    </row>
    <row r="52" spans="1:11" x14ac:dyDescent="0.25">
      <c r="A52" s="108" t="s">
        <v>462</v>
      </c>
      <c r="B52" s="268">
        <f>IF(Inputs!$B$5='Bus 1 Calc'!$B$49,IF(Inputs!$B$30=Inputs!$C$30,'School Bus Table'!H$18,('School Bus Table'!$D$10/Inputs!$B$30)*'School Bus Table'!H$16),'School Bus Table'!H$18)</f>
        <v>28424.246286270303</v>
      </c>
      <c r="C52" s="268">
        <f>IF(Inputs!$B$5='Bus 1 Calc'!$C$49,IF(Inputs!$B$30=Inputs!$C$30,'School Bus Table'!H$28,('School Bus Table'!$D$10/Inputs!$B$30)*'School Bus Table'!H$26),'School Bus Table'!H$28)</f>
        <v>31319.667261159524</v>
      </c>
      <c r="D52" s="268">
        <f>IF(Inputs!$B$5='Bus 1 Calc'!$D$49,IF(Inputs!$B$30=Inputs!$C$30,'School Bus Table'!H$41,('School Bus Table'!$D$10/Inputs!$B$30)*'School Bus Table'!H$39),'School Bus Table'!H$41)</f>
        <v>31319.667261159524</v>
      </c>
      <c r="E52" s="268">
        <f>IF(Inputs!$B$5='Bus 1 Calc'!$E$49,IF(Inputs!$B$30=Inputs!$C$30,'School Bus Table'!H$54,('School Bus Table'!$D$10/Inputs!$B$30)*'School Bus Table'!H$52),'School Bus Table'!H$54)</f>
        <v>30178.223896415413</v>
      </c>
      <c r="F52" s="268">
        <f>IF(Inputs!$B$5=$F$49,IF(Inputs!$B$30=Inputs!$C$30,'School Bus Table'!H$69-IF(Inputs!$B$34="YES",F123,0),(Inputs!$B$24/Inputs!$B$30)*'School Bus Table'!H$67)-IF(Inputs!$B$34="Yes",F123,0),'School Bus Table'!H$69-IF(Inputs!$B$34="YES",F123,0))</f>
        <v>25370.240325548293</v>
      </c>
      <c r="G52" s="268">
        <f>IF(Inputs!$B$5=$G$49,'School Bus Table'!H$94-IF(Inputs!$B$34="Yes",G123,0),'School Bus Table'!H$94-IF(Inputs!$B$34="YES",G123,0))</f>
        <v>17102.939919901859</v>
      </c>
      <c r="H52" s="268">
        <f>IF(Inputs!$B$5=$H$49,IF(Inputs!$B$30=Inputs!$C$30,'School Bus Table'!H$106-IF(Inputs!$B$34="YES",H123,0),(Inputs!$B$24/Inputs!$B$30)*'School Bus Table'!H$104)-IF(Inputs!$B$34="Yes",H123,0),'School Bus Table'!H$106-IF(Inputs!$B$34="YES",H123,0))</f>
        <v>12329.070444915256</v>
      </c>
      <c r="I52" s="268">
        <f>IF(Inputs!$B$5=$I$49,IF(Inputs!$B$30=Inputs!$C$30,'School Bus Table'!H$117,(Inputs!$B$24/Inputs!$B$30)*'School Bus Table'!H$115),'School Bus Table'!H$117)</f>
        <v>5178.6467161016963</v>
      </c>
      <c r="J52" s="268">
        <f>IF(Inputs!$B$5='Bus 1 Calc'!$J$49,IF(Inputs!$B$30=Inputs!$C$30,'School Bus Table'!H$130,('School Bus Table'!$D$10/Inputs!$B$30)*'School Bus Table'!H$128),'School Bus Table'!H$130)</f>
        <v>25517.559822409883</v>
      </c>
    </row>
    <row r="53" spans="1:11" x14ac:dyDescent="0.25">
      <c r="A53" s="108" t="s">
        <v>463</v>
      </c>
      <c r="B53" s="268">
        <f>IF(Inputs!$B$5='Bus 1 Calc'!$B$49,IF(Inputs!$B$30=Inputs!$C$30,'School Bus Table'!I$18,('School Bus Table'!$D$10/Inputs!$B$30)*'School Bus Table'!I$16),'School Bus Table'!I$18)</f>
        <v>29933.729141875927</v>
      </c>
      <c r="C53" s="268">
        <f>IF(Inputs!$B$5='Bus 1 Calc'!$C$49,IF(Inputs!$B$30=Inputs!$C$30,'School Bus Table'!I$28,('School Bus Table'!$D$10/Inputs!$B$30)*'School Bus Table'!I$26),'School Bus Table'!I$28)</f>
        <v>32829.150116765144</v>
      </c>
      <c r="D53" s="268">
        <f>IF(Inputs!$B$5='Bus 1 Calc'!$D$49,IF(Inputs!$B$30=Inputs!$C$30,'School Bus Table'!I$41,('School Bus Table'!$D$10/Inputs!$B$30)*'School Bus Table'!I$39),'School Bus Table'!I$41)</f>
        <v>32829.150116765144</v>
      </c>
      <c r="E53" s="268">
        <f>IF(Inputs!$B$5='Bus 1 Calc'!$E$49,IF(Inputs!$B$30=Inputs!$C$30,'School Bus Table'!I$54,('School Bus Table'!$D$10/Inputs!$B$30)*'School Bus Table'!I$52),'School Bus Table'!I$54)</f>
        <v>31687.706752021037</v>
      </c>
      <c r="F53" s="268">
        <f>IF(Inputs!$B$5=$F$49,IF(Inputs!$B$30=Inputs!$C$30,'School Bus Table'!I$69-IF(Inputs!$B$34="YES",F124,0),(Inputs!$B$24/Inputs!$B$30)*'School Bus Table'!I$67)-IF(Inputs!$B$34="Yes",F124,0),'School Bus Table'!I$69-IF(Inputs!$B$34="YES",F124,0))</f>
        <v>26463.832468052929</v>
      </c>
      <c r="G53" s="268">
        <f>IF(Inputs!$B$5=$G$49,'School Bus Table'!I$94-IF(Inputs!$B$34="Yes",G124,0),'School Bus Table'!I$94-IF(Inputs!$B$34="YES",G124,0))</f>
        <v>17133.632846237284</v>
      </c>
      <c r="H53" s="268">
        <f>IF(Inputs!$B$5=$H$49,IF(Inputs!$B$30=Inputs!$C$30,'School Bus Table'!I$106-IF(Inputs!$B$34="YES",H124,0),(Inputs!$B$24/Inputs!$B$30)*'School Bus Table'!I$104)-IF(Inputs!$B$34="Yes",H124,0),'School Bus Table'!I$106-IF(Inputs!$B$34="YES",H124,0))</f>
        <v>11953.291843220341</v>
      </c>
      <c r="I53" s="268">
        <f>IF(Inputs!$B$5=$I$49,IF(Inputs!$B$30=Inputs!$C$30,'School Bus Table'!I$117,(Inputs!$B$24/Inputs!$B$30)*'School Bus Table'!I$115),'School Bus Table'!I$117)</f>
        <v>4802.8681144067805</v>
      </c>
      <c r="J53" s="268">
        <f>IF(Inputs!$B$5='Bus 1 Calc'!$J$49,IF(Inputs!$B$30=Inputs!$C$30,'School Bus Table'!I$130,('School Bus Table'!$D$10/Inputs!$B$30)*'School Bus Table'!I$128),'School Bus Table'!I$130)</f>
        <v>26654.909502421629</v>
      </c>
    </row>
    <row r="54" spans="1:11" x14ac:dyDescent="0.25">
      <c r="A54" s="108" t="s">
        <v>464</v>
      </c>
      <c r="B54" s="268">
        <f>IF(Inputs!$B$5='Bus 1 Calc'!$B$49,IF(Inputs!$B$30=Inputs!$C$30,'School Bus Table'!J$18,('School Bus Table'!$D$10/Inputs!$B$30)*'School Bus Table'!J$16),'School Bus Table'!J$18)</f>
        <v>31336.252646144752</v>
      </c>
      <c r="C54" s="268">
        <f>IF(Inputs!$B$5='Bus 1 Calc'!$C$49,IF(Inputs!$B$30=Inputs!$C$30,'School Bus Table'!J$28,('School Bus Table'!$D$10/Inputs!$B$30)*'School Bus Table'!J$26),'School Bus Table'!J$28)</f>
        <v>34231.673621033973</v>
      </c>
      <c r="D54" s="268">
        <f>IF(Inputs!$B$5='Bus 1 Calc'!$D$49,IF(Inputs!$B$30=Inputs!$C$30,'School Bus Table'!J$41,('School Bus Table'!$D$10/Inputs!$B$30)*'School Bus Table'!J$39),'School Bus Table'!J$41)</f>
        <v>34231.673621033973</v>
      </c>
      <c r="E54" s="268">
        <f>IF(Inputs!$B$5='Bus 1 Calc'!$E$49,IF(Inputs!$B$30=Inputs!$C$30,'School Bus Table'!J$54,('School Bus Table'!$D$10/Inputs!$B$30)*'School Bus Table'!J$52),'School Bus Table'!J$54)</f>
        <v>33090.230256289862</v>
      </c>
      <c r="F54" s="268">
        <f>IF(Inputs!$B$5=$F$49,IF(Inputs!$B$30=Inputs!$C$30,'School Bus Table'!J$69-IF(Inputs!$B$34="YES",F125,0),(Inputs!$B$24/Inputs!$B$30)*'School Bus Table'!J$67)-IF(Inputs!$B$34="Yes",F125,0),'School Bus Table'!J$69-IF(Inputs!$B$34="YES",F125,0))</f>
        <v>27519.77409668361</v>
      </c>
      <c r="G54" s="268">
        <f>IF(Inputs!$B$5=$G$49,'School Bus Table'!J$94-IF(Inputs!$B$34="Yes",G125,0),'School Bus Table'!J$94-IF(Inputs!$B$34="YES",G125,0))</f>
        <v>17476.100398569313</v>
      </c>
      <c r="H54" s="268">
        <f>IF(Inputs!$B$5=$H$49,IF(Inputs!$B$30=Inputs!$C$30,'School Bus Table'!J$106-IF(Inputs!$B$34="YES",H125,0),(Inputs!$B$24/Inputs!$B$30)*'School Bus Table'!J$104)-IF(Inputs!$B$34="Yes",H125,0),'School Bus Table'!J$106-IF(Inputs!$B$34="YES",H125,0))</f>
        <v>12016.59216101695</v>
      </c>
      <c r="I54" s="268">
        <f>IF(Inputs!$B$5=$I$49,IF(Inputs!$B$30=Inputs!$C$30,'School Bus Table'!J$117,(Inputs!$B$24/Inputs!$B$30)*'School Bus Table'!J$115),'School Bus Table'!J$117)</f>
        <v>4866.168432203388</v>
      </c>
      <c r="J54" s="268">
        <f>IF(Inputs!$B$5='Bus 1 Calc'!$J$49,IF(Inputs!$B$30=Inputs!$C$30,'School Bus Table'!J$130,('School Bus Table'!$D$10/Inputs!$B$30)*'School Bus Table'!J$128),'School Bus Table'!J$130)</f>
        <v>27657.843404878531</v>
      </c>
    </row>
    <row r="55" spans="1:11" x14ac:dyDescent="0.25">
      <c r="A55" s="108" t="s">
        <v>465</v>
      </c>
      <c r="B55" s="268">
        <f>IF(Inputs!$B$5='Bus 1 Calc'!$B$49,IF(Inputs!$B$30=Inputs!$C$30,'School Bus Table'!K$18,('School Bus Table'!$D$10/Inputs!$B$30)*'School Bus Table'!K$16),'School Bus Table'!K$18)</f>
        <v>32784.988656403249</v>
      </c>
      <c r="C55" s="268">
        <f>IF(Inputs!$B$5='Bus 1 Calc'!$C$49,IF(Inputs!$B$30=Inputs!$C$30,'School Bus Table'!K$28,('School Bus Table'!$D$10/Inputs!$B$30)*'School Bus Table'!K$26),'School Bus Table'!K$28)</f>
        <v>35680.409631292467</v>
      </c>
      <c r="D55" s="268">
        <f>IF(Inputs!$B$5='Bus 1 Calc'!$D$49,IF(Inputs!$B$30=Inputs!$C$30,'School Bus Table'!K$41,('School Bus Table'!$D$10/Inputs!$B$30)*'School Bus Table'!K$39),'School Bus Table'!K$41)</f>
        <v>35680.409631292467</v>
      </c>
      <c r="E55" s="268">
        <f>IF(Inputs!$B$5='Bus 1 Calc'!$E$49,IF(Inputs!$B$30=Inputs!$C$30,'School Bus Table'!K$54,('School Bus Table'!$D$10/Inputs!$B$30)*'School Bus Table'!K$52),'School Bus Table'!K$54)</f>
        <v>34538.966266548356</v>
      </c>
      <c r="F55" s="268">
        <f>IF(Inputs!$B$5=$F$49,IF(Inputs!$B$30=Inputs!$C$30,'School Bus Table'!K$69-IF(Inputs!$B$34="YES",F126,0),(Inputs!$B$24/Inputs!$B$30)*'School Bus Table'!K$67)-IF(Inputs!$B$34="Yes",F126,0),'School Bus Table'!K$69-IF(Inputs!$B$34="YES",F126,0))</f>
        <v>28459.590530880836</v>
      </c>
      <c r="G55" s="268">
        <f>IF(Inputs!$B$5=$G$49,'School Bus Table'!K$94-IF(Inputs!$B$34="Yes",G126,0),'School Bus Table'!K$94-IF(Inputs!$B$34="YES",G126,0))</f>
        <v>17992.469418772209</v>
      </c>
      <c r="H55" s="268">
        <f>IF(Inputs!$B$5=$H$49,IF(Inputs!$B$30=Inputs!$C$30,'School Bus Table'!K$106-IF(Inputs!$B$34="YES",H126,0),(Inputs!$B$24/Inputs!$B$30)*'School Bus Table'!K$104)-IF(Inputs!$B$34="Yes",H126,0),'School Bus Table'!K$106-IF(Inputs!$B$34="YES",H126,0))</f>
        <v>12299.877648305086</v>
      </c>
      <c r="I55" s="268">
        <f>IF(Inputs!$B$5=$I$49,IF(Inputs!$B$30=Inputs!$C$30,'School Bus Table'!K$117,(Inputs!$B$24/Inputs!$B$30)*'School Bus Table'!K$115),'School Bus Table'!K$117)</f>
        <v>5149.4539194915233</v>
      </c>
      <c r="J55" s="268">
        <f>IF(Inputs!$B$5='Bus 1 Calc'!$J$49,IF(Inputs!$B$30=Inputs!$C$30,'School Bus Table'!K$130,('School Bus Table'!$D$10/Inputs!$B$30)*'School Bus Table'!K$128),'School Bus Table'!K$130)</f>
        <v>28833.922777131665</v>
      </c>
    </row>
    <row r="56" spans="1:11" x14ac:dyDescent="0.25">
      <c r="A56" s="108" t="s">
        <v>466</v>
      </c>
      <c r="B56" s="268">
        <f>IF(Inputs!$B$5='Bus 1 Calc'!$B$49,IF(Inputs!$B$30=Inputs!$C$30,'School Bus Table'!L$18,('School Bus Table'!$D$10/Inputs!$B$30)*'School Bus Table'!L$16),'School Bus Table'!L$18)</f>
        <v>34272.207553138855</v>
      </c>
      <c r="C56" s="268">
        <f>IF(Inputs!$B$5='Bus 1 Calc'!$C$49,IF(Inputs!$B$30=Inputs!$C$30,'School Bus Table'!L$28,('School Bus Table'!$D$10/Inputs!$B$30)*'School Bus Table'!L$26),'School Bus Table'!L$28)</f>
        <v>37167.628528028072</v>
      </c>
      <c r="D56" s="268">
        <f>IF(Inputs!$B$5='Bus 1 Calc'!$D$49,IF(Inputs!$B$30=Inputs!$C$30,'School Bus Table'!L$41,('School Bus Table'!$D$10/Inputs!$B$30)*'School Bus Table'!L$39),'School Bus Table'!L$41)</f>
        <v>37167.628528028072</v>
      </c>
      <c r="E56" s="268">
        <f>IF(Inputs!$B$5='Bus 1 Calc'!$E$49,IF(Inputs!$B$30=Inputs!$C$30,'School Bus Table'!L$54,('School Bus Table'!$D$10/Inputs!$B$30)*'School Bus Table'!L$52),'School Bus Table'!L$54)</f>
        <v>36026.185163283961</v>
      </c>
      <c r="F56" s="268">
        <f>IF(Inputs!$B$5=$F$49,IF(Inputs!$B$30=Inputs!$C$30,'School Bus Table'!L$69-IF(Inputs!$B$34="YES",F127,0),(Inputs!$B$24/Inputs!$B$30)*'School Bus Table'!L$67)-IF(Inputs!$B$34="Yes",F127,0),'School Bus Table'!L$69-IF(Inputs!$B$34="YES",F127,0))</f>
        <v>29789.399373354237</v>
      </c>
      <c r="G56" s="268">
        <f>IF(Inputs!$B$5=$G$49,'School Bus Table'!L$94-IF(Inputs!$B$34="Yes",G127,0),'School Bus Table'!L$94-IF(Inputs!$B$34="YES",G127,0))</f>
        <v>18484.059479961201</v>
      </c>
      <c r="H56" s="268">
        <f>IF(Inputs!$B$5=$H$49,IF(Inputs!$B$30=Inputs!$C$30,'School Bus Table'!L$106-IF(Inputs!$B$34="YES",H127,0),(Inputs!$B$24/Inputs!$B$30)*'School Bus Table'!L$104)-IF(Inputs!$B$34="Yes",H127,0),'School Bus Table'!L$106-IF(Inputs!$B$34="YES",H127,0))</f>
        <v>12508.22033898305</v>
      </c>
      <c r="I56" s="268">
        <f>IF(Inputs!$B$5=$I$49,IF(Inputs!$B$30=Inputs!$C$30,'School Bus Table'!L$117,(Inputs!$B$24/Inputs!$B$30)*'School Bus Table'!L$115),'School Bus Table'!L$117)</f>
        <v>5357.7966101694901</v>
      </c>
      <c r="J56" s="268">
        <f>IF(Inputs!$B$5='Bus 1 Calc'!$J$49,IF(Inputs!$B$30=Inputs!$C$30,'School Bus Table'!L$130,('School Bus Table'!$D$10/Inputs!$B$30)*'School Bus Table'!L$128),'School Bus Table'!L$130)</f>
        <v>30548.181109627749</v>
      </c>
    </row>
    <row r="57" spans="1:11" x14ac:dyDescent="0.25">
      <c r="A57" s="108" t="s">
        <v>467</v>
      </c>
      <c r="B57" s="268">
        <f>IF(Inputs!$B$5='Bus 1 Calc'!$B$49,IF(Inputs!$B$30=Inputs!$C$30,'School Bus Table'!M$18,('School Bus Table'!$D$10/Inputs!$B$30)*'School Bus Table'!M$16),'School Bus Table'!M$18)</f>
        <v>35839.021479593801</v>
      </c>
      <c r="C57" s="268">
        <f>IF(Inputs!$B$5='Bus 1 Calc'!$C$49,IF(Inputs!$B$30=Inputs!$C$30,'School Bus Table'!M$28,('School Bus Table'!$D$10/Inputs!$B$30)*'School Bus Table'!M$26),'School Bus Table'!M$28)</f>
        <v>38734.442454483018</v>
      </c>
      <c r="D57" s="268">
        <f>IF(Inputs!$B$5='Bus 1 Calc'!$D$49,IF(Inputs!$B$30=Inputs!$C$30,'School Bus Table'!M$41,('School Bus Table'!$D$10/Inputs!$B$30)*'School Bus Table'!M$39),'School Bus Table'!M$41)</f>
        <v>38734.442454483018</v>
      </c>
      <c r="E57" s="268">
        <f>IF(Inputs!$B$5='Bus 1 Calc'!$E$49,IF(Inputs!$B$30=Inputs!$C$30,'School Bus Table'!M$54,('School Bus Table'!$D$10/Inputs!$B$30)*'School Bus Table'!M$52),'School Bus Table'!M$54)</f>
        <v>37592.999089738907</v>
      </c>
      <c r="F57" s="268">
        <f>IF(Inputs!$B$5=$F$49,IF(Inputs!$B$30=Inputs!$C$30,'School Bus Table'!M$69-IF(Inputs!$B$34="YES",F128,0),(Inputs!$B$24/Inputs!$B$30)*'School Bus Table'!M$67)-IF(Inputs!$B$34="Yes",F128,0),'School Bus Table'!M$69-IF(Inputs!$B$34="YES",F128,0))</f>
        <v>30830.528105821897</v>
      </c>
      <c r="G57" s="268">
        <f>IF(Inputs!$B$5=$G$49,'School Bus Table'!M$94-IF(Inputs!$B$34="Yes",G128,0),'School Bus Table'!M$94-IF(Inputs!$B$34="YES",G128,0))</f>
        <v>18998.097793234927</v>
      </c>
      <c r="H57" s="268">
        <f>IF(Inputs!$B$5=$H$49,IF(Inputs!$B$30=Inputs!$C$30,'School Bus Table'!M$106-IF(Inputs!$B$34="YES",H128,0),(Inputs!$B$24/Inputs!$B$30)*'School Bus Table'!M$104)-IF(Inputs!$B$34="Yes",H128,0),'School Bus Table'!M$106-IF(Inputs!$B$34="YES",H128,0))</f>
        <v>12755.585275423728</v>
      </c>
      <c r="I57" s="268">
        <f>IF(Inputs!$B$5=$I$49,IF(Inputs!$B$30=Inputs!$C$30,'School Bus Table'!M$117,(Inputs!$B$24/Inputs!$B$30)*'School Bus Table'!M$115),'School Bus Table'!M$117)</f>
        <v>5605.1615466101684</v>
      </c>
      <c r="J57" s="268">
        <f>IF(Inputs!$B$5='Bus 1 Calc'!$J$49,IF(Inputs!$B$30=Inputs!$C$30,'School Bus Table'!M$130,('School Bus Table'!$D$10/Inputs!$B$30)*'School Bus Table'!M$128),'School Bus Table'!M$130)</f>
        <v>32051.823882127748</v>
      </c>
    </row>
    <row r="58" spans="1:11" x14ac:dyDescent="0.25">
      <c r="A58" s="108" t="s">
        <v>468</v>
      </c>
      <c r="B58" s="268">
        <f>IF(Inputs!$B$5='Bus 1 Calc'!$B$49,IF(Inputs!$B$30=Inputs!$C$30,'School Bus Table'!N$18,('School Bus Table'!$D$10/Inputs!$B$30)*'School Bus Table'!N$16),'School Bus Table'!N$18)</f>
        <v>37207.049756410634</v>
      </c>
      <c r="C58" s="268">
        <f>IF(Inputs!$B$5='Bus 1 Calc'!$C$49,IF(Inputs!$B$30=Inputs!$C$30,'School Bus Table'!N$28,('School Bus Table'!$D$10/Inputs!$B$30)*'School Bus Table'!N$26),'School Bus Table'!N$28)</f>
        <v>40102.470731299858</v>
      </c>
      <c r="D58" s="268">
        <f>IF(Inputs!$B$5='Bus 1 Calc'!$D$49,IF(Inputs!$B$30=Inputs!$C$30,'School Bus Table'!N$41,('School Bus Table'!$D$10/Inputs!$B$30)*'School Bus Table'!N$39),'School Bus Table'!N$41)</f>
        <v>40102.470731299858</v>
      </c>
      <c r="E58" s="268">
        <f>IF(Inputs!$B$5='Bus 1 Calc'!$E$49,IF(Inputs!$B$30=Inputs!$C$30,'School Bus Table'!N$54,('School Bus Table'!$D$10/Inputs!$B$30)*'School Bus Table'!N$52),'School Bus Table'!N$54)</f>
        <v>38961.02736655574</v>
      </c>
      <c r="F58" s="268">
        <f>IF(Inputs!$B$5=$F$49,IF(Inputs!$B$30=Inputs!$C$30,'School Bus Table'!N$69-IF(Inputs!$B$34="YES",F129,0),(Inputs!$B$24/Inputs!$B$30)*'School Bus Table'!N$67)-IF(Inputs!$B$34="Yes",F129,0),'School Bus Table'!N$69-IF(Inputs!$B$34="YES",F129,0))</f>
        <v>32787.379480113988</v>
      </c>
      <c r="G58" s="268">
        <f>IF(Inputs!$B$5=$G$49,'School Bus Table'!N$94-IF(Inputs!$B$34="Yes",G129,0),'School Bus Table'!N$94-IF(Inputs!$B$34="YES",G129,0))</f>
        <v>19550.009566772391</v>
      </c>
      <c r="H58" s="268">
        <f>IF(Inputs!$B$5=$H$49,IF(Inputs!$B$30=Inputs!$C$30,'School Bus Table'!N$106-IF(Inputs!$B$34="YES",H129,0),(Inputs!$B$24/Inputs!$B$30)*'School Bus Table'!N$104)-IF(Inputs!$B$34="Yes",H129,0),'School Bus Table'!N$106-IF(Inputs!$B$34="YES",H129,0))</f>
        <v>13012.973516949154</v>
      </c>
      <c r="I58" s="268">
        <f>IF(Inputs!$B$5=$I$49,IF(Inputs!$B$30=Inputs!$C$30,'School Bus Table'!N$117,(Inputs!$B$24/Inputs!$B$30)*'School Bus Table'!N$115),'School Bus Table'!N$117)</f>
        <v>5862.5497881355932</v>
      </c>
      <c r="J58" s="268">
        <f>IF(Inputs!$B$5='Bus 1 Calc'!$J$49,IF(Inputs!$B$30=Inputs!$C$30,'School Bus Table'!N$130,('School Bus Table'!$D$10/Inputs!$B$30)*'School Bus Table'!N$128),'School Bus Table'!N$130)</f>
        <v>34770.040993714734</v>
      </c>
    </row>
    <row r="59" spans="1:11" x14ac:dyDescent="0.25">
      <c r="A59" s="108" t="s">
        <v>469</v>
      </c>
      <c r="B59" s="268">
        <f>IF(Inputs!$B$5='Bus 1 Calc'!$B$49,IF(Inputs!$B$30=Inputs!$C$30,'School Bus Table'!O$18,('School Bus Table'!$D$10/Inputs!$B$30)*'School Bus Table'!O$16),'School Bus Table'!O$18)</f>
        <v>39510.401531942392</v>
      </c>
      <c r="C59" s="268">
        <f>IF(Inputs!$B$5='Bus 1 Calc'!$C$49,IF(Inputs!$B$30=Inputs!$C$30,'School Bus Table'!O$28,('School Bus Table'!$D$10/Inputs!$B$30)*'School Bus Table'!O$26),'School Bus Table'!O$28)</f>
        <v>42405.82250683161</v>
      </c>
      <c r="D59" s="268">
        <f>IF(Inputs!$B$5='Bus 1 Calc'!$D$49,IF(Inputs!$B$30=Inputs!$C$30,'School Bus Table'!O$41,('School Bus Table'!$D$10/Inputs!$B$30)*'School Bus Table'!O$39),'School Bus Table'!O$41)</f>
        <v>42405.82250683161</v>
      </c>
      <c r="E59" s="268">
        <f>IF(Inputs!$B$5='Bus 1 Calc'!$E$49,IF(Inputs!$B$30=Inputs!$C$30,'School Bus Table'!O$54,('School Bus Table'!$D$10/Inputs!$B$30)*'School Bus Table'!O$52),'School Bus Table'!O$54)</f>
        <v>41264.379142087506</v>
      </c>
      <c r="F59" s="268">
        <f>IF(Inputs!$B$5=$F$49,IF(Inputs!$B$30=Inputs!$C$30,'School Bus Table'!O$69-IF(Inputs!$B$34="YES",F130,0),(Inputs!$B$24/Inputs!$B$30)*'School Bus Table'!O$67)-IF(Inputs!$B$34="Yes",F130,0),'School Bus Table'!O$69-IF(Inputs!$B$34="YES",F130,0))</f>
        <v>33880.906700130086</v>
      </c>
      <c r="G59" s="268">
        <f>IF(Inputs!$B$5=$G$49,'School Bus Table'!O$94-IF(Inputs!$B$34="Yes",G130,0),'School Bus Table'!O$94-IF(Inputs!$B$34="YES",G130,0))</f>
        <v>19998.526917891697</v>
      </c>
      <c r="H59" s="268">
        <f>IF(Inputs!$B$5=$H$49,IF(Inputs!$B$30=Inputs!$C$30,'School Bus Table'!O$106-IF(Inputs!$B$34="YES",H130,0),(Inputs!$B$24/Inputs!$B$30)*'School Bus Table'!O$104)-IF(Inputs!$B$34="Yes",H130,0),'School Bus Table'!O$106-IF(Inputs!$B$34="YES",H130,0))</f>
        <v>14563.797139830509</v>
      </c>
      <c r="I59" s="268">
        <f>IF(Inputs!$B$5=$I$49,IF(Inputs!$B$30=Inputs!$C$30,'School Bus Table'!O$117,(Inputs!$B$24/Inputs!$B$30)*'School Bus Table'!O$115),'School Bus Table'!O$117)</f>
        <v>7413.373411016948</v>
      </c>
      <c r="J59" s="268">
        <f>IF(Inputs!$B$5='Bus 1 Calc'!$J$49,IF(Inputs!$B$30=Inputs!$C$30,'School Bus Table'!O$130,('School Bus Table'!$D$10/Inputs!$B$30)*'School Bus Table'!O$128),'School Bus Table'!O$130)</f>
        <v>35916.38666143809</v>
      </c>
    </row>
    <row r="60" spans="1:11" x14ac:dyDescent="0.25">
      <c r="A60" s="108" t="s">
        <v>470</v>
      </c>
      <c r="B60" s="268">
        <f>IF(Inputs!$B$5='Bus 1 Calc'!$B$49,IF(Inputs!$B$30=Inputs!$C$30,'School Bus Table'!P$18,('School Bus Table'!$D$10/Inputs!$B$30)*'School Bus Table'!P$16),'School Bus Table'!P$18)</f>
        <v>40990.222643397348</v>
      </c>
      <c r="C60" s="268">
        <f>IF(Inputs!$B$5='Bus 1 Calc'!$C$49,IF(Inputs!$B$30=Inputs!$C$30,'School Bus Table'!P$28,('School Bus Table'!$D$10/Inputs!$B$30)*'School Bus Table'!P$26),'School Bus Table'!P$28)</f>
        <v>43885.643618286565</v>
      </c>
      <c r="D60" s="268">
        <f>IF(Inputs!$B$5='Bus 1 Calc'!$D$49,IF(Inputs!$B$30=Inputs!$C$30,'School Bus Table'!P$41,('School Bus Table'!$D$10/Inputs!$B$30)*'School Bus Table'!P$39),'School Bus Table'!P$41)</f>
        <v>43885.643618286565</v>
      </c>
      <c r="E60" s="268">
        <f>IF(Inputs!$B$5='Bus 1 Calc'!$E$49,IF(Inputs!$B$30=Inputs!$C$30,'School Bus Table'!P$54,('School Bus Table'!$D$10/Inputs!$B$30)*'School Bus Table'!P$52),'School Bus Table'!P$54)</f>
        <v>42744.200253542454</v>
      </c>
      <c r="F60" s="268">
        <f>IF(Inputs!$B$5=$F$49,IF(Inputs!$B$30=Inputs!$C$30,'School Bus Table'!P$69-IF(Inputs!$B$34="YES",F131,0),(Inputs!$B$24/Inputs!$B$30)*'School Bus Table'!P$67)-IF(Inputs!$B$34="Yes",F131,0),'School Bus Table'!P$69-IF(Inputs!$B$34="YES",F131,0))</f>
        <v>35227.157540281129</v>
      </c>
      <c r="G60" s="268">
        <f>IF(Inputs!$B$5=$G$49,'School Bus Table'!P$94-IF(Inputs!$B$34="Yes",G131,0),'School Bus Table'!P$94-IF(Inputs!$B$34="YES",G131,0))</f>
        <v>20561.935388260707</v>
      </c>
      <c r="H60" s="268">
        <f>IF(Inputs!$B$5=$H$49,IF(Inputs!$B$30=Inputs!$C$30,'School Bus Table'!P$106-IF(Inputs!$B$34="YES",H131,0),(Inputs!$B$24/Inputs!$B$30)*'School Bus Table'!P$104)-IF(Inputs!$B$34="Yes",H131,0),'School Bus Table'!P$106-IF(Inputs!$B$34="YES",H131,0))</f>
        <v>14648.980932203391</v>
      </c>
      <c r="I60" s="268">
        <f>IF(Inputs!$B$5=$I$49,IF(Inputs!$B$30=Inputs!$C$30,'School Bus Table'!P$117,(Inputs!$B$24/Inputs!$B$30)*'School Bus Table'!P$115),'School Bus Table'!P$117)</f>
        <v>7498.5572033898316</v>
      </c>
      <c r="J60" s="268">
        <f>IF(Inputs!$B$5='Bus 1 Calc'!$J$49,IF(Inputs!$B$30=Inputs!$C$30,'School Bus Table'!P$130,('School Bus Table'!$D$10/Inputs!$B$30)*'School Bus Table'!P$128),'School Bus Table'!P$130)</f>
        <v>37722.851138612859</v>
      </c>
    </row>
    <row r="61" spans="1:11" x14ac:dyDescent="0.25">
      <c r="A61" s="108" t="s">
        <v>471</v>
      </c>
      <c r="B61" s="268">
        <f>IF(Inputs!$B$5='Bus 1 Calc'!$B$49,IF(Inputs!$B$30=Inputs!$C$30,'School Bus Table'!Q$18,('School Bus Table'!$D$10/Inputs!$B$30)*'School Bus Table'!Q$16),'School Bus Table'!Q$18)</f>
        <v>42560.110625694251</v>
      </c>
      <c r="C61" s="268">
        <f>IF(Inputs!$B$5='Bus 1 Calc'!$C$49,IF(Inputs!$B$30=Inputs!$C$30,'School Bus Table'!Q$28,('School Bus Table'!$D$10/Inputs!$B$30)*'School Bus Table'!Q$26),'School Bus Table'!Q$28)</f>
        <v>45455.531600583468</v>
      </c>
      <c r="D61" s="268">
        <f>IF(Inputs!$B$5='Bus 1 Calc'!$D$49,IF(Inputs!$B$30=Inputs!$C$30,'School Bus Table'!Q$41,('School Bus Table'!$D$10/Inputs!$B$30)*'School Bus Table'!Q$39),'School Bus Table'!Q$41)</f>
        <v>45455.531600583468</v>
      </c>
      <c r="E61" s="268">
        <f>IF(Inputs!$B$5='Bus 1 Calc'!$E$49,IF(Inputs!$B$30=Inputs!$C$30,'School Bus Table'!Q$54,('School Bus Table'!$D$10/Inputs!$B$30)*'School Bus Table'!Q$52),'School Bus Table'!Q$54)</f>
        <v>44314.08823583935</v>
      </c>
      <c r="F61" s="268">
        <f>IF(Inputs!$B$5=$F$49,IF(Inputs!$B$30=Inputs!$C$30,'School Bus Table'!Q$69-IF(Inputs!$B$34="YES",F132,0),(Inputs!$B$24/Inputs!$B$30)*'School Bus Table'!Q$67)-IF(Inputs!$B$34="Yes",F132,0),'School Bus Table'!Q$69-IF(Inputs!$B$34="YES",F132,0))</f>
        <v>36308.178877215141</v>
      </c>
      <c r="G61" s="268">
        <f>IF(Inputs!$B$5=$G$49,'School Bus Table'!Q$94-IF(Inputs!$B$34="Yes",G132,0),'School Bus Table'!Q$94-IF(Inputs!$B$34="YES",G132,0))</f>
        <v>21033.643667578523</v>
      </c>
      <c r="H61" s="268">
        <f>IF(Inputs!$B$5=$H$49,IF(Inputs!$B$30=Inputs!$C$30,'School Bus Table'!Q$106-IF(Inputs!$B$34="YES",H132,0),(Inputs!$B$24/Inputs!$B$30)*'School Bus Table'!Q$104)-IF(Inputs!$B$34="Yes",H132,0),'School Bus Table'!Q$106-IF(Inputs!$B$34="YES",H132,0))</f>
        <v>15092.195974576269</v>
      </c>
      <c r="I61" s="268">
        <f>IF(Inputs!$B$5=$I$49,IF(Inputs!$B$30=Inputs!$C$30,'School Bus Table'!Q$117,(Inputs!$B$24/Inputs!$B$30)*'School Bus Table'!Q$115),'School Bus Table'!Q$117)</f>
        <v>7941.7722457627087</v>
      </c>
      <c r="J61" s="268">
        <f>IF(Inputs!$B$5='Bus 1 Calc'!$J$49,IF(Inputs!$B$30=Inputs!$C$30,'School Bus Table'!Q$130,('School Bus Table'!$D$10/Inputs!$B$30)*'School Bus Table'!Q$128),'School Bus Table'!Q$130)</f>
        <v>39021.633217648901</v>
      </c>
    </row>
    <row r="62" spans="1:11" x14ac:dyDescent="0.25">
      <c r="A62" s="108" t="s">
        <v>472</v>
      </c>
      <c r="B62" s="268">
        <f>IF(Inputs!$B$5='Bus 1 Calc'!$B$49,IF(Inputs!$B$30=Inputs!$C$30,'School Bus Table'!R$18,('School Bus Table'!$D$10/Inputs!$B$30)*'School Bus Table'!R$16),'School Bus Table'!R$18)</f>
        <v>43842.159946994099</v>
      </c>
      <c r="C62" s="268">
        <f>IF(Inputs!$B$5='Bus 1 Calc'!$C$49,IF(Inputs!$B$30=Inputs!$C$30,'School Bus Table'!R$28,('School Bus Table'!$D$10/Inputs!$B$30)*'School Bus Table'!R$26),'School Bus Table'!R$28)</f>
        <v>46737.580921883316</v>
      </c>
      <c r="D62" s="268">
        <f>IF(Inputs!$B$5='Bus 1 Calc'!$D$49,IF(Inputs!$B$30=Inputs!$C$30,'School Bus Table'!R$41,('School Bus Table'!$D$10/Inputs!$B$30)*'School Bus Table'!R$39),'School Bus Table'!R$41)</f>
        <v>46737.580921883316</v>
      </c>
      <c r="E62" s="268">
        <f>IF(Inputs!$B$5='Bus 1 Calc'!$E$49,IF(Inputs!$B$30=Inputs!$C$30,'School Bus Table'!R$54,('School Bus Table'!$D$10/Inputs!$B$30)*'School Bus Table'!R$52),'School Bus Table'!R$54)</f>
        <v>45596.137557139205</v>
      </c>
      <c r="F62" s="268">
        <f>IF(Inputs!$B$5=$F$49,IF(Inputs!$B$30=Inputs!$C$30,'School Bus Table'!R$69-IF(Inputs!$B$34="YES",F133,0),(Inputs!$B$24/Inputs!$B$30)*'School Bus Table'!R$67)-IF(Inputs!$B$34="Yes",F133,0),'School Bus Table'!R$69-IF(Inputs!$B$34="YES",F133,0))</f>
        <v>37305.244867697103</v>
      </c>
      <c r="G62" s="268">
        <f>IF(Inputs!$B$5=$G$49,'School Bus Table'!R$94-IF(Inputs!$B$34="Yes",G133,0),'School Bus Table'!R94-IF(Inputs!$B$34="YES",G133,0))</f>
        <v>21635.677244852894</v>
      </c>
      <c r="H62" s="268">
        <f>IF(Inputs!$B$5=$H$49,IF(Inputs!$B$30=Inputs!$C$30,'School Bus Table'!R$106-IF(Inputs!$B$34="YES",H133,0),(Inputs!$B$24/Inputs!$B$30)*'School Bus Table'!R$104)-IF(Inputs!$B$34="Yes",H133,0),'School Bus Table'!R$106-IF(Inputs!$B$34="YES",H133,0))</f>
        <v>15420.637182203394</v>
      </c>
      <c r="I62" s="268">
        <f>IF(Inputs!$B$5=$I$49,IF(Inputs!$B$30=Inputs!$C$30,'School Bus Table'!R$117,(Inputs!$B$24/Inputs!$B$30)*'School Bus Table'!R$115),'School Bus Table'!R$117)</f>
        <v>8270.2134533898316</v>
      </c>
      <c r="J62" s="268">
        <f>IF(Inputs!$B$5='Bus 1 Calc'!$J$49,IF(Inputs!$B$30=Inputs!$C$30,'School Bus Table'!R$130,('School Bus Table'!$D$10/Inputs!$B$30)*'School Bus Table'!R$128),'School Bus Table'!R$130)</f>
        <v>40577.627944122258</v>
      </c>
    </row>
    <row r="63" spans="1:11" x14ac:dyDescent="0.25">
      <c r="A63" s="108" t="s">
        <v>473</v>
      </c>
      <c r="B63" s="268">
        <f>IF(Inputs!$B$5='Bus 1 Calc'!$B$49,IF(Inputs!$B$30=Inputs!$C$30,'School Bus Table'!S$18,('School Bus Table'!$D$10/Inputs!$B$30)*'School Bus Table'!S$16),'School Bus Table'!S$18)</f>
        <v>45059.166934719353</v>
      </c>
      <c r="C63" s="268">
        <f>IF(Inputs!$B$5='Bus 1 Calc'!$C$49,IF(Inputs!$B$30=Inputs!$C$30,'School Bus Table'!S$28,('School Bus Table'!$D$10/Inputs!$B$30)*'School Bus Table'!S$26),'School Bus Table'!S$28)</f>
        <v>47954.587909608577</v>
      </c>
      <c r="D63" s="268">
        <f>IF(Inputs!$B$5='Bus 1 Calc'!$D$49,IF(Inputs!$B$30=Inputs!$C$30,'School Bus Table'!S$41,('School Bus Table'!$D$10/Inputs!$B$30)*'School Bus Table'!S$39),'School Bus Table'!S$41)</f>
        <v>47954.587909608577</v>
      </c>
      <c r="E63" s="268">
        <f>IF(Inputs!$B$5='Bus 1 Calc'!$E$49,IF(Inputs!$B$30=Inputs!$C$30,'School Bus Table'!S$54,('School Bus Table'!$D$10/Inputs!$B$30)*'School Bus Table'!S$52),'School Bus Table'!S$54)</f>
        <v>46813.144544864466</v>
      </c>
      <c r="F63" s="268">
        <f>IF(Inputs!$B$5=$F$49,IF(Inputs!$B$30=Inputs!$C$30,'School Bus Table'!S$69-IF(Inputs!$B$34="YES",F134,0),(Inputs!$B$24/Inputs!$B$30)*'School Bus Table'!S$67)-IF(Inputs!$B$34="Yes",F134,0),'School Bus Table'!S$69-IF(Inputs!$B$34="YES",F134,0))</f>
        <v>38315.237982523962</v>
      </c>
      <c r="G63" s="268">
        <f>IF(Inputs!$B$5=$G$49,'School Bus Table'!S$94-IF(Inputs!$B$34="Yes",G134,0),'School Bus Table'!S$94-IF(Inputs!$B$34="YES",G134,0))</f>
        <v>22145.162114562474</v>
      </c>
      <c r="H63" s="268">
        <f>IF(Inputs!$B$5=$H$49,IF(Inputs!$B$30=Inputs!$C$30,'School Bus Table'!S$106-IF(Inputs!$B$34="YES",H134,0),(Inputs!$B$24/Inputs!$B$30)*'School Bus Table'!S$104)-IF(Inputs!$B$34="Yes",H134,0),'School Bus Table'!S$106-IF(Inputs!$B$34="YES",H134,0))</f>
        <v>15699.65625</v>
      </c>
      <c r="I63" s="268">
        <f>IF(Inputs!$B$5=$I$49,IF(Inputs!$B$30=Inputs!$C$30,'School Bus Table'!S$117,(Inputs!$B$24/Inputs!$B$30)*'School Bus Table'!S$115),'School Bus Table'!S$117)</f>
        <v>8549.232521186439</v>
      </c>
      <c r="J63" s="268">
        <f>IF(Inputs!$B$5='Bus 1 Calc'!$J$49,IF(Inputs!$B$30=Inputs!$C$30,'School Bus Table'!S$130,('School Bus Table'!$D$10/Inputs!$B$30)*'School Bus Table'!S$128),'School Bus Table'!S$130)</f>
        <v>41909.216992907524</v>
      </c>
    </row>
    <row r="64" spans="1:11" x14ac:dyDescent="0.25">
      <c r="A64" s="108" t="s">
        <v>474</v>
      </c>
      <c r="B64" s="268">
        <f>IF(Inputs!$B$5='Bus 1 Calc'!$B$49,IF(Inputs!$B$30=Inputs!$C$30,'School Bus Table'!T$18,('School Bus Table'!$D$10/Inputs!$B$30)*'School Bus Table'!T$16),'School Bus Table'!T$18)</f>
        <v>46343.393653404724</v>
      </c>
      <c r="C64" s="268">
        <f>IF(Inputs!$B$5='Bus 1 Calc'!$C$49,IF(Inputs!$B$30=Inputs!$C$30,'School Bus Table'!T$28,('School Bus Table'!$D$10/Inputs!$B$30)*'School Bus Table'!T$26),'School Bus Table'!T$28)</f>
        <v>49238.814628293956</v>
      </c>
      <c r="D64" s="268">
        <f>IF(Inputs!$B$5='Bus 1 Calc'!$D$49,IF(Inputs!$B$30=Inputs!$C$30,'School Bus Table'!T$41,('School Bus Table'!$D$10/Inputs!$B$30)*'School Bus Table'!T$39),'School Bus Table'!T$41)</f>
        <v>49238.814628293956</v>
      </c>
      <c r="E64" s="268">
        <f>IF(Inputs!$B$5='Bus 1 Calc'!$E$49,IF(Inputs!$B$30=Inputs!$C$30,'School Bus Table'!T$54,('School Bus Table'!$D$10/Inputs!$B$30)*'School Bus Table'!T$52),'School Bus Table'!T$54)</f>
        <v>48097.37126354983</v>
      </c>
      <c r="F64" s="268">
        <f>IF(Inputs!$B$5=$F$49,IF(Inputs!$B$30=Inputs!$C$30,'School Bus Table'!T$69-IF(Inputs!$B$34="YES",F135,0),(Inputs!$B$24/Inputs!$B$30)*'School Bus Table'!T$67)-IF(Inputs!$B$34="Yes",F135,0),'School Bus Table'!T$69-IF(Inputs!$B$34="YES",F135,0))</f>
        <v>39412.600158839537</v>
      </c>
      <c r="G64" s="268">
        <f>IF(Inputs!$B$5=$G$49,'School Bus Table'!T$94-IF(Inputs!$B$34="Yes",G135,0),'School Bus Table'!T$94-IF(Inputs!$B$34="YES",G135,0))</f>
        <v>22562.998644374446</v>
      </c>
      <c r="H64" s="268">
        <f>IF(Inputs!$B$5=$H$49,IF(Inputs!$B$30=Inputs!$C$30,'School Bus Table'!T$106-IF(Inputs!$B$34="YES",H135,0),(Inputs!$B$24/Inputs!$B$30)*'School Bus Table'!T$104)-IF(Inputs!$B$34="Yes",H135,0),'School Bus Table'!T$106-IF(Inputs!$B$34="YES",H135,0))</f>
        <v>15981.430614406785</v>
      </c>
      <c r="I64" s="268">
        <f>IF(Inputs!$B$5=$I$49,IF(Inputs!$B$30=Inputs!$C$30,'School Bus Table'!T$117,(Inputs!$B$24/Inputs!$B$30)*'School Bus Table'!T$115),'School Bus Table'!T$117)</f>
        <v>8831.0068855932223</v>
      </c>
      <c r="J64" s="268">
        <f>IF(Inputs!$B$5='Bus 1 Calc'!$J$49,IF(Inputs!$B$30=Inputs!$C$30,'School Bus Table'!T$130,('School Bus Table'!$D$10/Inputs!$B$30)*'School Bus Table'!T$128),'School Bus Table'!T$130)</f>
        <v>43499.719083652046</v>
      </c>
    </row>
    <row r="65" spans="1:11" x14ac:dyDescent="0.25">
      <c r="A65" s="108" t="s">
        <v>476</v>
      </c>
      <c r="B65" s="268">
        <f>SUM(B50:B64)</f>
        <v>538167.31848691287</v>
      </c>
      <c r="C65" s="268">
        <f>SUM(C50:C64)</f>
        <v>581598.63311025128</v>
      </c>
      <c r="D65" s="268">
        <f t="shared" ref="D65:J65" si="19">SUM(D50:D64)</f>
        <v>581598.63311025128</v>
      </c>
      <c r="E65" s="268">
        <f t="shared" si="19"/>
        <v>564476.98263908946</v>
      </c>
      <c r="F65" s="268">
        <f t="shared" si="19"/>
        <v>469817.73418451846</v>
      </c>
      <c r="G65" s="268">
        <f t="shared" si="19"/>
        <v>289245.36579885497</v>
      </c>
      <c r="H65" s="268">
        <f t="shared" si="19"/>
        <v>202612.60010593222</v>
      </c>
      <c r="I65" s="268">
        <f t="shared" si="19"/>
        <v>95356.244173728803</v>
      </c>
      <c r="J65" s="268">
        <f t="shared" si="19"/>
        <v>493479.4895429858</v>
      </c>
    </row>
    <row r="66" spans="1:11" x14ac:dyDescent="0.25">
      <c r="A66" s="108"/>
      <c r="B66" s="268"/>
      <c r="C66" s="268"/>
      <c r="D66" s="268"/>
      <c r="E66" s="268"/>
      <c r="F66" s="268"/>
      <c r="G66" s="268"/>
      <c r="H66" s="268"/>
      <c r="I66" s="268"/>
      <c r="J66" s="268"/>
    </row>
    <row r="67" spans="1:11" ht="14.1" customHeight="1" x14ac:dyDescent="0.25">
      <c r="A67" s="356" t="s">
        <v>726</v>
      </c>
      <c r="B67" s="268"/>
      <c r="C67" s="268"/>
      <c r="D67" s="268"/>
      <c r="E67" s="268"/>
      <c r="F67" s="268"/>
      <c r="G67" s="268"/>
      <c r="H67" s="268"/>
      <c r="I67" s="268"/>
      <c r="J67" s="268"/>
    </row>
    <row r="68" spans="1:11" ht="41.45" customHeight="1" x14ac:dyDescent="0.25">
      <c r="A68" s="250" t="s">
        <v>445</v>
      </c>
      <c r="B68" s="90" t="s">
        <v>1</v>
      </c>
      <c r="C68" s="108" t="s">
        <v>149</v>
      </c>
      <c r="D68" s="90" t="s">
        <v>150</v>
      </c>
      <c r="E68" s="108" t="s">
        <v>151</v>
      </c>
      <c r="F68" s="90" t="s">
        <v>152</v>
      </c>
      <c r="G68" s="126" t="s">
        <v>154</v>
      </c>
      <c r="H68" s="90" t="s">
        <v>155</v>
      </c>
      <c r="I68" s="126" t="s">
        <v>156</v>
      </c>
      <c r="J68" s="114" t="s">
        <v>124</v>
      </c>
      <c r="K68" s="126" t="s">
        <v>735</v>
      </c>
    </row>
    <row r="69" spans="1:11" x14ac:dyDescent="0.25">
      <c r="A69" s="108" t="s">
        <v>460</v>
      </c>
      <c r="B69" s="268">
        <f>IF(Inputs!$B$5=B$68,IF(Inputs!$B$32=Inputs!$C$32,B50,((Inputs!$B$24/Inputs!$B$30)*Inputs!$B$32)),B50)</f>
        <v>24321.752848072374</v>
      </c>
      <c r="C69" s="268">
        <f>IF(Inputs!$B$5=C$68,IF(Inputs!$B$32=Inputs!$C$32,C50,((Inputs!$B$24/Inputs!$B$30)*Inputs!$B$32)),C50)</f>
        <v>27217.173822961595</v>
      </c>
      <c r="D69" s="268">
        <f>IF(Inputs!$B$5=D$68,IF(Inputs!$B$32=Inputs!$C$32,D50,((Inputs!$B$24/Inputs!$B$30)*Inputs!$B$32)),D50)</f>
        <v>27217.173822961595</v>
      </c>
      <c r="E69" s="268">
        <f>IF(Inputs!$B$5=E$68,IF(Inputs!$B$32=Inputs!$C$32,E50,((Inputs!$B$24/Inputs!$B$30)*Inputs!$B$32)),E50)</f>
        <v>26075.730458217484</v>
      </c>
      <c r="F69" s="268" t="b">
        <f>IF(Inputs!$B$5=F$68,IF(Inputs!$B$32=Inputs!$C$32,F50,((Inputs!$B$24/Inputs!$B$30)*Inputs!$B$32)-IF(Inputs!$B$34="YES",F121,0)))</f>
        <v>0</v>
      </c>
      <c r="G69" s="268">
        <f>G50</f>
        <v>17370.653882380702</v>
      </c>
      <c r="H69" s="268">
        <f>IF(Inputs!$B$5=H$68,IF(Inputs!$B$32=Inputs!$C$32,H50,((Inputs!$B$24/Inputs!$B$30)*Inputs!$B$32-IF(Inputs!$B$34="YES",H121,0))),H50)</f>
        <v>11588.100635593222</v>
      </c>
      <c r="I69" s="268">
        <f>IF(Inputs!$B$5=I$68,IF(Inputs!$B$32=Inputs!$C$32,I50,(Inputs!$B$24/Inputs!$B$30)*Inputs!$B$32),I50)</f>
        <v>4437.6769067796613</v>
      </c>
      <c r="J69" s="268">
        <f>IF(Inputs!$B$5='Bus 1 Calc'!J$68,IF(Inputs!$B$32=Inputs!$C$32,J50,((Inputs!$B$24/Inputs!$B$30)*Inputs!$B$32)),J50)</f>
        <v>23844.525821951414</v>
      </c>
    </row>
    <row r="70" spans="1:11" x14ac:dyDescent="0.25">
      <c r="A70" s="108" t="s">
        <v>461</v>
      </c>
      <c r="B70" s="268">
        <f>B69*'School Bus Table'!$G$156</f>
        <v>25647.066343536517</v>
      </c>
      <c r="C70" s="268">
        <f>C69*'School Bus Table'!$G$157</f>
        <v>28638.035757740032</v>
      </c>
      <c r="D70" s="268">
        <f>D69*'School Bus Table'!$G$158</f>
        <v>28638.035757740032</v>
      </c>
      <c r="E70" s="268">
        <f>E69*'School Bus Table'!$G$159</f>
        <v>27496.592392995917</v>
      </c>
      <c r="F70" s="268" t="b">
        <f>IF(Inputs!$B$5=F$68,IF(Inputs!$B$32=Inputs!$C$32,F51,((Inputs!$B$24/Inputs!$B$30)*'School Bus Table'!G$161-IF(Inputs!$B$34="YES",F122,0))))</f>
        <v>0</v>
      </c>
      <c r="G70" s="268">
        <f>G69*'School Bus Table'!$G$162-IF(Inputs!$B$34="YES",F122,0)</f>
        <v>17199.45851550439</v>
      </c>
      <c r="H70" s="268">
        <f>IF(Inputs!$B$5=H$68,IF(Inputs!$B$32=Inputs!$C$32,H51,((Inputs!$B$24/Inputs!$B$30)*'School Bus Table'!$G$164-IF(Inputs!$B$34="YES",H122,0))),H51)</f>
        <v>12742.190148305086</v>
      </c>
      <c r="I70" s="268">
        <f>I69*'School Bus Table'!$G$163</f>
        <v>4879.6368569018796</v>
      </c>
      <c r="J70" s="268">
        <f>J69*'School Bus Table'!$G$166</f>
        <v>24794.308187122573</v>
      </c>
    </row>
    <row r="71" spans="1:11" x14ac:dyDescent="0.25">
      <c r="A71" s="108" t="s">
        <v>462</v>
      </c>
      <c r="B71" s="268">
        <f>B70*'School Bus Table'!$H$156</f>
        <v>28148.366670016054</v>
      </c>
      <c r="C71" s="268">
        <f>C70*'School Bus Table'!$H$157</f>
        <v>31319.667261159524</v>
      </c>
      <c r="D71" s="268">
        <f>D70*'School Bus Table'!$H$158</f>
        <v>31319.667261159524</v>
      </c>
      <c r="E71" s="268">
        <f>E70*'School Bus Table'!$H$159</f>
        <v>30178.223896415406</v>
      </c>
      <c r="F71" s="268" t="b">
        <f>IF(Inputs!$B$5=F$68,IF(Inputs!$B$32=Inputs!$C$32,F52,((Inputs!$B$24/Inputs!$B$30)*'School Bus Table'!H$161-IF(Inputs!$B$34="YES",F123,0))))</f>
        <v>0</v>
      </c>
      <c r="G71" s="268">
        <f>G70*'School Bus Table'!$H$162</f>
        <v>17102.939919901859</v>
      </c>
      <c r="H71" s="268">
        <f>IF(Inputs!$B$5=H$68,IF(Inputs!$B$32=Inputs!$C$32,H52,((Inputs!$B$24/Inputs!$B$30)*'School Bus Table'!$H$164-IF(Inputs!$B$34="YES",H123,0))),H52)</f>
        <v>12329.070444915256</v>
      </c>
      <c r="I71" s="268">
        <f>I70*'School Bus Table'!$G$163</f>
        <v>5365.612764385397</v>
      </c>
      <c r="J71" s="268">
        <f>J70*'School Bus Table'!$G$166</f>
        <v>25781.922570758936</v>
      </c>
    </row>
    <row r="72" spans="1:11" x14ac:dyDescent="0.25">
      <c r="A72" s="108" t="s">
        <v>463</v>
      </c>
      <c r="B72" s="268">
        <f>B71*'School Bus Table'!I$156</f>
        <v>29556.341611661479</v>
      </c>
      <c r="C72" s="268">
        <f>C71*'School Bus Table'!$I$157</f>
        <v>32829.150116765144</v>
      </c>
      <c r="D72" s="268">
        <f>D71*'School Bus Table'!I$158</f>
        <v>32829.150116765144</v>
      </c>
      <c r="E72" s="268">
        <f>E71*'School Bus Table'!I$159</f>
        <v>31687.706752021026</v>
      </c>
      <c r="F72" s="268" t="b">
        <f>IF(Inputs!$B$5=F$68,IF(Inputs!$B$32=Inputs!$C$32,F53,((Inputs!$B$24/Inputs!$B$30)*'School Bus Table'!I$161-IF(Inputs!$B$34="YES",F124,0))))</f>
        <v>0</v>
      </c>
      <c r="G72" s="268">
        <f>G71*'School Bus Table'!$I$162</f>
        <v>17133.632846237284</v>
      </c>
      <c r="H72" s="268">
        <f>IF(Inputs!$B$5=H$68,IF(Inputs!$B$32=Inputs!$C$32,H53,((Inputs!$B$24/Inputs!$B$30)*'School Bus Table'!$I$164-IF(Inputs!$B$34="YES",H124,0))),H53)</f>
        <v>11953.291843220341</v>
      </c>
      <c r="I72" s="268">
        <f>I71*'School Bus Table'!$H$163</f>
        <v>5191.652061560505</v>
      </c>
      <c r="J72" s="268">
        <f>J71*'School Bus Table'!$H$166</f>
        <v>26284.594647070193</v>
      </c>
    </row>
    <row r="73" spans="1:11" x14ac:dyDescent="0.25">
      <c r="A73" s="108" t="s">
        <v>464</v>
      </c>
      <c r="B73" s="268">
        <f>B72*'School Bus Table'!J$156</f>
        <v>30864.54987765531</v>
      </c>
      <c r="C73" s="268">
        <f>C72*'School Bus Table'!$J$157</f>
        <v>34231.673621033973</v>
      </c>
      <c r="D73" s="268">
        <f>D72*'School Bus Table'!J$158</f>
        <v>34231.673621033973</v>
      </c>
      <c r="E73" s="268">
        <f>E72*'School Bus Table'!J$159</f>
        <v>33090.230256289848</v>
      </c>
      <c r="F73" s="268" t="b">
        <f>IF(Inputs!$B$5=F$68,IF(Inputs!$B$32=Inputs!$C$32,F54,((Inputs!$B$24/Inputs!$B$30)*'School Bus Table'!J$161-IF(Inputs!$B$34="YES",F125,0))))</f>
        <v>0</v>
      </c>
      <c r="G73" s="268">
        <f>G72*'School Bus Table'!$J$162</f>
        <v>17476.100398569313</v>
      </c>
      <c r="H73" s="268">
        <f>IF(Inputs!$B$5=H$68,IF(Inputs!$B$32=Inputs!$C$32,H54,((Inputs!$B$24/Inputs!$B$30)*'School Bus Table'!$J$164-IF(Inputs!$B$34="YES",H125,0))),H54)</f>
        <v>12016.59216101695</v>
      </c>
      <c r="I73" s="268">
        <f>I72*'School Bus Table'!$I$163</f>
        <v>5033.4153347207839</v>
      </c>
      <c r="J73" s="268">
        <f>J72*'School Bus Table'!$I$166</f>
        <v>27297.710237000098</v>
      </c>
    </row>
    <row r="74" spans="1:11" x14ac:dyDescent="0.25">
      <c r="A74" s="108" t="s">
        <v>465</v>
      </c>
      <c r="B74" s="268">
        <f>B73*'School Bus Table'!K$156</f>
        <v>32215.863005809355</v>
      </c>
      <c r="C74" s="268">
        <f>C73*'School Bus Table'!$K$157</f>
        <v>35680.409631292467</v>
      </c>
      <c r="D74" s="268">
        <f>D73*'School Bus Table'!K$158</f>
        <v>35680.409631292467</v>
      </c>
      <c r="E74" s="268">
        <f>E73*'School Bus Table'!K$159</f>
        <v>34538.966266548341</v>
      </c>
      <c r="F74" s="268" t="b">
        <f>IF(Inputs!$B$5=F$68,IF(Inputs!$B$32=Inputs!$C$32,F55,((Inputs!$B$24/Inputs!$B$30)*'School Bus Table'!K$161-IF(Inputs!$B$34="YES",F126,0))))</f>
        <v>0</v>
      </c>
      <c r="G74" s="268">
        <f>G73*'School Bus Table'!$K$162</f>
        <v>17992.469418772209</v>
      </c>
      <c r="H74" s="268">
        <f>IF(Inputs!$B$5=H$68,IF(Inputs!$B$32=Inputs!$C$32,H55,((Inputs!$B$24/Inputs!$B$30)*'School Bus Table'!$K$164-IF(Inputs!$B$34="YES",H126,0))),H55)</f>
        <v>12299.877648305086</v>
      </c>
      <c r="I74" s="268">
        <f>I73*'School Bus Table'!$J$163</f>
        <v>5060.0704849897747</v>
      </c>
      <c r="J74" s="268">
        <f>J73*'School Bus Table'!$J$166</f>
        <v>28191.092448386327</v>
      </c>
    </row>
    <row r="75" spans="1:11" x14ac:dyDescent="0.25">
      <c r="A75" s="108" t="s">
        <v>466</v>
      </c>
      <c r="B75" s="268">
        <f>B74*'School Bus Table'!L$156</f>
        <v>33603.071168902505</v>
      </c>
      <c r="C75" s="268">
        <f>C74*'School Bus Table'!$L$157</f>
        <v>37167.628528028072</v>
      </c>
      <c r="D75" s="268">
        <f>D74*'School Bus Table'!L$158</f>
        <v>37167.628528028072</v>
      </c>
      <c r="E75" s="268">
        <f>E74*'School Bus Table'!L$159</f>
        <v>36026.185163283939</v>
      </c>
      <c r="F75" s="268" t="b">
        <f>IF(Inputs!$B$5=F$68,IF(Inputs!$B$32=Inputs!$C$32,F56,((Inputs!$B$24/Inputs!$B$30)*'School Bus Table'!L$161-IF(Inputs!$B$34="YES",F127,0))))</f>
        <v>0</v>
      </c>
      <c r="G75" s="268">
        <f>G74*'School Bus Table'!$L$162</f>
        <v>18484.059479961201</v>
      </c>
      <c r="H75" s="268">
        <f>IF(Inputs!$B$5=H$68,IF(Inputs!$B$32=Inputs!$C$32,H56,((Inputs!$B$24/Inputs!$B$30)*'School Bus Table'!$L$164-IF(Inputs!$B$34="YES",H127,0))),H56)</f>
        <v>12508.22033898305</v>
      </c>
      <c r="I75" s="268">
        <f>I74*'School Bus Table'!$K$163</f>
        <v>5179.359257866904</v>
      </c>
      <c r="J75" s="268">
        <f>J74*'School Bus Table'!$K$166</f>
        <v>29238.707239127132</v>
      </c>
    </row>
    <row r="76" spans="1:11" x14ac:dyDescent="0.25">
      <c r="A76" s="108" t="s">
        <v>467</v>
      </c>
      <c r="B76" s="268">
        <f>B75*'School Bus Table'!M$156</f>
        <v>35064.521849496399</v>
      </c>
      <c r="C76" s="268">
        <f>C75*'School Bus Table'!$M$157</f>
        <v>38734.442454483018</v>
      </c>
      <c r="D76" s="268">
        <f>D75*'School Bus Table'!M$158</f>
        <v>38734.442454483018</v>
      </c>
      <c r="E76" s="268">
        <f>E75*'School Bus Table'!M$159</f>
        <v>37592.999089738885</v>
      </c>
      <c r="F76" s="268" t="b">
        <f>IF(Inputs!$B$5=F$68,IF(Inputs!$B$32=Inputs!$C$32,F57,((Inputs!$B$24/Inputs!$B$30)*'School Bus Table'!M$161-IF(Inputs!$B$34="YES",F128,0))))</f>
        <v>0</v>
      </c>
      <c r="G76" s="268">
        <f>G75*'School Bus Table'!$M$162</f>
        <v>18998.097793234927</v>
      </c>
      <c r="H76" s="268">
        <f>IF(Inputs!$B$5=H$68,IF(Inputs!$B$32=Inputs!$C$32,H57,((Inputs!$B$24/Inputs!$B$30)*'School Bus Table'!$M$164-IF(Inputs!$B$34="YES",H128,0))),H57)</f>
        <v>12755.585275423728</v>
      </c>
      <c r="I76" s="268">
        <f>I75*'School Bus Table'!$L$163</f>
        <v>5267.0903454944728</v>
      </c>
      <c r="J76" s="268">
        <f>J75*'School Bus Table'!$L$166</f>
        <v>30765.715047140126</v>
      </c>
    </row>
    <row r="77" spans="1:11" x14ac:dyDescent="0.25">
      <c r="A77" s="108" t="s">
        <v>468</v>
      </c>
      <c r="B77" s="268">
        <f>B76*'School Bus Table'!N$156</f>
        <v>36340.554582208482</v>
      </c>
      <c r="C77" s="268">
        <f>C76*'School Bus Table'!$N$157</f>
        <v>40102.470731299858</v>
      </c>
      <c r="D77" s="268">
        <f>D76*'School Bus Table'!N$158</f>
        <v>40102.470731299858</v>
      </c>
      <c r="E77" s="268">
        <f>E76*'School Bus Table'!N$159</f>
        <v>38961.027366555718</v>
      </c>
      <c r="F77" s="268" t="b">
        <f>IF(Inputs!$B$5=F$68,IF(Inputs!$B$32=Inputs!$C$32,F58,((Inputs!$B$24/Inputs!$B$30)*'School Bus Table'!N$161-IF(Inputs!$B$34="YES",F129,0))))</f>
        <v>0</v>
      </c>
      <c r="G77" s="268">
        <f>G76*'School Bus Table'!$N$162</f>
        <v>19550.009566772391</v>
      </c>
      <c r="H77" s="268">
        <f>IF(Inputs!$B$5=H$68,IF(Inputs!$B$32=Inputs!$C$32,H58,((Inputs!$B$24/Inputs!$B$30)*'School Bus Table'!$N$164-IF(Inputs!$B$34="YES",H129,0))),H58)</f>
        <v>13012.973516949154</v>
      </c>
      <c r="I77" s="268">
        <f>I76*'School Bus Table'!$M$163</f>
        <v>5371.2533225792276</v>
      </c>
      <c r="J77" s="268">
        <f>J76*'School Bus Table'!$M$166</f>
        <v>32105.113089164835</v>
      </c>
    </row>
    <row r="78" spans="1:11" x14ac:dyDescent="0.25">
      <c r="A78" s="108" t="s">
        <v>469</v>
      </c>
      <c r="B78" s="268">
        <f>B77*'School Bus Table'!O$156</f>
        <v>38489.013287585483</v>
      </c>
      <c r="C78" s="268">
        <f>C77*'School Bus Table'!$O$157</f>
        <v>42405.82250683161</v>
      </c>
      <c r="D78" s="268">
        <f>D77*'School Bus Table'!O$158</f>
        <v>42405.82250683161</v>
      </c>
      <c r="E78" s="268">
        <f>E77*'School Bus Table'!O$159</f>
        <v>41264.379142087484</v>
      </c>
      <c r="F78" s="268" t="b">
        <f>IF(Inputs!$B$5=F$68,IF(Inputs!$B$32=Inputs!$C$32,F59,((Inputs!$B$24/Inputs!$B$30)*'School Bus Table'!O$161-IF(Inputs!$B$34="YES",F130,0))))</f>
        <v>0</v>
      </c>
      <c r="G78" s="268">
        <f>G77*'School Bus Table'!$O$162</f>
        <v>19998.526917891697</v>
      </c>
      <c r="H78" s="268">
        <f>IF(Inputs!$B$5=H$68,IF(Inputs!$B$32=Inputs!$C$32,H59,((Inputs!$B$24/Inputs!$B$30)*'School Bus Table'!$O$164-IF(Inputs!$B$34="YES",H130,0))),H59)</f>
        <v>14563.797139830509</v>
      </c>
      <c r="I78" s="268">
        <f>I77*'School Bus Table'!$N$163</f>
        <v>5479.6370162816202</v>
      </c>
      <c r="J78" s="268">
        <f>J77*'School Bus Table'!$N$166</f>
        <v>34526.416036675721</v>
      </c>
    </row>
    <row r="79" spans="1:11" x14ac:dyDescent="0.25">
      <c r="A79" s="108" t="s">
        <v>470</v>
      </c>
      <c r="B79" s="268">
        <f>B78*'School Bus Table'!P$156</f>
        <v>39869.321142894318</v>
      </c>
      <c r="C79" s="268">
        <f>C78*'School Bus Table'!$P$157</f>
        <v>43885.643618286565</v>
      </c>
      <c r="D79" s="268">
        <f>D78*'School Bus Table'!P$158</f>
        <v>43885.643618286565</v>
      </c>
      <c r="E79" s="268">
        <f>E78*'School Bus Table'!P$159</f>
        <v>42744.200253542425</v>
      </c>
      <c r="F79" s="268" t="b">
        <f>IF(Inputs!$B$5=F$68,IF(Inputs!$B$32=Inputs!$C$32,F60,((Inputs!$B$24/Inputs!$B$30)*'School Bus Table'!P$161-IF(Inputs!$B$34="YES",F131,0))))</f>
        <v>0</v>
      </c>
      <c r="G79" s="268">
        <f>G78*'School Bus Table'!$P$162</f>
        <v>20561.935388260707</v>
      </c>
      <c r="H79" s="268">
        <f>IF(Inputs!$B$5=H$68,IF(Inputs!$B$32=Inputs!$C$32,H60,((Inputs!$B$24/Inputs!$B$30)*'School Bus Table'!$P$164-IF(Inputs!$B$34="YES",H131,0))),H60)</f>
        <v>14648.980932203391</v>
      </c>
      <c r="I79" s="268">
        <f>I78*'School Bus Table'!$O$163</f>
        <v>6132.6738121066655</v>
      </c>
      <c r="J79" s="268">
        <f>J78*'School Bus Table'!$O$166</f>
        <v>35547.544971628377</v>
      </c>
    </row>
    <row r="80" spans="1:11" x14ac:dyDescent="0.25">
      <c r="A80" s="108" t="s">
        <v>471</v>
      </c>
      <c r="B80" s="268">
        <f>B79*'School Bus Table'!Q$156</f>
        <v>41333.639158866426</v>
      </c>
      <c r="C80" s="268">
        <f>C79*'School Bus Table'!$Q$157</f>
        <v>45455.531600583468</v>
      </c>
      <c r="D80" s="268">
        <f>D79*'School Bus Table'!Q$158</f>
        <v>45455.531600583468</v>
      </c>
      <c r="E80" s="268">
        <f>E79*'School Bus Table'!Q$159</f>
        <v>44314.088235839314</v>
      </c>
      <c r="F80" s="268" t="b">
        <f>IF(Inputs!$B$5=F$68,IF(Inputs!$B$32=Inputs!$C$32,F61,((Inputs!$B$24/Inputs!$B$30)*'School Bus Table'!Q$161-IF(Inputs!$B$34="YES",F132,0))))</f>
        <v>0</v>
      </c>
      <c r="G80" s="268">
        <f>G79*'School Bus Table'!$Q$162</f>
        <v>21033.643667578523</v>
      </c>
      <c r="H80" s="268">
        <f>IF(Inputs!$B$5=H$68,IF(Inputs!$B$32=Inputs!$C$32,H61,((Inputs!$B$24/Inputs!$B$30)*'School Bus Table'!$Q$164-IF(Inputs!$B$34="YES",H132,0))),H61)</f>
        <v>15092.195974576269</v>
      </c>
      <c r="I80" s="268">
        <f>I79*'School Bus Table'!$P$163</f>
        <v>6168.54388140833</v>
      </c>
      <c r="J80" s="268">
        <f>J79*'School Bus Table'!$P$166</f>
        <v>37156.687134891145</v>
      </c>
    </row>
    <row r="81" spans="1:10" x14ac:dyDescent="0.25">
      <c r="A81" s="108" t="s">
        <v>472</v>
      </c>
      <c r="B81" s="268">
        <f>B80*'School Bus Table'!R$156</f>
        <v>42529.474746955639</v>
      </c>
      <c r="C81" s="268">
        <f>C80*'School Bus Table'!$R$157</f>
        <v>46737.580921883309</v>
      </c>
      <c r="D81" s="268">
        <f>D80*'School Bus Table'!R$158</f>
        <v>46737.580921883309</v>
      </c>
      <c r="E81" s="268">
        <f>E80*'School Bus Table'!R$159</f>
        <v>45596.137557139169</v>
      </c>
      <c r="F81" s="268" t="b">
        <f>IF(Inputs!$B$5=F$68,IF(Inputs!$B$32=Inputs!$C$32,F62,((Inputs!$B$24/Inputs!$B$30)*'School Bus Table'!R$161-IF(Inputs!$B$34="YES",F133,0))))</f>
        <v>0</v>
      </c>
      <c r="G81" s="268">
        <f>G80*'School Bus Table'!$R$162</f>
        <v>21635.677244852894</v>
      </c>
      <c r="H81" s="268">
        <f>IF(Inputs!$B$5=H$68,IF(Inputs!$B$32=Inputs!$C$32,H62,((Inputs!$B$24/Inputs!$B$30)*'School Bus Table'!$R$164-IF(Inputs!$B$34="YES",H133,0))),H62)</f>
        <v>15420.637182203394</v>
      </c>
      <c r="I81" s="268">
        <f>I80*'School Bus Table'!$Q$163</f>
        <v>6355.1774397719091</v>
      </c>
      <c r="J81" s="268">
        <f>J80*'School Bus Table'!$Q$166</f>
        <v>38313.601666382812</v>
      </c>
    </row>
    <row r="82" spans="1:10" x14ac:dyDescent="0.25">
      <c r="A82" s="108" t="s">
        <v>473</v>
      </c>
      <c r="B82" s="268">
        <f>B81*'School Bus Table'!S$156</f>
        <v>43664.641891227089</v>
      </c>
      <c r="C82" s="268">
        <f>C81*'School Bus Table'!$S$157</f>
        <v>47954.58790960857</v>
      </c>
      <c r="D82" s="268">
        <f>D81*'School Bus Table'!S$158</f>
        <v>47954.58790960857</v>
      </c>
      <c r="E82" s="268">
        <f>E81*'School Bus Table'!S$159</f>
        <v>46813.14454486443</v>
      </c>
      <c r="F82" s="268" t="b">
        <f>IF(Inputs!$B$5=F$68,IF(Inputs!$B$32=Inputs!$C$32,F63,((Inputs!$B$24/Inputs!$B$30)*'School Bus Table'!S$161-IF(Inputs!$B$34="YES",F134,0))))</f>
        <v>0</v>
      </c>
      <c r="G82" s="268">
        <f>G81*'School Bus Table'!$S$162</f>
        <v>22145.162114562474</v>
      </c>
      <c r="H82" s="268">
        <f>IF(Inputs!$B$5=H$68,IF(Inputs!$B$32=Inputs!$C$32,H63,((Inputs!$B$24/Inputs!$B$30)*'School Bus Table'!$S$164-IF(Inputs!$B$34="YES",H134,0))),H63)</f>
        <v>15699.65625</v>
      </c>
      <c r="I82" s="268">
        <f>I81*'School Bus Table'!$R$163</f>
        <v>6493.4808487999608</v>
      </c>
      <c r="J82" s="268">
        <f>J81*'School Bus Table'!$R$166</f>
        <v>39699.633194718575</v>
      </c>
    </row>
    <row r="83" spans="1:10" x14ac:dyDescent="0.25">
      <c r="A83" s="108" t="s">
        <v>474</v>
      </c>
      <c r="B83" s="268">
        <f>B82*'School Bus Table'!T$156</f>
        <v>44862.508453663198</v>
      </c>
      <c r="C83" s="268">
        <f>C82*'School Bus Table'!$T$157</f>
        <v>49238.814628293956</v>
      </c>
      <c r="D83" s="268">
        <f>D82*'School Bus Table'!T$158</f>
        <v>49238.814628293956</v>
      </c>
      <c r="E83" s="268">
        <f>E82*'School Bus Table'!T$159</f>
        <v>48097.371263549794</v>
      </c>
      <c r="F83" s="268" t="b">
        <f>IF(Inputs!$B$5=F$68,IF(Inputs!$B$32=Inputs!$C$32,F64,((Inputs!$B$24/Inputs!$B$30)*'School Bus Table'!T$161-IF(Inputs!$B$34="YES",F135,0))))</f>
        <v>0</v>
      </c>
      <c r="G83" s="268">
        <f>G82*'School Bus Table'!$T$162</f>
        <v>22562.998644374446</v>
      </c>
      <c r="H83" s="268">
        <f>IF(Inputs!$B$5=H$68,IF(Inputs!$B$32=Inputs!$C$32,H64,((Inputs!$B$24/Inputs!$B$30)*'School Bus Table'!$T$164-IF(Inputs!$B$34="YES",H135,0))),H64)</f>
        <v>15981.430614406785</v>
      </c>
      <c r="I83" s="268">
        <f>I82*'School Bus Table'!$S$163</f>
        <v>6610.9730737826121</v>
      </c>
      <c r="J83" s="268">
        <f>J82*'School Bus Table'!$S$166</f>
        <v>40885.771150716726</v>
      </c>
    </row>
    <row r="84" spans="1:10" x14ac:dyDescent="0.25">
      <c r="A84" s="108" t="s">
        <v>476</v>
      </c>
      <c r="B84" s="268">
        <f>SUM(B69:B83)</f>
        <v>526510.6866385506</v>
      </c>
      <c r="C84" s="268">
        <f t="shared" ref="C84:J84" si="20">SUM(C69:C83)</f>
        <v>581598.63311025116</v>
      </c>
      <c r="D84" s="268">
        <f t="shared" si="20"/>
        <v>581598.63311025116</v>
      </c>
      <c r="E84" s="268">
        <f t="shared" si="20"/>
        <v>564476.98263908923</v>
      </c>
      <c r="F84" s="268">
        <f t="shared" si="20"/>
        <v>0</v>
      </c>
      <c r="G84" s="268">
        <f t="shared" si="20"/>
        <v>289245.36579885497</v>
      </c>
      <c r="H84" s="268">
        <f t="shared" si="20"/>
        <v>202612.60010593222</v>
      </c>
      <c r="I84" s="268">
        <f t="shared" si="20"/>
        <v>83026.2534074297</v>
      </c>
      <c r="J84" s="268">
        <f t="shared" si="20"/>
        <v>474433.34344273503</v>
      </c>
    </row>
    <row r="85" spans="1:10" x14ac:dyDescent="0.25">
      <c r="A85" s="108"/>
      <c r="B85" s="268"/>
      <c r="C85" s="268"/>
      <c r="D85" s="268"/>
      <c r="E85" s="268"/>
      <c r="F85" s="268"/>
      <c r="G85" s="268"/>
      <c r="H85" s="268"/>
      <c r="I85" s="268"/>
      <c r="J85" s="268"/>
    </row>
    <row r="86" spans="1:10" x14ac:dyDescent="0.25">
      <c r="A86" s="356" t="s">
        <v>477</v>
      </c>
      <c r="B86" s="43">
        <f t="shared" ref="B86:J86" si="21">B65+B47</f>
        <v>1189761.9866050838</v>
      </c>
      <c r="C86" s="43">
        <f t="shared" si="21"/>
        <v>1222150.683034136</v>
      </c>
      <c r="D86" s="43">
        <f t="shared" si="21"/>
        <v>1222150.683034136</v>
      </c>
      <c r="E86" s="43">
        <f t="shared" si="21"/>
        <v>1150613.3275355422</v>
      </c>
      <c r="F86" s="43">
        <f t="shared" si="21"/>
        <v>946198.91155166388</v>
      </c>
      <c r="G86" s="43">
        <f t="shared" si="21"/>
        <v>864689.04612011986</v>
      </c>
      <c r="H86" s="43">
        <f t="shared" si="21"/>
        <v>983516.38082083</v>
      </c>
      <c r="I86" s="43">
        <f t="shared" si="21"/>
        <v>877719.90853014356</v>
      </c>
      <c r="J86" s="43">
        <f t="shared" si="21"/>
        <v>978318.56402435724</v>
      </c>
    </row>
    <row r="87" spans="1:10" x14ac:dyDescent="0.25">
      <c r="A87" s="108" t="s">
        <v>142</v>
      </c>
      <c r="B87" s="268">
        <f t="shared" ref="B87:J87" si="22">B86+B23</f>
        <v>1646011.9866050838</v>
      </c>
      <c r="C87" s="268">
        <f t="shared" si="22"/>
        <v>1678400.683034136</v>
      </c>
      <c r="D87" s="268">
        <f t="shared" si="22"/>
        <v>1678400.683034136</v>
      </c>
      <c r="E87" s="268">
        <f t="shared" si="22"/>
        <v>1606863.3275355422</v>
      </c>
      <c r="F87" s="268">
        <f t="shared" si="22"/>
        <v>1446698.9115516639</v>
      </c>
      <c r="G87" s="268">
        <f t="shared" si="22"/>
        <v>2625939.0461201197</v>
      </c>
      <c r="H87" s="268">
        <f t="shared" si="22"/>
        <v>1833516.3808208299</v>
      </c>
      <c r="I87" s="268">
        <f t="shared" si="22"/>
        <v>1727719.9085301436</v>
      </c>
      <c r="J87" s="268">
        <f t="shared" si="22"/>
        <v>1427068.5640243571</v>
      </c>
    </row>
    <row r="89" spans="1:10" x14ac:dyDescent="0.25">
      <c r="A89" s="356" t="s">
        <v>478</v>
      </c>
    </row>
    <row r="90" spans="1:10" x14ac:dyDescent="0.25">
      <c r="A90" s="263" t="s">
        <v>458</v>
      </c>
      <c r="B90" s="268">
        <f t="shared" ref="B90:J90" si="23">B26*$B$3</f>
        <v>1221.987338071184</v>
      </c>
      <c r="C90" s="268">
        <f t="shared" si="23"/>
        <v>1105.4869908146566</v>
      </c>
      <c r="D90" s="268">
        <f t="shared" si="23"/>
        <v>1083.5376500271948</v>
      </c>
      <c r="E90" s="268">
        <f t="shared" si="23"/>
        <v>483.72970273905935</v>
      </c>
      <c r="F90" s="268">
        <f t="shared" si="23"/>
        <v>1082.1093024768625</v>
      </c>
      <c r="G90" s="268">
        <f t="shared" si="23"/>
        <v>4.6099115519718197</v>
      </c>
      <c r="H90" s="268">
        <f t="shared" si="23"/>
        <v>1126.102057789582</v>
      </c>
      <c r="I90" s="268">
        <f t="shared" si="23"/>
        <v>444.99194219104442</v>
      </c>
      <c r="J90" s="268">
        <f t="shared" si="23"/>
        <v>1160.0850544188456</v>
      </c>
    </row>
    <row r="91" spans="1:10" x14ac:dyDescent="0.25">
      <c r="A91" s="251" t="s">
        <v>452</v>
      </c>
      <c r="B91" s="268">
        <f t="shared" ref="B91:J91" si="24">B27*$B$3</f>
        <v>127.18367264030837</v>
      </c>
      <c r="C91" s="268">
        <f t="shared" si="24"/>
        <v>127.18367264030837</v>
      </c>
      <c r="D91" s="268">
        <f t="shared" si="24"/>
        <v>127.18367264030837</v>
      </c>
      <c r="E91" s="268">
        <f t="shared" si="24"/>
        <v>127.18367264030837</v>
      </c>
      <c r="F91" s="268">
        <f t="shared" si="24"/>
        <v>29.303601534702878</v>
      </c>
      <c r="G91" s="268">
        <f t="shared" si="24"/>
        <v>14.802850259798362</v>
      </c>
      <c r="H91" s="268">
        <f t="shared" si="24"/>
        <v>63.440786827707257</v>
      </c>
      <c r="I91" s="268">
        <f t="shared" si="24"/>
        <v>63.440786827707257</v>
      </c>
      <c r="J91" s="268">
        <f t="shared" si="24"/>
        <v>73.107954344310272</v>
      </c>
    </row>
    <row r="92" spans="1:10" x14ac:dyDescent="0.25">
      <c r="A92" s="266" t="s">
        <v>453</v>
      </c>
      <c r="B92" s="268">
        <f t="shared" ref="B92:J92" si="25">B28*$B$3</f>
        <v>1004.5701184421805</v>
      </c>
      <c r="C92" s="268">
        <f t="shared" si="25"/>
        <v>1004.5701184421805</v>
      </c>
      <c r="D92" s="268">
        <f t="shared" si="25"/>
        <v>1004.5701184421805</v>
      </c>
      <c r="E92" s="268">
        <f t="shared" si="25"/>
        <v>1004.5701184421805</v>
      </c>
      <c r="F92" s="268">
        <f t="shared" si="25"/>
        <v>1062.8060673373793</v>
      </c>
      <c r="G92" s="268">
        <f t="shared" si="25"/>
        <v>87.353923342798311</v>
      </c>
      <c r="H92" s="268">
        <f t="shared" si="25"/>
        <v>1004.5701184421805</v>
      </c>
      <c r="I92" s="268">
        <f t="shared" si="25"/>
        <v>1004.5701184421805</v>
      </c>
      <c r="J92" s="268">
        <f t="shared" si="25"/>
        <v>1062.8060673373793</v>
      </c>
    </row>
    <row r="93" spans="1:10" x14ac:dyDescent="0.25">
      <c r="A93" s="352"/>
      <c r="B93" s="268"/>
      <c r="C93" s="268"/>
      <c r="D93" s="268"/>
      <c r="E93" s="268"/>
      <c r="F93" s="268"/>
      <c r="G93" s="268"/>
      <c r="H93" s="268"/>
      <c r="I93" s="268"/>
      <c r="J93" s="268"/>
    </row>
    <row r="94" spans="1:10" x14ac:dyDescent="0.25">
      <c r="A94" s="108" t="s">
        <v>460</v>
      </c>
      <c r="B94" s="268">
        <f>SUM(B90:B92)</f>
        <v>2353.7411291536728</v>
      </c>
      <c r="C94" s="268">
        <f t="shared" ref="C94:J94" si="26">SUM(C90:C92)</f>
        <v>2237.2407818971456</v>
      </c>
      <c r="D94" s="268">
        <f t="shared" si="26"/>
        <v>2215.2914411096835</v>
      </c>
      <c r="E94" s="268">
        <f t="shared" si="26"/>
        <v>1615.4834938215481</v>
      </c>
      <c r="F94" s="268">
        <f t="shared" si="26"/>
        <v>2174.2189713489447</v>
      </c>
      <c r="G94" s="268">
        <f t="shared" si="26"/>
        <v>106.76668515456849</v>
      </c>
      <c r="H94" s="268">
        <f t="shared" si="26"/>
        <v>2194.1129630594696</v>
      </c>
      <c r="I94" s="268">
        <f t="shared" si="26"/>
        <v>1513.0028474609321</v>
      </c>
      <c r="J94" s="268">
        <f t="shared" si="26"/>
        <v>2295.9990761005351</v>
      </c>
    </row>
    <row r="95" spans="1:10" x14ac:dyDescent="0.25">
      <c r="A95" s="108" t="s">
        <v>461</v>
      </c>
      <c r="B95" s="269">
        <f t="shared" ref="B95:B108" si="27">B94*(1+($B$11))</f>
        <v>2410.2309162533611</v>
      </c>
      <c r="C95" s="269">
        <f t="shared" ref="C95:C108" si="28">C94*(1+($B$11))</f>
        <v>2290.9345606626771</v>
      </c>
      <c r="D95" s="269">
        <f t="shared" ref="D95:D108" si="29">D94*(1+($B$11))</f>
        <v>2268.458435696316</v>
      </c>
      <c r="E95" s="269">
        <f t="shared" ref="E95:E108" si="30">E94*(1+($B$11))</f>
        <v>1654.2550976732653</v>
      </c>
      <c r="F95" s="269">
        <f t="shared" ref="F95:F108" si="31">F94*(1+($B$11))</f>
        <v>2226.4002266613193</v>
      </c>
      <c r="G95" s="269">
        <f t="shared" ref="G95:G108" si="32">G94*(1+($B$11))</f>
        <v>109.32908559827814</v>
      </c>
      <c r="H95" s="269">
        <f t="shared" ref="H95:H108" si="33">H94*(1+($B$11))</f>
        <v>2246.7716741728968</v>
      </c>
      <c r="I95" s="269">
        <f t="shared" ref="I95:I108" si="34">I94*(1+($B$11))</f>
        <v>1549.3149157999944</v>
      </c>
      <c r="J95" s="269">
        <f t="shared" ref="J95:J108" si="35">J94*(1+($B$11))</f>
        <v>2351.1030539269482</v>
      </c>
    </row>
    <row r="96" spans="1:10" x14ac:dyDescent="0.25">
      <c r="A96" s="108" t="s">
        <v>462</v>
      </c>
      <c r="B96" s="269">
        <f t="shared" si="27"/>
        <v>2468.0764582434417</v>
      </c>
      <c r="C96" s="269">
        <f t="shared" si="28"/>
        <v>2345.9169901185815</v>
      </c>
      <c r="D96" s="269">
        <f t="shared" si="29"/>
        <v>2322.9014381530278</v>
      </c>
      <c r="E96" s="269">
        <f t="shared" si="30"/>
        <v>1693.9572200174237</v>
      </c>
      <c r="F96" s="269">
        <f t="shared" si="31"/>
        <v>2279.8338321011911</v>
      </c>
      <c r="G96" s="269">
        <f t="shared" si="32"/>
        <v>111.95298365263682</v>
      </c>
      <c r="H96" s="269">
        <f t="shared" si="33"/>
        <v>2300.6941943530464</v>
      </c>
      <c r="I96" s="269">
        <f t="shared" si="34"/>
        <v>1586.4984737791942</v>
      </c>
      <c r="J96" s="269">
        <f t="shared" si="35"/>
        <v>2407.5295272211952</v>
      </c>
    </row>
    <row r="97" spans="1:10" x14ac:dyDescent="0.25">
      <c r="A97" s="108" t="s">
        <v>463</v>
      </c>
      <c r="B97" s="269">
        <f t="shared" si="27"/>
        <v>2527.3102932412844</v>
      </c>
      <c r="C97" s="269">
        <f t="shared" si="28"/>
        <v>2402.2189978814276</v>
      </c>
      <c r="D97" s="269">
        <f t="shared" si="29"/>
        <v>2378.6510726687006</v>
      </c>
      <c r="E97" s="269">
        <f t="shared" si="30"/>
        <v>1734.6121932978419</v>
      </c>
      <c r="F97" s="269">
        <f t="shared" si="31"/>
        <v>2334.5498440716196</v>
      </c>
      <c r="G97" s="269">
        <f t="shared" si="32"/>
        <v>114.63985526030011</v>
      </c>
      <c r="H97" s="269">
        <f t="shared" si="33"/>
        <v>2355.9108550175197</v>
      </c>
      <c r="I97" s="269">
        <f t="shared" si="34"/>
        <v>1624.5744371498949</v>
      </c>
      <c r="J97" s="269">
        <f t="shared" si="35"/>
        <v>2465.3102358745041</v>
      </c>
    </row>
    <row r="98" spans="1:10" x14ac:dyDescent="0.25">
      <c r="A98" s="108" t="s">
        <v>464</v>
      </c>
      <c r="B98" s="269">
        <f t="shared" si="27"/>
        <v>2587.9657402790754</v>
      </c>
      <c r="C98" s="269">
        <f t="shared" si="28"/>
        <v>2459.8722538305819</v>
      </c>
      <c r="D98" s="269">
        <f t="shared" si="29"/>
        <v>2435.7386984127497</v>
      </c>
      <c r="E98" s="269">
        <f t="shared" si="30"/>
        <v>1776.2428859369902</v>
      </c>
      <c r="F98" s="269">
        <f t="shared" si="31"/>
        <v>2390.5790403293386</v>
      </c>
      <c r="G98" s="269">
        <f t="shared" si="32"/>
        <v>117.39121178654732</v>
      </c>
      <c r="H98" s="269">
        <f t="shared" si="33"/>
        <v>2412.4527155379401</v>
      </c>
      <c r="I98" s="269">
        <f t="shared" si="34"/>
        <v>1663.5642236414924</v>
      </c>
      <c r="J98" s="269">
        <f t="shared" si="35"/>
        <v>2524.4776815354921</v>
      </c>
    </row>
    <row r="99" spans="1:10" x14ac:dyDescent="0.25">
      <c r="A99" s="108" t="s">
        <v>465</v>
      </c>
      <c r="B99" s="269">
        <f t="shared" si="27"/>
        <v>2650.0769180457733</v>
      </c>
      <c r="C99" s="269">
        <f t="shared" si="28"/>
        <v>2518.9091879225161</v>
      </c>
      <c r="D99" s="269">
        <f t="shared" si="29"/>
        <v>2494.1964271746556</v>
      </c>
      <c r="E99" s="269">
        <f t="shared" si="30"/>
        <v>1818.8727151994781</v>
      </c>
      <c r="F99" s="269">
        <f t="shared" si="31"/>
        <v>2447.9529372972429</v>
      </c>
      <c r="G99" s="269">
        <f t="shared" si="32"/>
        <v>120.20860086942446</v>
      </c>
      <c r="H99" s="269">
        <f t="shared" si="33"/>
        <v>2470.3515807108506</v>
      </c>
      <c r="I99" s="269">
        <f t="shared" si="34"/>
        <v>1703.4897650088883</v>
      </c>
      <c r="J99" s="269">
        <f t="shared" si="35"/>
        <v>2585.0651458923439</v>
      </c>
    </row>
    <row r="100" spans="1:10" x14ac:dyDescent="0.25">
      <c r="A100" s="108" t="s">
        <v>466</v>
      </c>
      <c r="B100" s="269">
        <f t="shared" si="27"/>
        <v>2713.6787640788721</v>
      </c>
      <c r="C100" s="269">
        <f t="shared" si="28"/>
        <v>2579.3630084326564</v>
      </c>
      <c r="D100" s="269">
        <f t="shared" si="29"/>
        <v>2554.0571414268475</v>
      </c>
      <c r="E100" s="269">
        <f t="shared" si="30"/>
        <v>1862.5256603642656</v>
      </c>
      <c r="F100" s="269">
        <f t="shared" si="31"/>
        <v>2506.7038077923767</v>
      </c>
      <c r="G100" s="269">
        <f t="shared" si="32"/>
        <v>123.09360729029065</v>
      </c>
      <c r="H100" s="269">
        <f t="shared" si="33"/>
        <v>2529.6400186479109</v>
      </c>
      <c r="I100" s="269">
        <f t="shared" si="34"/>
        <v>1744.3735193691016</v>
      </c>
      <c r="J100" s="269">
        <f t="shared" si="35"/>
        <v>2647.1067093937604</v>
      </c>
    </row>
    <row r="101" spans="1:10" x14ac:dyDescent="0.25">
      <c r="A101" s="108" t="s">
        <v>467</v>
      </c>
      <c r="B101" s="269">
        <f t="shared" si="27"/>
        <v>2778.8070544167649</v>
      </c>
      <c r="C101" s="269">
        <f t="shared" si="28"/>
        <v>2641.2677206350404</v>
      </c>
      <c r="D101" s="269">
        <f t="shared" si="29"/>
        <v>2615.3545128210917</v>
      </c>
      <c r="E101" s="269">
        <f t="shared" si="30"/>
        <v>1907.2262762130081</v>
      </c>
      <c r="F101" s="269">
        <f t="shared" si="31"/>
        <v>2566.8646991793939</v>
      </c>
      <c r="G101" s="269">
        <f t="shared" si="32"/>
        <v>126.04785386525762</v>
      </c>
      <c r="H101" s="269">
        <f t="shared" si="33"/>
        <v>2590.3513790954607</v>
      </c>
      <c r="I101" s="269">
        <f t="shared" si="34"/>
        <v>1786.2384838339601</v>
      </c>
      <c r="J101" s="269">
        <f t="shared" si="35"/>
        <v>2710.6372704192108</v>
      </c>
    </row>
    <row r="102" spans="1:10" x14ac:dyDescent="0.25">
      <c r="A102" s="108" t="s">
        <v>468</v>
      </c>
      <c r="B102" s="269">
        <f t="shared" si="27"/>
        <v>2845.4984237227673</v>
      </c>
      <c r="C102" s="269">
        <f t="shared" si="28"/>
        <v>2704.6581459302815</v>
      </c>
      <c r="D102" s="269">
        <f t="shared" si="29"/>
        <v>2678.123021128798</v>
      </c>
      <c r="E102" s="269">
        <f t="shared" si="30"/>
        <v>1952.9997068421203</v>
      </c>
      <c r="F102" s="269">
        <f t="shared" si="31"/>
        <v>2628.4694519596997</v>
      </c>
      <c r="G102" s="269">
        <f t="shared" si="32"/>
        <v>129.07300235802381</v>
      </c>
      <c r="H102" s="269">
        <f t="shared" si="33"/>
        <v>2652.5198121937519</v>
      </c>
      <c r="I102" s="269">
        <f t="shared" si="34"/>
        <v>1829.1082074459753</v>
      </c>
      <c r="J102" s="269">
        <f t="shared" si="35"/>
        <v>2775.6925649092718</v>
      </c>
    </row>
    <row r="103" spans="1:10" x14ac:dyDescent="0.25">
      <c r="A103" s="108" t="s">
        <v>469</v>
      </c>
      <c r="B103" s="269">
        <f t="shared" si="27"/>
        <v>2913.7903858921136</v>
      </c>
      <c r="C103" s="269">
        <f t="shared" si="28"/>
        <v>2769.5699414326082</v>
      </c>
      <c r="D103" s="269">
        <f t="shared" si="29"/>
        <v>2742.3979736358892</v>
      </c>
      <c r="E103" s="269">
        <f t="shared" si="30"/>
        <v>1999.8716998063312</v>
      </c>
      <c r="F103" s="269">
        <f t="shared" si="31"/>
        <v>2691.5527188067326</v>
      </c>
      <c r="G103" s="269">
        <f t="shared" si="32"/>
        <v>132.1707544146164</v>
      </c>
      <c r="H103" s="269">
        <f t="shared" si="33"/>
        <v>2716.1802876864022</v>
      </c>
      <c r="I103" s="269">
        <f t="shared" si="34"/>
        <v>1873.0068044246786</v>
      </c>
      <c r="J103" s="269">
        <f t="shared" si="35"/>
        <v>2842.3091864670946</v>
      </c>
    </row>
    <row r="104" spans="1:10" x14ac:dyDescent="0.25">
      <c r="A104" s="108" t="s">
        <v>470</v>
      </c>
      <c r="B104" s="269">
        <f t="shared" si="27"/>
        <v>2983.7213551535242</v>
      </c>
      <c r="C104" s="269">
        <f t="shared" si="28"/>
        <v>2836.0396200269906</v>
      </c>
      <c r="D104" s="269">
        <f t="shared" si="29"/>
        <v>2808.2155250031506</v>
      </c>
      <c r="E104" s="269">
        <f t="shared" si="30"/>
        <v>2047.8686206016832</v>
      </c>
      <c r="F104" s="269">
        <f t="shared" si="31"/>
        <v>2756.1499840580941</v>
      </c>
      <c r="G104" s="269">
        <f t="shared" si="32"/>
        <v>135.34285252056719</v>
      </c>
      <c r="H104" s="269">
        <f t="shared" si="33"/>
        <v>2781.3686145908759</v>
      </c>
      <c r="I104" s="269">
        <f t="shared" si="34"/>
        <v>1917.9589677308709</v>
      </c>
      <c r="J104" s="269">
        <f t="shared" si="35"/>
        <v>2910.5246069423051</v>
      </c>
    </row>
    <row r="105" spans="1:10" x14ac:dyDescent="0.25">
      <c r="A105" s="108" t="s">
        <v>471</v>
      </c>
      <c r="B105" s="269">
        <f t="shared" si="27"/>
        <v>3055.330667677209</v>
      </c>
      <c r="C105" s="269">
        <f t="shared" si="28"/>
        <v>2904.1045709076384</v>
      </c>
      <c r="D105" s="269">
        <f t="shared" si="29"/>
        <v>2875.612697603226</v>
      </c>
      <c r="E105" s="269">
        <f t="shared" si="30"/>
        <v>2097.0174674961236</v>
      </c>
      <c r="F105" s="269">
        <f t="shared" si="31"/>
        <v>2822.2975836754886</v>
      </c>
      <c r="G105" s="269">
        <f t="shared" si="32"/>
        <v>138.5910809810608</v>
      </c>
      <c r="H105" s="269">
        <f t="shared" si="33"/>
        <v>2848.1214613410571</v>
      </c>
      <c r="I105" s="269">
        <f t="shared" si="34"/>
        <v>1963.9899829564117</v>
      </c>
      <c r="J105" s="269">
        <f t="shared" si="35"/>
        <v>2980.3771975089203</v>
      </c>
    </row>
    <row r="106" spans="1:10" x14ac:dyDescent="0.25">
      <c r="A106" s="108" t="s">
        <v>472</v>
      </c>
      <c r="B106" s="269">
        <f t="shared" si="27"/>
        <v>3128.6586037014622</v>
      </c>
      <c r="C106" s="269">
        <f t="shared" si="28"/>
        <v>2973.8030806094216</v>
      </c>
      <c r="D106" s="269">
        <f t="shared" si="29"/>
        <v>2944.6274023457036</v>
      </c>
      <c r="E106" s="269">
        <f t="shared" si="30"/>
        <v>2147.3458867160307</v>
      </c>
      <c r="F106" s="269">
        <f t="shared" si="31"/>
        <v>2890.0327256837004</v>
      </c>
      <c r="G106" s="269">
        <f t="shared" si="32"/>
        <v>141.91726692460625</v>
      </c>
      <c r="H106" s="269">
        <f t="shared" si="33"/>
        <v>2916.4763764132426</v>
      </c>
      <c r="I106" s="269">
        <f t="shared" si="34"/>
        <v>2011.1257425473657</v>
      </c>
      <c r="J106" s="269">
        <f t="shared" si="35"/>
        <v>3051.9062502491342</v>
      </c>
    </row>
    <row r="107" spans="1:10" x14ac:dyDescent="0.25">
      <c r="A107" s="108" t="s">
        <v>473</v>
      </c>
      <c r="B107" s="269">
        <f t="shared" si="27"/>
        <v>3203.7464101902974</v>
      </c>
      <c r="C107" s="269">
        <f t="shared" si="28"/>
        <v>3045.1743545440477</v>
      </c>
      <c r="D107" s="269">
        <f t="shared" si="29"/>
        <v>3015.2984600020004</v>
      </c>
      <c r="E107" s="269">
        <f t="shared" si="30"/>
        <v>2198.8821879972156</v>
      </c>
      <c r="F107" s="269">
        <f t="shared" si="31"/>
        <v>2959.3935111001092</v>
      </c>
      <c r="G107" s="269">
        <f t="shared" si="32"/>
        <v>145.32328133079682</v>
      </c>
      <c r="H107" s="269">
        <f t="shared" si="33"/>
        <v>2986.4718094471605</v>
      </c>
      <c r="I107" s="269">
        <f t="shared" si="34"/>
        <v>2059.3927603685024</v>
      </c>
      <c r="J107" s="269">
        <f t="shared" si="35"/>
        <v>3125.1520002551133</v>
      </c>
    </row>
    <row r="108" spans="1:10" x14ac:dyDescent="0.25">
      <c r="A108" s="108" t="s">
        <v>474</v>
      </c>
      <c r="B108" s="269">
        <f t="shared" si="27"/>
        <v>3280.6363240348646</v>
      </c>
      <c r="C108" s="269">
        <f t="shared" si="28"/>
        <v>3118.2585390531049</v>
      </c>
      <c r="D108" s="269">
        <f t="shared" si="29"/>
        <v>3087.6656230420485</v>
      </c>
      <c r="E108" s="269">
        <f t="shared" si="30"/>
        <v>2251.655360509149</v>
      </c>
      <c r="F108" s="269">
        <f t="shared" si="31"/>
        <v>3030.4189553665119</v>
      </c>
      <c r="G108" s="269">
        <f t="shared" si="32"/>
        <v>148.81104008273596</v>
      </c>
      <c r="H108" s="269">
        <f t="shared" si="33"/>
        <v>3058.1471328738926</v>
      </c>
      <c r="I108" s="269">
        <f t="shared" si="34"/>
        <v>2108.8181866173463</v>
      </c>
      <c r="J108" s="269">
        <f t="shared" si="35"/>
        <v>3200.1556482612359</v>
      </c>
    </row>
    <row r="109" spans="1:10" x14ac:dyDescent="0.25">
      <c r="A109" s="108" t="s">
        <v>479</v>
      </c>
      <c r="B109" s="268">
        <f>SUM(B94:B108)</f>
        <v>41901.269444084479</v>
      </c>
      <c r="C109" s="268">
        <f t="shared" ref="C109:J109" si="36">SUM(C94:C108)</f>
        <v>39827.331753884719</v>
      </c>
      <c r="D109" s="268">
        <f t="shared" si="36"/>
        <v>39436.589870223885</v>
      </c>
      <c r="E109" s="268">
        <f t="shared" si="36"/>
        <v>28758.816472492475</v>
      </c>
      <c r="F109" s="268">
        <f t="shared" si="36"/>
        <v>38705.418289431771</v>
      </c>
      <c r="G109" s="268">
        <f t="shared" si="36"/>
        <v>1900.6591620897107</v>
      </c>
      <c r="H109" s="268">
        <f t="shared" si="36"/>
        <v>39059.570875141471</v>
      </c>
      <c r="I109" s="268">
        <f t="shared" si="36"/>
        <v>26934.457318134613</v>
      </c>
      <c r="J109" s="268">
        <f t="shared" si="36"/>
        <v>40873.346154957064</v>
      </c>
    </row>
    <row r="110" spans="1:10" x14ac:dyDescent="0.25">
      <c r="B110" s="268"/>
      <c r="C110" s="268"/>
      <c r="D110" s="268"/>
      <c r="E110" s="268"/>
      <c r="F110" s="268"/>
      <c r="G110" s="268"/>
      <c r="H110" s="268"/>
      <c r="I110" s="268"/>
      <c r="J110" s="268"/>
    </row>
    <row r="111" spans="1:10" x14ac:dyDescent="0.25">
      <c r="A111" s="356" t="s">
        <v>146</v>
      </c>
      <c r="B111" s="268">
        <f>SUM(B113:B117)</f>
        <v>1687913.2560491683</v>
      </c>
      <c r="C111" s="268">
        <f t="shared" ref="C111:J111" si="37">SUM(C113:C117)</f>
        <v>1696013.1292586927</v>
      </c>
      <c r="D111" s="268">
        <f t="shared" si="37"/>
        <v>1695622.3873750318</v>
      </c>
      <c r="E111" s="268">
        <f t="shared" si="37"/>
        <v>1613407.2584787067</v>
      </c>
      <c r="F111" s="268">
        <f t="shared" si="37"/>
        <v>1478982.4809917463</v>
      </c>
      <c r="G111" s="268">
        <f t="shared" si="37"/>
        <v>2733030.1866378351</v>
      </c>
      <c r="H111" s="268">
        <f t="shared" si="37"/>
        <v>2117103.1603824119</v>
      </c>
      <c r="I111" s="268">
        <f t="shared" si="37"/>
        <v>1999181.5745347189</v>
      </c>
      <c r="J111" s="268">
        <f t="shared" si="37"/>
        <v>1443271.0934342756</v>
      </c>
    </row>
    <row r="112" spans="1:10" x14ac:dyDescent="0.25">
      <c r="B112" t="s">
        <v>598</v>
      </c>
      <c r="C112" t="s">
        <v>599</v>
      </c>
      <c r="D112" t="s">
        <v>600</v>
      </c>
      <c r="E112" t="s">
        <v>601</v>
      </c>
      <c r="F112" t="s">
        <v>152</v>
      </c>
      <c r="G112" t="s">
        <v>584</v>
      </c>
      <c r="H112" t="s">
        <v>112</v>
      </c>
      <c r="I112" t="s">
        <v>120</v>
      </c>
      <c r="J112" t="s">
        <v>124</v>
      </c>
    </row>
    <row r="113" spans="1:11" x14ac:dyDescent="0.25">
      <c r="A113" s="353" t="s">
        <v>628</v>
      </c>
      <c r="B113" s="36">
        <f>'Default Data'!R2</f>
        <v>456250</v>
      </c>
      <c r="C113" s="36">
        <f>'Default Data'!R3</f>
        <v>456250</v>
      </c>
      <c r="D113" s="36">
        <f>'Default Data'!R4</f>
        <v>456250</v>
      </c>
      <c r="E113" s="36">
        <f>'Default Data'!R5</f>
        <v>456250</v>
      </c>
      <c r="F113" s="36">
        <f>'Default Data'!R6</f>
        <v>500500</v>
      </c>
      <c r="G113" s="36">
        <f>'Default Data'!R7</f>
        <v>1761250</v>
      </c>
      <c r="H113" s="36">
        <f>'Default Data'!R8</f>
        <v>850000</v>
      </c>
      <c r="I113" s="36">
        <f>'Default Data'!R9</f>
        <v>850000</v>
      </c>
      <c r="J113" s="36">
        <f>'Default Data'!R10</f>
        <v>448750</v>
      </c>
    </row>
    <row r="114" spans="1:11" x14ac:dyDescent="0.25">
      <c r="A114" s="353" t="s">
        <v>610</v>
      </c>
      <c r="B114" s="36">
        <f>B22</f>
        <v>0</v>
      </c>
      <c r="C114" s="36">
        <f t="shared" ref="C114:J114" si="38">C22</f>
        <v>0</v>
      </c>
      <c r="D114" s="36">
        <f t="shared" si="38"/>
        <v>0</v>
      </c>
      <c r="E114" s="36">
        <f t="shared" si="38"/>
        <v>0</v>
      </c>
      <c r="F114" s="36">
        <f t="shared" si="38"/>
        <v>10500</v>
      </c>
      <c r="G114" s="36">
        <f t="shared" si="38"/>
        <v>111250</v>
      </c>
      <c r="H114" s="36">
        <f t="shared" si="38"/>
        <v>250000</v>
      </c>
      <c r="I114" s="36">
        <f t="shared" si="38"/>
        <v>250000</v>
      </c>
      <c r="J114" s="36">
        <f t="shared" si="38"/>
        <v>0</v>
      </c>
    </row>
    <row r="115" spans="1:11" x14ac:dyDescent="0.25">
      <c r="A115" s="353" t="s">
        <v>595</v>
      </c>
      <c r="B115" s="36">
        <f>SUM('School Bus Table'!F18:T18)</f>
        <v>538167.31848691287</v>
      </c>
      <c r="C115" s="36">
        <f>SUM('School Bus Table'!E28:S28)</f>
        <v>559383.74758092326</v>
      </c>
      <c r="D115" s="36">
        <f>SUM('School Bus Table'!E41:S41)</f>
        <v>559383.74758092326</v>
      </c>
      <c r="E115" s="36">
        <f>SUM('School Bus Table'!E54:S54)</f>
        <v>542262.09710976155</v>
      </c>
      <c r="F115" s="36">
        <f>SUM('School Bus Table'!E69:S69)</f>
        <v>452895.88533516909</v>
      </c>
      <c r="G115" s="36">
        <f>SUM('School Bus Table'!E94:S94)</f>
        <v>283185.84715448052</v>
      </c>
      <c r="H115" s="36">
        <f>SUM('School Bus Table'!E106:S106)</f>
        <v>197139.80879237287</v>
      </c>
      <c r="I115" s="36">
        <f>SUM('School Bus Table'!E117:S117)</f>
        <v>89883.452860169476</v>
      </c>
      <c r="J115" s="36">
        <f>SUM('School Bus Table'!E130:S130)</f>
        <v>472994.09298511362</v>
      </c>
    </row>
    <row r="116" spans="1:11" x14ac:dyDescent="0.25">
      <c r="A116" s="353" t="s">
        <v>596</v>
      </c>
      <c r="B116" s="354">
        <f t="shared" ref="B116:I116" si="39">B47</f>
        <v>651594.66811817093</v>
      </c>
      <c r="C116" s="354">
        <f t="shared" si="39"/>
        <v>640552.0499238848</v>
      </c>
      <c r="D116" s="354">
        <f t="shared" si="39"/>
        <v>640552.0499238848</v>
      </c>
      <c r="E116" s="354">
        <f t="shared" si="39"/>
        <v>586136.34489645273</v>
      </c>
      <c r="F116" s="354">
        <f t="shared" si="39"/>
        <v>476381.17736714549</v>
      </c>
      <c r="G116" s="354">
        <f t="shared" si="39"/>
        <v>575443.6803212649</v>
      </c>
      <c r="H116" s="354">
        <f t="shared" si="39"/>
        <v>780903.78071489779</v>
      </c>
      <c r="I116" s="354">
        <f t="shared" si="39"/>
        <v>782363.66435641481</v>
      </c>
      <c r="J116" s="354">
        <f>SUM('School Bus Table'!E132:S132)</f>
        <v>480653.65429420496</v>
      </c>
    </row>
    <row r="117" spans="1:11" x14ac:dyDescent="0.25">
      <c r="A117" s="353" t="s">
        <v>597</v>
      </c>
      <c r="B117" s="355">
        <f>B109</f>
        <v>41901.269444084479</v>
      </c>
      <c r="C117" s="355">
        <f t="shared" ref="C117:I117" si="40">C109</f>
        <v>39827.331753884719</v>
      </c>
      <c r="D117" s="355">
        <f t="shared" si="40"/>
        <v>39436.589870223885</v>
      </c>
      <c r="E117" s="355">
        <f t="shared" si="40"/>
        <v>28758.816472492475</v>
      </c>
      <c r="F117" s="355">
        <f t="shared" si="40"/>
        <v>38705.418289431771</v>
      </c>
      <c r="G117" s="355">
        <f t="shared" si="40"/>
        <v>1900.6591620897107</v>
      </c>
      <c r="H117" s="355">
        <f t="shared" si="40"/>
        <v>39059.570875141471</v>
      </c>
      <c r="I117" s="355">
        <f t="shared" si="40"/>
        <v>26934.457318134613</v>
      </c>
      <c r="J117" s="268">
        <f>J109</f>
        <v>40873.346154957064</v>
      </c>
    </row>
    <row r="119" spans="1:11" x14ac:dyDescent="0.25">
      <c r="A119" s="353" t="s">
        <v>712</v>
      </c>
    </row>
    <row r="120" spans="1:11" ht="39" x14ac:dyDescent="0.25">
      <c r="A120" s="250">
        <f>Inputs!B111</f>
        <v>0</v>
      </c>
      <c r="B120" s="90" t="s">
        <v>1</v>
      </c>
      <c r="C120" s="108" t="s">
        <v>149</v>
      </c>
      <c r="D120" s="90" t="s">
        <v>150</v>
      </c>
      <c r="E120" s="108" t="s">
        <v>151</v>
      </c>
      <c r="F120" s="90" t="s">
        <v>152</v>
      </c>
      <c r="G120" s="126" t="s">
        <v>154</v>
      </c>
      <c r="H120" s="90" t="s">
        <v>155</v>
      </c>
      <c r="I120" s="126" t="s">
        <v>156</v>
      </c>
      <c r="J120" s="114" t="s">
        <v>124</v>
      </c>
      <c r="K120" s="126" t="s">
        <v>735</v>
      </c>
    </row>
    <row r="121" spans="1:11" x14ac:dyDescent="0.25">
      <c r="A121" s="4" t="s">
        <v>460</v>
      </c>
      <c r="B121" s="138">
        <v>0</v>
      </c>
      <c r="C121" s="138">
        <v>0</v>
      </c>
      <c r="D121" s="138">
        <v>0</v>
      </c>
      <c r="E121" s="138">
        <v>0</v>
      </c>
      <c r="F121" s="36">
        <f>IF('CFP Credit Estimator'!J65*'Default Data'!$AF$6&gt;1,'CFP Credit Estimator'!J65*'Default Data'!$AF$6,0)</f>
        <v>995.84634885782248</v>
      </c>
      <c r="G121" s="36">
        <f>IF('CFP Credit Estimator'!J23*'Default Data'!$AF$7&gt;1,'CFP Credit Estimator'!J23*'Default Data'!$AF$7,0)</f>
        <v>30402.93409057998</v>
      </c>
      <c r="H121" s="36">
        <f>IF('CFP Credit Estimator'!J187*'Default Data'!$AF$8&gt;1,'CFP Credit Estimator'!J187*'Default Data'!$AF$8,0)</f>
        <v>1241.2407146186438</v>
      </c>
      <c r="I121" s="36">
        <v>0</v>
      </c>
      <c r="J121" s="138">
        <v>0</v>
      </c>
    </row>
    <row r="122" spans="1:11" x14ac:dyDescent="0.25">
      <c r="A122" s="4" t="s">
        <v>461</v>
      </c>
      <c r="B122" s="138">
        <v>0</v>
      </c>
      <c r="C122" s="138">
        <v>0</v>
      </c>
      <c r="D122" s="138">
        <v>0</v>
      </c>
      <c r="E122" s="138">
        <v>0</v>
      </c>
      <c r="F122" s="36">
        <f>IF('CFP Credit Estimator'!J66*'Default Data'!$AF$6&gt;1,'CFP Credit Estimator'!J66*'Default Data'!$AF$6,0)</f>
        <v>724.08496047867482</v>
      </c>
      <c r="G122" s="36">
        <f>IF('CFP Credit Estimator'!J24*'Default Data'!$AF$7&gt;1,'CFP Credit Estimator'!J24*'Default Data'!$AF$7,0)</f>
        <v>29926.952948179976</v>
      </c>
      <c r="H122" s="36">
        <f>IF('CFP Credit Estimator'!J188*'Default Data'!$AF$8&gt;1,'CFP Credit Estimator'!J188*'Default Data'!$AF$8,0)</f>
        <v>955.24648665254153</v>
      </c>
      <c r="I122" s="36">
        <v>0</v>
      </c>
      <c r="J122" s="138">
        <v>0</v>
      </c>
    </row>
    <row r="123" spans="1:11" x14ac:dyDescent="0.25">
      <c r="A123" s="4" t="s">
        <v>462</v>
      </c>
      <c r="B123" s="138">
        <v>0</v>
      </c>
      <c r="C123" s="138">
        <v>0</v>
      </c>
      <c r="D123" s="138">
        <v>0</v>
      </c>
      <c r="E123" s="138">
        <v>0</v>
      </c>
      <c r="F123" s="36">
        <f>IF('CFP Credit Estimator'!J67*'Default Data'!$AF$6&gt;1,'CFP Credit Estimator'!J67*'Default Data'!$AF$6,0)</f>
        <v>450.48734650236969</v>
      </c>
      <c r="G123" s="36">
        <f>IF('CFP Credit Estimator'!J25*'Default Data'!$AF$7&gt;1,'CFP Credit Estimator'!J25*'Default Data'!$AF$7,0)</f>
        <v>29447.755716979973</v>
      </c>
      <c r="H123" s="36">
        <f>IF('CFP Credit Estimator'!J189*'Default Data'!$AF$8&gt;1,'CFP Credit Estimator'!J189*'Default Data'!$AF$8,0)</f>
        <v>667.31986525423463</v>
      </c>
      <c r="I123" s="36">
        <v>0</v>
      </c>
      <c r="J123" s="138">
        <v>0</v>
      </c>
    </row>
    <row r="124" spans="1:11" x14ac:dyDescent="0.25">
      <c r="A124" s="4" t="s">
        <v>463</v>
      </c>
      <c r="B124" s="138">
        <v>0</v>
      </c>
      <c r="C124" s="138">
        <v>0</v>
      </c>
      <c r="D124" s="138">
        <v>0</v>
      </c>
      <c r="E124" s="138">
        <v>0</v>
      </c>
      <c r="F124" s="36">
        <f>IF('CFP Credit Estimator'!J68*'Default Data'!$AF$6&gt;1,'CFP Credit Estimator'!J68*'Default Data'!$AF$6,0)</f>
        <v>178.72595812322464</v>
      </c>
      <c r="G124" s="36">
        <f>IF('CFP Credit Estimator'!J26*'Default Data'!$AF$7&gt;1,'CFP Credit Estimator'!J26*'Default Data'!$AF$7,0)</f>
        <v>28971.77457457998</v>
      </c>
      <c r="H124" s="36">
        <f>IF('CFP Credit Estimator'!J190*'Default Data'!$AF$8&gt;1,'CFP Credit Estimator'!J190*'Default Data'!$AF$8,0)</f>
        <v>381.32563728813489</v>
      </c>
      <c r="I124" s="36">
        <v>0</v>
      </c>
      <c r="J124" s="138">
        <v>0</v>
      </c>
    </row>
    <row r="125" spans="1:11" x14ac:dyDescent="0.25">
      <c r="A125" s="4" t="s">
        <v>464</v>
      </c>
      <c r="B125" s="138">
        <v>0</v>
      </c>
      <c r="C125" s="138">
        <v>0</v>
      </c>
      <c r="D125" s="138">
        <v>0</v>
      </c>
      <c r="E125" s="138">
        <v>0</v>
      </c>
      <c r="F125" s="36">
        <f>IF('CFP Credit Estimator'!J69*'Default Data'!$AF$6&gt;1,'CFP Credit Estimator'!J69*'Default Data'!$AF$6,0)</f>
        <v>0</v>
      </c>
      <c r="G125" s="36">
        <f>IF('CFP Credit Estimator'!J27*'Default Data'!$AF$7&gt;1,'CFP Credit Estimator'!J27*'Default Data'!$AF$7,0)</f>
        <v>28338.205080979977</v>
      </c>
      <c r="H125" s="36">
        <f>IF('CFP Credit Estimator'!J191*'Default Data'!$AF$8&gt;1,'CFP Credit Estimator'!J191*'Default Data'!$AF$8,0)</f>
        <v>0</v>
      </c>
      <c r="I125" s="36">
        <v>0</v>
      </c>
      <c r="J125" s="138">
        <v>0</v>
      </c>
    </row>
    <row r="126" spans="1:11" x14ac:dyDescent="0.25">
      <c r="A126" s="4" t="s">
        <v>465</v>
      </c>
      <c r="B126" s="138">
        <v>0</v>
      </c>
      <c r="C126" s="138">
        <v>0</v>
      </c>
      <c r="D126" s="138">
        <v>0</v>
      </c>
      <c r="E126" s="138">
        <v>0</v>
      </c>
      <c r="F126" s="36">
        <f>IF('CFP Credit Estimator'!J70*'Default Data'!$AF$6&gt;1,'CFP Credit Estimator'!J70*'Default Data'!$AF$6,0)</f>
        <v>0</v>
      </c>
      <c r="G126" s="36">
        <f>IF('CFP Credit Estimator'!J28*'Default Data'!$AF$7&gt;1,'CFP Credit Estimator'!J28*'Default Data'!$AF$7,0)</f>
        <v>28338.205080979977</v>
      </c>
      <c r="H126" s="36">
        <f>IF('CFP Credit Estimator'!J192*'Default Data'!$AF$8&gt;1,'CFP Credit Estimator'!J192*'Default Data'!$AF$8,0)</f>
        <v>0</v>
      </c>
      <c r="I126" s="36">
        <v>0</v>
      </c>
      <c r="J126" s="138">
        <v>0</v>
      </c>
    </row>
    <row r="127" spans="1:11" x14ac:dyDescent="0.25">
      <c r="A127" s="4" t="s">
        <v>466</v>
      </c>
      <c r="B127" s="138">
        <v>0</v>
      </c>
      <c r="C127" s="138">
        <v>0</v>
      </c>
      <c r="D127" s="138">
        <v>0</v>
      </c>
      <c r="E127" s="138">
        <v>0</v>
      </c>
      <c r="F127" s="36">
        <f>IF('CFP Credit Estimator'!J71*'Default Data'!$AF$6&gt;1,'CFP Credit Estimator'!J71*'Default Data'!$AF$6,0)</f>
        <v>0</v>
      </c>
      <c r="G127" s="36">
        <f>IF('CFP Credit Estimator'!J28*'Default Data'!$AF$7&gt;1,'CFP Credit Estimator'!J28*'Default Data'!$AF$7,0)</f>
        <v>28338.205080979977</v>
      </c>
      <c r="H127" s="36">
        <f>IF('CFP Credit Estimator'!J193*'Default Data'!$AF$8&gt;1,'CFP Credit Estimator'!J193*'Default Data'!$AF$8,0)</f>
        <v>0</v>
      </c>
      <c r="I127" s="36">
        <v>0</v>
      </c>
      <c r="J127" s="138">
        <v>0</v>
      </c>
    </row>
    <row r="128" spans="1:11" x14ac:dyDescent="0.25">
      <c r="A128" s="4" t="s">
        <v>467</v>
      </c>
      <c r="B128" s="138">
        <v>0</v>
      </c>
      <c r="C128" s="138">
        <v>0</v>
      </c>
      <c r="D128" s="138">
        <v>0</v>
      </c>
      <c r="E128" s="138">
        <v>0</v>
      </c>
      <c r="F128" s="36">
        <f>IF('CFP Credit Estimator'!J72*'Default Data'!$AF$6&gt;1,'CFP Credit Estimator'!J72*'Default Data'!$AF$6,0)</f>
        <v>0</v>
      </c>
      <c r="G128" s="36">
        <f>IF('CFP Credit Estimator'!J29*'Default Data'!$AF$7&gt;1,'CFP Credit Estimator'!J29*'Default Data'!$AF$7,0)</f>
        <v>28338.205080979977</v>
      </c>
      <c r="H128" s="36">
        <f>IF('CFP Credit Estimator'!J194*'Default Data'!$AF$8&gt;1,'CFP Credit Estimator'!J194*'Default Data'!$AF$8,0)</f>
        <v>0</v>
      </c>
      <c r="I128" s="36">
        <v>0</v>
      </c>
      <c r="J128" s="138">
        <v>0</v>
      </c>
    </row>
    <row r="129" spans="1:11" x14ac:dyDescent="0.25">
      <c r="A129" s="4" t="s">
        <v>468</v>
      </c>
      <c r="B129" s="138">
        <v>0</v>
      </c>
      <c r="C129" s="138">
        <v>0</v>
      </c>
      <c r="D129" s="138">
        <v>0</v>
      </c>
      <c r="E129" s="138">
        <v>0</v>
      </c>
      <c r="F129" s="36">
        <f>IF('CFP Credit Estimator'!J73*'Default Data'!$AF$6&gt;1,'CFP Credit Estimator'!J73*'Default Data'!$AF$6,0)</f>
        <v>0</v>
      </c>
      <c r="G129" s="36">
        <f>IF('CFP Credit Estimator'!J30*'Default Data'!$AF$7&gt;1,'CFP Credit Estimator'!J30*'Default Data'!$AF$7,0)</f>
        <v>28338.205080979977</v>
      </c>
      <c r="H129" s="36">
        <f>IF('CFP Credit Estimator'!J195*'Default Data'!$AF$8&gt;1,'CFP Credit Estimator'!J195*'Default Data'!$AF$8,0)</f>
        <v>0</v>
      </c>
      <c r="I129" s="36">
        <v>0</v>
      </c>
      <c r="J129" s="138">
        <v>0</v>
      </c>
    </row>
    <row r="130" spans="1:11" x14ac:dyDescent="0.25">
      <c r="A130" s="4" t="s">
        <v>469</v>
      </c>
      <c r="B130" s="138">
        <v>0</v>
      </c>
      <c r="C130" s="138">
        <v>0</v>
      </c>
      <c r="D130" s="138">
        <v>0</v>
      </c>
      <c r="E130" s="138">
        <v>0</v>
      </c>
      <c r="F130" s="36">
        <f>IF('CFP Credit Estimator'!J74*'Default Data'!$AF$6&gt;1,'CFP Credit Estimator'!J74*'Default Data'!$AF$6,0)</f>
        <v>0</v>
      </c>
      <c r="G130" s="36">
        <f>IF('CFP Credit Estimator'!J31*'Default Data'!$AF$7&gt;1,'CFP Credit Estimator'!J31*'Default Data'!$AF$7,0)</f>
        <v>28338.205080979977</v>
      </c>
      <c r="H130" s="36">
        <f>IF('CFP Credit Estimator'!J196*'Default Data'!$AF$8&gt;1,'CFP Credit Estimator'!J196*'Default Data'!$AF$8,0)</f>
        <v>0</v>
      </c>
      <c r="I130" s="36">
        <v>0</v>
      </c>
      <c r="J130" s="138">
        <v>0</v>
      </c>
    </row>
    <row r="131" spans="1:11" x14ac:dyDescent="0.25">
      <c r="A131" s="4" t="s">
        <v>470</v>
      </c>
      <c r="B131" s="138">
        <v>0</v>
      </c>
      <c r="C131" s="138">
        <v>0</v>
      </c>
      <c r="D131" s="138">
        <v>0</v>
      </c>
      <c r="E131" s="138">
        <v>0</v>
      </c>
      <c r="F131" s="36">
        <f>IF('CFP Credit Estimator'!J75*'Default Data'!$AF$6&gt;1,'CFP Credit Estimator'!J75*'Default Data'!$AF$6,0)</f>
        <v>0</v>
      </c>
      <c r="G131" s="36">
        <f>IF('CFP Credit Estimator'!J32*'Default Data'!$AF$7&gt;1,'CFP Credit Estimator'!J32*'Default Data'!$AF$7,0)</f>
        <v>28338.205080979977</v>
      </c>
      <c r="H131" s="36">
        <f>IF('CFP Credit Estimator'!J197*'Default Data'!$AF$8&gt;1,'CFP Credit Estimator'!J197*'Default Data'!$AF$8,0)</f>
        <v>0</v>
      </c>
      <c r="I131" s="36">
        <v>0</v>
      </c>
      <c r="J131" s="138">
        <v>0</v>
      </c>
    </row>
    <row r="132" spans="1:11" x14ac:dyDescent="0.25">
      <c r="A132" s="4" t="s">
        <v>471</v>
      </c>
      <c r="B132" s="138">
        <v>0</v>
      </c>
      <c r="C132" s="138">
        <v>0</v>
      </c>
      <c r="D132" s="138">
        <v>0</v>
      </c>
      <c r="E132" s="138">
        <v>0</v>
      </c>
      <c r="F132" s="36">
        <f>IF('CFP Credit Estimator'!J76*'Default Data'!$AF$6&gt;1,'CFP Credit Estimator'!J76*'Default Data'!$AF$6,0)</f>
        <v>0</v>
      </c>
      <c r="G132" s="36">
        <f>IF('CFP Credit Estimator'!J33*'Default Data'!$AF$7&gt;1,'CFP Credit Estimator'!J33*'Default Data'!$AF$7,0)</f>
        <v>28338.205080979977</v>
      </c>
      <c r="H132" s="36">
        <f>IF('CFP Credit Estimator'!J198*'Default Data'!$AF$8&gt;1,'CFP Credit Estimator'!J198*'Default Data'!$AF$8,0)</f>
        <v>0</v>
      </c>
      <c r="I132" s="36">
        <v>0</v>
      </c>
      <c r="J132" s="138">
        <v>0</v>
      </c>
    </row>
    <row r="133" spans="1:11" x14ac:dyDescent="0.25">
      <c r="A133" s="4" t="s">
        <v>472</v>
      </c>
      <c r="B133" s="138">
        <v>0</v>
      </c>
      <c r="C133" s="138">
        <v>0</v>
      </c>
      <c r="D133" s="138">
        <v>0</v>
      </c>
      <c r="E133" s="138">
        <v>0</v>
      </c>
      <c r="F133" s="36">
        <f>IF('CFP Credit Estimator'!J77*'Default Data'!$AF$6&gt;1,'CFP Credit Estimator'!J77*'Default Data'!$AF$6,0)</f>
        <v>0</v>
      </c>
      <c r="G133" s="36">
        <f>IF('CFP Credit Estimator'!J34*'Default Data'!$AF$7&gt;1,'CFP Credit Estimator'!J34*'Default Data'!$AF$7,0)</f>
        <v>28338.205080979977</v>
      </c>
      <c r="H133" s="36">
        <f>IF('CFP Credit Estimator'!J199*'Default Data'!$AF$8&gt;1,'CFP Credit Estimator'!J199*'Default Data'!$AF$8,0)</f>
        <v>0</v>
      </c>
      <c r="I133" s="36">
        <v>0</v>
      </c>
      <c r="J133" s="138">
        <v>0</v>
      </c>
    </row>
    <row r="134" spans="1:11" x14ac:dyDescent="0.25">
      <c r="A134" s="4" t="s">
        <v>473</v>
      </c>
      <c r="B134" s="138">
        <v>0</v>
      </c>
      <c r="C134" s="138">
        <v>0</v>
      </c>
      <c r="D134" s="138">
        <v>0</v>
      </c>
      <c r="E134" s="138">
        <v>0</v>
      </c>
      <c r="F134" s="36">
        <f>IF('CFP Credit Estimator'!J78*'Default Data'!$AF$6&gt;1,'CFP Credit Estimator'!J78*'Default Data'!$AF$6,0)</f>
        <v>0</v>
      </c>
      <c r="G134" s="36">
        <f>IF('CFP Credit Estimator'!J35*'Default Data'!$AF$7&gt;1,'CFP Credit Estimator'!J35*'Default Data'!$AF$7,0)</f>
        <v>28338.205080979977</v>
      </c>
      <c r="H134" s="36">
        <f>IF('CFP Credit Estimator'!J200*'Default Data'!$AF$8&gt;1,'CFP Credit Estimator'!J200*'Default Data'!$AF$8,0)</f>
        <v>0</v>
      </c>
      <c r="I134" s="36">
        <v>0</v>
      </c>
      <c r="J134" s="138">
        <v>0</v>
      </c>
    </row>
    <row r="135" spans="1:11" x14ac:dyDescent="0.25">
      <c r="A135" s="4" t="s">
        <v>474</v>
      </c>
      <c r="B135" s="138">
        <v>0</v>
      </c>
      <c r="C135" s="138">
        <v>0</v>
      </c>
      <c r="D135" s="138">
        <v>0</v>
      </c>
      <c r="E135" s="138">
        <v>0</v>
      </c>
      <c r="F135" s="36">
        <f>IF('CFP Credit Estimator'!J79*'Default Data'!$AF$6&gt;1,'CFP Credit Estimator'!J79*'Default Data'!$AF$6,0)</f>
        <v>0</v>
      </c>
      <c r="G135" s="36">
        <f>IF('CFP Credit Estimator'!J36*'Default Data'!$AF$7&gt;1,'CFP Credit Estimator'!J36*'Default Data'!$AF$7,0)</f>
        <v>28338.205080979977</v>
      </c>
      <c r="H135" s="36">
        <f>IF('CFP Credit Estimator'!J201*'Default Data'!$AF$8&gt;1,'CFP Credit Estimator'!J201*'Default Data'!$AF$8,0)</f>
        <v>0</v>
      </c>
      <c r="I135" s="36">
        <v>0</v>
      </c>
      <c r="J135" s="138">
        <v>0</v>
      </c>
    </row>
    <row r="137" spans="1:11" x14ac:dyDescent="0.25">
      <c r="A137" s="387" t="s">
        <v>713</v>
      </c>
    </row>
    <row r="138" spans="1:11" ht="39" x14ac:dyDescent="0.25">
      <c r="A138" s="250" t="s">
        <v>445</v>
      </c>
      <c r="B138" s="90" t="s">
        <v>1</v>
      </c>
      <c r="C138" s="108" t="s">
        <v>149</v>
      </c>
      <c r="D138" s="90" t="s">
        <v>150</v>
      </c>
      <c r="E138" s="108" t="s">
        <v>151</v>
      </c>
      <c r="F138" s="90" t="s">
        <v>152</v>
      </c>
      <c r="G138" s="126" t="s">
        <v>154</v>
      </c>
      <c r="H138" s="90" t="s">
        <v>155</v>
      </c>
      <c r="I138" s="126" t="s">
        <v>156</v>
      </c>
      <c r="J138" s="114" t="s">
        <v>124</v>
      </c>
      <c r="K138" s="126" t="s">
        <v>735</v>
      </c>
    </row>
    <row r="139" spans="1:11" x14ac:dyDescent="0.25">
      <c r="A139" s="4" t="s">
        <v>460</v>
      </c>
      <c r="B139" s="268">
        <f>B16+B32+B50+B94</f>
        <v>519527.84971094952</v>
      </c>
      <c r="C139" s="268">
        <f t="shared" ref="C139:J139" si="41">C16+C32+C50+C94</f>
        <v>521686.46778063418</v>
      </c>
      <c r="D139" s="268">
        <f t="shared" si="41"/>
        <v>521664.5184398467</v>
      </c>
      <c r="E139" s="268">
        <f t="shared" si="41"/>
        <v>516866.54630063579</v>
      </c>
      <c r="F139" s="268">
        <f>(F16+F32+F50+F94)-F121</f>
        <v>552183.23919212504</v>
      </c>
      <c r="G139" s="268">
        <f>(G16+G32+G50+G94)-G121</f>
        <v>1780649.1743886466</v>
      </c>
      <c r="H139" s="268">
        <f>(H16+H32+H50+H94)-H121</f>
        <v>906407.07457894925</v>
      </c>
      <c r="I139" s="268">
        <f>(I16+I32+I50+I94)-I121</f>
        <v>899898.78822881682</v>
      </c>
      <c r="J139" s="268">
        <f t="shared" si="41"/>
        <v>502125.63461592025</v>
      </c>
    </row>
    <row r="140" spans="1:11" x14ac:dyDescent="0.25">
      <c r="A140" s="4" t="s">
        <v>461</v>
      </c>
      <c r="B140" s="268">
        <f t="shared" ref="B140:B153" si="42">B33+B51+B95</f>
        <v>65633.657970436965</v>
      </c>
      <c r="C140" s="268">
        <f t="shared" ref="C140:J140" si="43">C33+C51+C95</f>
        <v>67774.592770396805</v>
      </c>
      <c r="D140" s="268">
        <f t="shared" si="43"/>
        <v>67752.116645430448</v>
      </c>
      <c r="E140" s="268">
        <f t="shared" si="43"/>
        <v>62866.387815632253</v>
      </c>
      <c r="F140" s="268">
        <f t="shared" ref="F140:F153" si="44">(F33+F51+F95)-F122</f>
        <v>53307.35237392439</v>
      </c>
      <c r="G140" s="268">
        <f>(G33+G51+G95)-G122</f>
        <v>20482.315074494611</v>
      </c>
      <c r="H140" s="268">
        <f>(H33+H51+H95)-H122</f>
        <v>58952.603471418668</v>
      </c>
      <c r="I140" s="268">
        <f>(I33+I51+I95)-I122</f>
        <v>52143.944413257625</v>
      </c>
      <c r="J140" s="268">
        <f t="shared" si="43"/>
        <v>55193.102595365031</v>
      </c>
    </row>
    <row r="141" spans="1:11" x14ac:dyDescent="0.25">
      <c r="A141" s="4" t="s">
        <v>462</v>
      </c>
      <c r="B141" s="268">
        <f t="shared" si="42"/>
        <v>69272.674510358527</v>
      </c>
      <c r="C141" s="268">
        <f t="shared" ref="C141:E153" si="45">C34+C52+C96</f>
        <v>71395.501642120056</v>
      </c>
      <c r="D141" s="268">
        <f t="shared" si="45"/>
        <v>71372.486090154503</v>
      </c>
      <c r="E141" s="268">
        <f t="shared" si="45"/>
        <v>66396.894409195025</v>
      </c>
      <c r="F141" s="268">
        <f t="shared" si="44"/>
        <v>55259.48057114712</v>
      </c>
      <c r="G141" s="268">
        <f t="shared" ref="G141:I153" si="46">(G34+G52+G96)-G123</f>
        <v>21662.02913826417</v>
      </c>
      <c r="H141" s="268">
        <f t="shared" si="46"/>
        <v>59959.386224861533</v>
      </c>
      <c r="I141" s="268">
        <f t="shared" si="46"/>
        <v>52848.076981718186</v>
      </c>
      <c r="J141" s="268">
        <f t="shared" ref="J141:J153" si="47">J34+J52+J96</f>
        <v>56483.171757154589</v>
      </c>
    </row>
    <row r="142" spans="1:11" x14ac:dyDescent="0.25">
      <c r="A142" s="4" t="s">
        <v>463</v>
      </c>
      <c r="B142" s="268">
        <f t="shared" si="42"/>
        <v>71762.519643342283</v>
      </c>
      <c r="C142" s="268">
        <f t="shared" si="45"/>
        <v>73866.804522868741</v>
      </c>
      <c r="D142" s="268">
        <f t="shared" si="45"/>
        <v>73843.23659765601</v>
      </c>
      <c r="E142" s="268">
        <f t="shared" si="45"/>
        <v>68775.625357107361</v>
      </c>
      <c r="F142" s="268">
        <f t="shared" si="44"/>
        <v>57352.987564241339</v>
      </c>
      <c r="G142" s="268">
        <f t="shared" si="46"/>
        <v>22984.867485447805</v>
      </c>
      <c r="H142" s="268">
        <f t="shared" si="46"/>
        <v>61028.745106617527</v>
      </c>
      <c r="I142" s="268">
        <f t="shared" si="46"/>
        <v>53616.364706398061</v>
      </c>
      <c r="J142" s="268">
        <f t="shared" si="47"/>
        <v>58363.696123600203</v>
      </c>
    </row>
    <row r="143" spans="1:11" x14ac:dyDescent="0.25">
      <c r="A143" s="4" t="s">
        <v>464</v>
      </c>
      <c r="B143" s="268">
        <f t="shared" si="42"/>
        <v>74168.934119646292</v>
      </c>
      <c r="C143" s="268">
        <f t="shared" si="45"/>
        <v>76254.231732884058</v>
      </c>
      <c r="D143" s="268">
        <f t="shared" si="45"/>
        <v>76230.098177466221</v>
      </c>
      <c r="E143" s="268">
        <f t="shared" si="45"/>
        <v>71068.258907898242</v>
      </c>
      <c r="F143" s="268">
        <f t="shared" si="44"/>
        <v>59333.28429629872</v>
      </c>
      <c r="G143" s="268">
        <f t="shared" si="46"/>
        <v>24796.656752510811</v>
      </c>
      <c r="H143" s="268">
        <f t="shared" si="46"/>
        <v>62660.333755318723</v>
      </c>
      <c r="I143" s="268">
        <f t="shared" si="46"/>
        <v>54851.188942402463</v>
      </c>
      <c r="J143" s="268">
        <f t="shared" si="47"/>
        <v>60127.640904965396</v>
      </c>
    </row>
    <row r="144" spans="1:11" x14ac:dyDescent="0.25">
      <c r="A144" s="4" t="s">
        <v>465</v>
      </c>
      <c r="B144" s="268">
        <f t="shared" si="42"/>
        <v>76645.654485268824</v>
      </c>
      <c r="C144" s="268">
        <f t="shared" si="45"/>
        <v>78711.509137826943</v>
      </c>
      <c r="D144" s="268">
        <f t="shared" si="45"/>
        <v>78686.796377079081</v>
      </c>
      <c r="E144" s="268">
        <f t="shared" si="45"/>
        <v>73428.467605795362</v>
      </c>
      <c r="F144" s="268">
        <f t="shared" si="44"/>
        <v>61036.624975286715</v>
      </c>
      <c r="G144" s="268">
        <f t="shared" si="46"/>
        <v>26168.836047151824</v>
      </c>
      <c r="H144" s="268">
        <f t="shared" si="46"/>
        <v>64159.069040870105</v>
      </c>
      <c r="I144" s="268">
        <f t="shared" si="46"/>
        <v>56334.114921935376</v>
      </c>
      <c r="J144" s="268">
        <f t="shared" si="47"/>
        <v>62082.995417220613</v>
      </c>
    </row>
    <row r="145" spans="1:11" x14ac:dyDescent="0.25">
      <c r="A145" s="4" t="s">
        <v>466</v>
      </c>
      <c r="B145" s="268">
        <f t="shared" si="42"/>
        <v>79185.529361897206</v>
      </c>
      <c r="C145" s="268">
        <f t="shared" si="45"/>
        <v>81231.474422719388</v>
      </c>
      <c r="D145" s="268">
        <f t="shared" si="45"/>
        <v>81206.168555713579</v>
      </c>
      <c r="E145" s="268">
        <f t="shared" si="45"/>
        <v>75849.034534672872</v>
      </c>
      <c r="F145" s="268">
        <f t="shared" si="44"/>
        <v>63148.282644425854</v>
      </c>
      <c r="G145" s="268">
        <f t="shared" si="46"/>
        <v>27536.775829365455</v>
      </c>
      <c r="H145" s="268">
        <f t="shared" si="46"/>
        <v>65612.032324969638</v>
      </c>
      <c r="I145" s="268">
        <f t="shared" si="46"/>
        <v>57770.88947667199</v>
      </c>
      <c r="J145" s="268">
        <f t="shared" si="47"/>
        <v>64595.231493078834</v>
      </c>
    </row>
    <row r="146" spans="1:11" x14ac:dyDescent="0.25">
      <c r="A146" s="4" t="s">
        <v>467</v>
      </c>
      <c r="B146" s="268">
        <f t="shared" si="42"/>
        <v>81830.263011762363</v>
      </c>
      <c r="C146" s="268">
        <f t="shared" si="45"/>
        <v>83855.820650646914</v>
      </c>
      <c r="D146" s="268">
        <f t="shared" si="45"/>
        <v>83829.907442832977</v>
      </c>
      <c r="E146" s="268">
        <f t="shared" si="45"/>
        <v>78371.596846041168</v>
      </c>
      <c r="F146" s="268">
        <f t="shared" si="44"/>
        <v>64990.024575399235</v>
      </c>
      <c r="G146" s="268">
        <f t="shared" si="46"/>
        <v>28948.196256968404</v>
      </c>
      <c r="H146" s="268">
        <f t="shared" si="46"/>
        <v>67133.888749073987</v>
      </c>
      <c r="I146" s="268">
        <f t="shared" si="46"/>
        <v>59276.168641908727</v>
      </c>
      <c r="J146" s="268">
        <f t="shared" si="47"/>
        <v>66916.003474781668</v>
      </c>
    </row>
    <row r="147" spans="1:11" x14ac:dyDescent="0.25">
      <c r="A147" s="4" t="s">
        <v>468</v>
      </c>
      <c r="B147" s="268">
        <f t="shared" si="42"/>
        <v>84302.081085351223</v>
      </c>
      <c r="C147" s="268">
        <f t="shared" si="45"/>
        <v>86306.762004171702</v>
      </c>
      <c r="D147" s="268">
        <f t="shared" si="45"/>
        <v>86280.22687937021</v>
      </c>
      <c r="E147" s="268">
        <f t="shared" si="45"/>
        <v>80718.311469009263</v>
      </c>
      <c r="F147" s="268">
        <f t="shared" si="44"/>
        <v>67766.703864961179</v>
      </c>
      <c r="G147" s="268">
        <f t="shared" si="46"/>
        <v>30419.027315578984</v>
      </c>
      <c r="H147" s="268">
        <f t="shared" si="46"/>
        <v>68696.356273967031</v>
      </c>
      <c r="I147" s="268">
        <f t="shared" si="46"/>
        <v>60821.66105372132</v>
      </c>
      <c r="J147" s="268">
        <f t="shared" si="47"/>
        <v>70470.96089659234</v>
      </c>
    </row>
    <row r="148" spans="1:11" x14ac:dyDescent="0.25">
      <c r="A148" s="4" t="s">
        <v>469</v>
      </c>
      <c r="B148" s="268">
        <f t="shared" si="42"/>
        <v>87735.713612777574</v>
      </c>
      <c r="C148" s="268">
        <f t="shared" si="45"/>
        <v>89719.016770252376</v>
      </c>
      <c r="D148" s="268">
        <f t="shared" si="45"/>
        <v>89691.844802455656</v>
      </c>
      <c r="E148" s="268">
        <f t="shared" si="45"/>
        <v>84023.838062999916</v>
      </c>
      <c r="F148" s="268">
        <f t="shared" si="44"/>
        <v>69699.734870213622</v>
      </c>
      <c r="G148" s="268">
        <f t="shared" si="46"/>
        <v>31808.518014613168</v>
      </c>
      <c r="H148" s="268">
        <f t="shared" si="46"/>
        <v>71583.581083016819</v>
      </c>
      <c r="I148" s="268">
        <f t="shared" si="46"/>
        <v>63691.50334697673</v>
      </c>
      <c r="J148" s="268">
        <f t="shared" si="47"/>
        <v>72474.12864198476</v>
      </c>
    </row>
    <row r="149" spans="1:11" x14ac:dyDescent="0.25">
      <c r="A149" s="4" t="s">
        <v>470</v>
      </c>
      <c r="B149" s="268">
        <f t="shared" si="42"/>
        <v>90372.942214172566</v>
      </c>
      <c r="C149" s="268">
        <f t="shared" si="45"/>
        <v>92334.35454402944</v>
      </c>
      <c r="D149" s="268">
        <f t="shared" si="45"/>
        <v>92306.530449005601</v>
      </c>
      <c r="E149" s="268">
        <f t="shared" si="45"/>
        <v>86529.88618855676</v>
      </c>
      <c r="F149" s="268">
        <f t="shared" si="44"/>
        <v>71905.637586446668</v>
      </c>
      <c r="G149" s="268">
        <f t="shared" si="46"/>
        <v>33335.483193247019</v>
      </c>
      <c r="H149" s="268">
        <f t="shared" si="46"/>
        <v>73037.239690026152</v>
      </c>
      <c r="I149" s="268">
        <f t="shared" si="46"/>
        <v>65127.362257812652</v>
      </c>
      <c r="J149" s="268">
        <f t="shared" si="47"/>
        <v>75157.978926692638</v>
      </c>
    </row>
    <row r="150" spans="1:11" x14ac:dyDescent="0.25">
      <c r="A150" s="4" t="s">
        <v>471</v>
      </c>
      <c r="B150" s="268">
        <f t="shared" si="42"/>
        <v>93128.015466168072</v>
      </c>
      <c r="C150" s="268">
        <f t="shared" si="45"/>
        <v>95067.011588544163</v>
      </c>
      <c r="D150" s="268">
        <f t="shared" si="45"/>
        <v>95038.519715239745</v>
      </c>
      <c r="E150" s="268">
        <f t="shared" si="45"/>
        <v>89150.630633294</v>
      </c>
      <c r="F150" s="268">
        <f t="shared" si="44"/>
        <v>73866.942444488654</v>
      </c>
      <c r="G150" s="268">
        <f t="shared" si="46"/>
        <v>34793.873541828019</v>
      </c>
      <c r="H150" s="268">
        <f t="shared" si="46"/>
        <v>74881.772942586787</v>
      </c>
      <c r="I150" s="268">
        <f t="shared" si="46"/>
        <v>66953.668621491684</v>
      </c>
      <c r="J150" s="268">
        <f t="shared" si="47"/>
        <v>77355.204072642591</v>
      </c>
    </row>
    <row r="151" spans="1:11" x14ac:dyDescent="0.25">
      <c r="A151" s="4" t="s">
        <v>472</v>
      </c>
      <c r="B151" s="268">
        <f t="shared" si="42"/>
        <v>95623.694503639301</v>
      </c>
      <c r="C151" s="268">
        <f t="shared" si="45"/>
        <v>97539.736429555065</v>
      </c>
      <c r="D151" s="268">
        <f t="shared" si="45"/>
        <v>97510.560751291356</v>
      </c>
      <c r="E151" s="268">
        <f t="shared" si="45"/>
        <v>91508.756972132775</v>
      </c>
      <c r="F151" s="268">
        <f t="shared" si="44"/>
        <v>75765.418760585191</v>
      </c>
      <c r="G151" s="268">
        <f t="shared" si="46"/>
        <v>36406.269558027896</v>
      </c>
      <c r="H151" s="268">
        <f t="shared" si="46"/>
        <v>76645.163997446158</v>
      </c>
      <c r="I151" s="268">
        <f t="shared" si="46"/>
        <v>68698.395342136297</v>
      </c>
      <c r="J151" s="268">
        <f t="shared" si="47"/>
        <v>79831.204499635802</v>
      </c>
    </row>
    <row r="152" spans="1:11" x14ac:dyDescent="0.25">
      <c r="A152" s="4" t="s">
        <v>473</v>
      </c>
      <c r="B152" s="268">
        <f t="shared" si="42"/>
        <v>98083.45832072405</v>
      </c>
      <c r="C152" s="268">
        <f t="shared" si="45"/>
        <v>99975.995149464463</v>
      </c>
      <c r="D152" s="268">
        <f t="shared" si="45"/>
        <v>99946.119254922407</v>
      </c>
      <c r="E152" s="268">
        <f t="shared" si="45"/>
        <v>93827.666825817869</v>
      </c>
      <c r="F152" s="268">
        <f t="shared" si="44"/>
        <v>77698.456048841341</v>
      </c>
      <c r="G152" s="268">
        <f t="shared" si="46"/>
        <v>37950.3655651972</v>
      </c>
      <c r="H152" s="268">
        <f t="shared" si="46"/>
        <v>78393.571708808595</v>
      </c>
      <c r="I152" s="268">
        <f t="shared" si="46"/>
        <v>70427.690775262818</v>
      </c>
      <c r="J152" s="268">
        <f t="shared" si="47"/>
        <v>82104.879385753404</v>
      </c>
    </row>
    <row r="153" spans="1:11" x14ac:dyDescent="0.25">
      <c r="A153" s="4" t="s">
        <v>474</v>
      </c>
      <c r="B153" s="268">
        <f t="shared" si="42"/>
        <v>100640.26803267351</v>
      </c>
      <c r="C153" s="268">
        <f t="shared" si="45"/>
        <v>102508.73564190637</v>
      </c>
      <c r="D153" s="268">
        <f t="shared" si="45"/>
        <v>102478.14272589532</v>
      </c>
      <c r="E153" s="268">
        <f t="shared" si="45"/>
        <v>96240.24207924612</v>
      </c>
      <c r="F153" s="268">
        <f t="shared" si="44"/>
        <v>79741.01545874853</v>
      </c>
      <c r="G153" s="268">
        <f t="shared" si="46"/>
        <v>39427.643899767929</v>
      </c>
      <c r="H153" s="268">
        <f t="shared" si="46"/>
        <v>80180.000044226806</v>
      </c>
      <c r="I153" s="268">
        <f t="shared" si="46"/>
        <v>72194.54813776743</v>
      </c>
      <c r="J153" s="268">
        <f t="shared" si="47"/>
        <v>84660.077373926222</v>
      </c>
    </row>
    <row r="155" spans="1:11" x14ac:dyDescent="0.25">
      <c r="A155" s="387" t="s">
        <v>714</v>
      </c>
    </row>
    <row r="156" spans="1:11" ht="39" x14ac:dyDescent="0.25">
      <c r="A156" s="250" t="s">
        <v>445</v>
      </c>
      <c r="B156" s="90" t="s">
        <v>1</v>
      </c>
      <c r="C156" s="108" t="s">
        <v>149</v>
      </c>
      <c r="D156" s="90" t="s">
        <v>150</v>
      </c>
      <c r="E156" s="108" t="s">
        <v>151</v>
      </c>
      <c r="F156" s="90" t="s">
        <v>152</v>
      </c>
      <c r="G156" s="126" t="s">
        <v>154</v>
      </c>
      <c r="H156" s="90" t="s">
        <v>155</v>
      </c>
      <c r="I156" s="126" t="s">
        <v>156</v>
      </c>
      <c r="J156" s="114" t="s">
        <v>124</v>
      </c>
      <c r="K156" s="126" t="s">
        <v>735</v>
      </c>
    </row>
    <row r="157" spans="1:11" x14ac:dyDescent="0.25">
      <c r="A157" s="4" t="s">
        <v>460</v>
      </c>
      <c r="B157" s="268">
        <f>B139</f>
        <v>519527.84971094952</v>
      </c>
      <c r="C157" s="268">
        <f t="shared" ref="C157:J157" si="48">C139</f>
        <v>521686.46778063418</v>
      </c>
      <c r="D157" s="268">
        <f t="shared" si="48"/>
        <v>521664.5184398467</v>
      </c>
      <c r="E157" s="268">
        <f t="shared" si="48"/>
        <v>516866.54630063579</v>
      </c>
      <c r="F157" s="268">
        <f t="shared" si="48"/>
        <v>552183.23919212504</v>
      </c>
      <c r="G157" s="268">
        <f t="shared" si="48"/>
        <v>1780649.1743886466</v>
      </c>
      <c r="H157" s="268">
        <f t="shared" si="48"/>
        <v>906407.07457894925</v>
      </c>
      <c r="I157" s="268">
        <f t="shared" si="48"/>
        <v>899898.78822881682</v>
      </c>
      <c r="J157" s="268">
        <f t="shared" si="48"/>
        <v>502125.63461592025</v>
      </c>
    </row>
    <row r="158" spans="1:11" x14ac:dyDescent="0.25">
      <c r="A158" s="4" t="s">
        <v>461</v>
      </c>
      <c r="B158" s="268">
        <f>B157+B140</f>
        <v>585161.50768138655</v>
      </c>
      <c r="C158" s="268">
        <f t="shared" ref="C158:J171" si="49">C157+C140</f>
        <v>589461.06055103103</v>
      </c>
      <c r="D158" s="268">
        <f t="shared" si="49"/>
        <v>589416.63508527714</v>
      </c>
      <c r="E158" s="268">
        <f t="shared" si="49"/>
        <v>579732.93411626806</v>
      </c>
      <c r="F158" s="268">
        <f t="shared" si="49"/>
        <v>605490.59156604938</v>
      </c>
      <c r="G158" s="268">
        <f t="shared" si="49"/>
        <v>1801131.4894631412</v>
      </c>
      <c r="H158" s="268">
        <f t="shared" si="49"/>
        <v>965359.67805036786</v>
      </c>
      <c r="I158" s="268">
        <f t="shared" si="49"/>
        <v>952042.73264207446</v>
      </c>
      <c r="J158" s="268">
        <f t="shared" si="49"/>
        <v>557318.73721128528</v>
      </c>
    </row>
    <row r="159" spans="1:11" x14ac:dyDescent="0.25">
      <c r="A159" s="4" t="s">
        <v>462</v>
      </c>
      <c r="B159" s="268">
        <f t="shared" ref="B159:B171" si="50">B158+B141</f>
        <v>654434.18219174503</v>
      </c>
      <c r="C159" s="268">
        <f t="shared" si="49"/>
        <v>660856.5621931511</v>
      </c>
      <c r="D159" s="268">
        <f t="shared" si="49"/>
        <v>660789.12117543165</v>
      </c>
      <c r="E159" s="268">
        <f t="shared" si="49"/>
        <v>646129.82852546312</v>
      </c>
      <c r="F159" s="268">
        <f t="shared" si="49"/>
        <v>660750.07213719655</v>
      </c>
      <c r="G159" s="268">
        <f t="shared" si="49"/>
        <v>1822793.5186014054</v>
      </c>
      <c r="H159" s="268">
        <f t="shared" si="49"/>
        <v>1025319.0642752293</v>
      </c>
      <c r="I159" s="268">
        <f t="shared" si="49"/>
        <v>1004890.8096237927</v>
      </c>
      <c r="J159" s="268">
        <f t="shared" si="49"/>
        <v>613801.90896843991</v>
      </c>
    </row>
    <row r="160" spans="1:11" x14ac:dyDescent="0.25">
      <c r="A160" s="4" t="s">
        <v>463</v>
      </c>
      <c r="B160" s="268">
        <f t="shared" si="50"/>
        <v>726196.70183508727</v>
      </c>
      <c r="C160" s="268">
        <f t="shared" si="49"/>
        <v>734723.36671601981</v>
      </c>
      <c r="D160" s="268">
        <f t="shared" si="49"/>
        <v>734632.35777308769</v>
      </c>
      <c r="E160" s="268">
        <f t="shared" si="49"/>
        <v>714905.45388257049</v>
      </c>
      <c r="F160" s="268">
        <f t="shared" si="49"/>
        <v>718103.05970143783</v>
      </c>
      <c r="G160" s="268">
        <f t="shared" si="49"/>
        <v>1845778.3860868532</v>
      </c>
      <c r="H160" s="268">
        <f t="shared" si="49"/>
        <v>1086347.8093818468</v>
      </c>
      <c r="I160" s="268">
        <f t="shared" si="49"/>
        <v>1058507.1743301908</v>
      </c>
      <c r="J160" s="268">
        <f t="shared" si="49"/>
        <v>672165.60509204015</v>
      </c>
    </row>
    <row r="161" spans="1:10" x14ac:dyDescent="0.25">
      <c r="A161" s="4" t="s">
        <v>464</v>
      </c>
      <c r="B161" s="268">
        <f t="shared" si="50"/>
        <v>800365.63595473359</v>
      </c>
      <c r="C161" s="268">
        <f t="shared" si="49"/>
        <v>810977.59844890388</v>
      </c>
      <c r="D161" s="268">
        <f t="shared" si="49"/>
        <v>810862.45595055388</v>
      </c>
      <c r="E161" s="268">
        <f t="shared" si="49"/>
        <v>785973.71279046871</v>
      </c>
      <c r="F161" s="268">
        <f t="shared" si="49"/>
        <v>777436.34399773658</v>
      </c>
      <c r="G161" s="268">
        <f t="shared" si="49"/>
        <v>1870575.0428393641</v>
      </c>
      <c r="H161" s="268">
        <f t="shared" si="49"/>
        <v>1149008.1431371656</v>
      </c>
      <c r="I161" s="268">
        <f t="shared" si="49"/>
        <v>1113358.3632725931</v>
      </c>
      <c r="J161" s="268">
        <f t="shared" si="49"/>
        <v>732293.24599700549</v>
      </c>
    </row>
    <row r="162" spans="1:10" x14ac:dyDescent="0.25">
      <c r="A162" s="4" t="s">
        <v>465</v>
      </c>
      <c r="B162" s="268">
        <f t="shared" si="50"/>
        <v>877011.29044000246</v>
      </c>
      <c r="C162" s="268">
        <f t="shared" si="49"/>
        <v>889689.10758673085</v>
      </c>
      <c r="D162" s="268">
        <f t="shared" si="49"/>
        <v>889549.25232763297</v>
      </c>
      <c r="E162" s="268">
        <f t="shared" si="49"/>
        <v>859402.18039626407</v>
      </c>
      <c r="F162" s="268">
        <f t="shared" si="49"/>
        <v>838472.96897302335</v>
      </c>
      <c r="G162" s="268">
        <f t="shared" si="49"/>
        <v>1896743.878886516</v>
      </c>
      <c r="H162" s="268">
        <f t="shared" si="49"/>
        <v>1213167.2121780356</v>
      </c>
      <c r="I162" s="268">
        <f t="shared" si="49"/>
        <v>1169692.4781945285</v>
      </c>
      <c r="J162" s="268">
        <f t="shared" si="49"/>
        <v>794376.24141422613</v>
      </c>
    </row>
    <row r="163" spans="1:10" x14ac:dyDescent="0.25">
      <c r="A163" s="4" t="s">
        <v>466</v>
      </c>
      <c r="B163" s="268">
        <f t="shared" si="50"/>
        <v>956196.8198018996</v>
      </c>
      <c r="C163" s="268">
        <f t="shared" si="49"/>
        <v>970920.5820094503</v>
      </c>
      <c r="D163" s="268">
        <f t="shared" si="49"/>
        <v>970755.42088334658</v>
      </c>
      <c r="E163" s="268">
        <f t="shared" si="49"/>
        <v>935251.21493093693</v>
      </c>
      <c r="F163" s="268">
        <f t="shared" si="49"/>
        <v>901621.25161744922</v>
      </c>
      <c r="G163" s="268">
        <f t="shared" si="49"/>
        <v>1924280.6547158815</v>
      </c>
      <c r="H163" s="268">
        <f t="shared" si="49"/>
        <v>1278779.2445030052</v>
      </c>
      <c r="I163" s="268">
        <f t="shared" si="49"/>
        <v>1227463.3676712005</v>
      </c>
      <c r="J163" s="268">
        <f t="shared" si="49"/>
        <v>858971.472907305</v>
      </c>
    </row>
    <row r="164" spans="1:10" x14ac:dyDescent="0.25">
      <c r="A164" s="4" t="s">
        <v>467</v>
      </c>
      <c r="B164" s="268">
        <f t="shared" si="50"/>
        <v>1038027.082813662</v>
      </c>
      <c r="C164" s="268">
        <f t="shared" si="49"/>
        <v>1054776.4026600972</v>
      </c>
      <c r="D164" s="268">
        <f t="shared" si="49"/>
        <v>1054585.3283261796</v>
      </c>
      <c r="E164" s="268">
        <f t="shared" si="49"/>
        <v>1013622.8117769781</v>
      </c>
      <c r="F164" s="268">
        <f t="shared" si="49"/>
        <v>966611.27619284845</v>
      </c>
      <c r="G164" s="268">
        <f t="shared" si="49"/>
        <v>1953228.8509728499</v>
      </c>
      <c r="H164" s="268">
        <f t="shared" si="49"/>
        <v>1345913.1332520791</v>
      </c>
      <c r="I164" s="268">
        <f t="shared" si="49"/>
        <v>1286739.5363131093</v>
      </c>
      <c r="J164" s="268">
        <f t="shared" si="49"/>
        <v>925887.47638208664</v>
      </c>
    </row>
    <row r="165" spans="1:10" x14ac:dyDescent="0.25">
      <c r="A165" s="4" t="s">
        <v>468</v>
      </c>
      <c r="B165" s="268">
        <f t="shared" si="50"/>
        <v>1122329.1638990133</v>
      </c>
      <c r="C165" s="268">
        <f t="shared" si="49"/>
        <v>1141083.164664269</v>
      </c>
      <c r="D165" s="268">
        <f t="shared" si="49"/>
        <v>1140865.5552055498</v>
      </c>
      <c r="E165" s="268">
        <f t="shared" si="49"/>
        <v>1094341.1232459873</v>
      </c>
      <c r="F165" s="268">
        <f t="shared" si="49"/>
        <v>1034377.9800578096</v>
      </c>
      <c r="G165" s="268">
        <f t="shared" si="49"/>
        <v>1983647.8782884288</v>
      </c>
      <c r="H165" s="268">
        <f t="shared" si="49"/>
        <v>1414609.4895260462</v>
      </c>
      <c r="I165" s="268">
        <f t="shared" si="49"/>
        <v>1347561.1973668307</v>
      </c>
      <c r="J165" s="268">
        <f t="shared" si="49"/>
        <v>996358.43727867899</v>
      </c>
    </row>
    <row r="166" spans="1:10" x14ac:dyDescent="0.25">
      <c r="A166" s="4" t="s">
        <v>469</v>
      </c>
      <c r="B166" s="268">
        <f t="shared" si="50"/>
        <v>1210064.877511791</v>
      </c>
      <c r="C166" s="268">
        <f t="shared" si="49"/>
        <v>1230802.1814345215</v>
      </c>
      <c r="D166" s="268">
        <f t="shared" si="49"/>
        <v>1230557.4000080056</v>
      </c>
      <c r="E166" s="268">
        <f t="shared" si="49"/>
        <v>1178364.9613089873</v>
      </c>
      <c r="F166" s="268">
        <f t="shared" si="49"/>
        <v>1104077.7149280233</v>
      </c>
      <c r="G166" s="268">
        <f t="shared" si="49"/>
        <v>2015456.3963030418</v>
      </c>
      <c r="H166" s="268">
        <f t="shared" si="49"/>
        <v>1486193.0706090629</v>
      </c>
      <c r="I166" s="268">
        <f t="shared" si="49"/>
        <v>1411252.7007138075</v>
      </c>
      <c r="J166" s="268">
        <f t="shared" si="49"/>
        <v>1068832.5659206638</v>
      </c>
    </row>
    <row r="167" spans="1:10" x14ac:dyDescent="0.25">
      <c r="A167" s="4" t="s">
        <v>470</v>
      </c>
      <c r="B167" s="268">
        <f t="shared" si="50"/>
        <v>1300437.8197259635</v>
      </c>
      <c r="C167" s="268">
        <f t="shared" si="49"/>
        <v>1323136.5359785508</v>
      </c>
      <c r="D167" s="268">
        <f t="shared" si="49"/>
        <v>1322863.9304570111</v>
      </c>
      <c r="E167" s="268">
        <f t="shared" si="49"/>
        <v>1264894.847497544</v>
      </c>
      <c r="F167" s="268">
        <f t="shared" si="49"/>
        <v>1175983.35251447</v>
      </c>
      <c r="G167" s="268">
        <f t="shared" si="49"/>
        <v>2048791.879496289</v>
      </c>
      <c r="H167" s="268">
        <f t="shared" si="49"/>
        <v>1559230.3102990892</v>
      </c>
      <c r="I167" s="268">
        <f t="shared" si="49"/>
        <v>1476380.0629716201</v>
      </c>
      <c r="J167" s="268">
        <f t="shared" si="49"/>
        <v>1143990.5448473564</v>
      </c>
    </row>
    <row r="168" spans="1:10" x14ac:dyDescent="0.25">
      <c r="A168" s="4" t="s">
        <v>471</v>
      </c>
      <c r="B168" s="268">
        <f t="shared" si="50"/>
        <v>1393565.8351921316</v>
      </c>
      <c r="C168" s="268">
        <f t="shared" si="49"/>
        <v>1418203.5475670949</v>
      </c>
      <c r="D168" s="268">
        <f t="shared" si="49"/>
        <v>1417902.4501722509</v>
      </c>
      <c r="E168" s="268">
        <f t="shared" si="49"/>
        <v>1354045.4781308379</v>
      </c>
      <c r="F168" s="268">
        <f t="shared" si="49"/>
        <v>1249850.2949589586</v>
      </c>
      <c r="G168" s="268">
        <f t="shared" si="49"/>
        <v>2083585.753038117</v>
      </c>
      <c r="H168" s="268">
        <f t="shared" si="49"/>
        <v>1634112.083241676</v>
      </c>
      <c r="I168" s="268">
        <f t="shared" si="49"/>
        <v>1543333.7315931118</v>
      </c>
      <c r="J168" s="268">
        <f t="shared" si="49"/>
        <v>1221345.748919999</v>
      </c>
    </row>
    <row r="169" spans="1:10" x14ac:dyDescent="0.25">
      <c r="A169" s="4" t="s">
        <v>472</v>
      </c>
      <c r="B169" s="268">
        <f t="shared" si="50"/>
        <v>1489189.5296957709</v>
      </c>
      <c r="C169" s="268">
        <f t="shared" si="49"/>
        <v>1515743.28399665</v>
      </c>
      <c r="D169" s="268">
        <f t="shared" si="49"/>
        <v>1515413.0109235423</v>
      </c>
      <c r="E169" s="268">
        <f t="shared" si="49"/>
        <v>1445554.2351029706</v>
      </c>
      <c r="F169" s="268">
        <f t="shared" si="49"/>
        <v>1325615.7137195438</v>
      </c>
      <c r="G169" s="268">
        <f t="shared" si="49"/>
        <v>2119992.022596145</v>
      </c>
      <c r="H169" s="268">
        <f t="shared" si="49"/>
        <v>1710757.2472391222</v>
      </c>
      <c r="I169" s="268">
        <f t="shared" si="49"/>
        <v>1612032.126935248</v>
      </c>
      <c r="J169" s="268">
        <f t="shared" si="49"/>
        <v>1301176.9534196348</v>
      </c>
    </row>
    <row r="170" spans="1:10" x14ac:dyDescent="0.25">
      <c r="A170" s="4" t="s">
        <v>473</v>
      </c>
      <c r="B170" s="268">
        <f t="shared" si="50"/>
        <v>1587272.988016495</v>
      </c>
      <c r="C170" s="268">
        <f t="shared" si="49"/>
        <v>1615719.2791461144</v>
      </c>
      <c r="D170" s="268">
        <f t="shared" si="49"/>
        <v>1615359.1301784648</v>
      </c>
      <c r="E170" s="268">
        <f t="shared" si="49"/>
        <v>1539381.9019287885</v>
      </c>
      <c r="F170" s="268">
        <f t="shared" si="49"/>
        <v>1403314.1697683851</v>
      </c>
      <c r="G170" s="268">
        <f t="shared" si="49"/>
        <v>2157942.3881613421</v>
      </c>
      <c r="H170" s="268">
        <f t="shared" si="49"/>
        <v>1789150.8189479308</v>
      </c>
      <c r="I170" s="268">
        <f t="shared" si="49"/>
        <v>1682459.8177105109</v>
      </c>
      <c r="J170" s="268">
        <f t="shared" si="49"/>
        <v>1383281.8328053881</v>
      </c>
    </row>
    <row r="171" spans="1:10" x14ac:dyDescent="0.25">
      <c r="A171" s="4" t="s">
        <v>474</v>
      </c>
      <c r="B171" s="268">
        <f t="shared" si="50"/>
        <v>1687913.2560491685</v>
      </c>
      <c r="C171" s="268">
        <f t="shared" si="49"/>
        <v>1718228.0147880206</v>
      </c>
      <c r="D171" s="268">
        <f t="shared" si="49"/>
        <v>1717837.2729043602</v>
      </c>
      <c r="E171" s="268">
        <f t="shared" si="49"/>
        <v>1635622.1440080346</v>
      </c>
      <c r="F171" s="268">
        <f t="shared" si="49"/>
        <v>1483055.1852271336</v>
      </c>
      <c r="G171" s="268">
        <f t="shared" si="49"/>
        <v>2197370.0320611103</v>
      </c>
      <c r="H171" s="268">
        <f t="shared" si="49"/>
        <v>1869330.8189921577</v>
      </c>
      <c r="I171" s="268">
        <f t="shared" si="49"/>
        <v>1754654.3658482784</v>
      </c>
      <c r="J171" s="268">
        <f t="shared" si="49"/>
        <v>1467941.9101793144</v>
      </c>
    </row>
    <row r="172" spans="1:10" x14ac:dyDescent="0.25">
      <c r="A172" s="4"/>
      <c r="B172" s="268"/>
      <c r="C172" s="268"/>
      <c r="D172" s="268"/>
      <c r="E172" s="268"/>
      <c r="F172" s="268"/>
      <c r="G172" s="268"/>
      <c r="H172" s="268"/>
      <c r="I172" s="268"/>
      <c r="J172" s="26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0B32-4EB8-4D14-AE9D-491F2D88B95F}">
  <sheetPr codeName="Sheet6"/>
  <dimension ref="A1:N172"/>
  <sheetViews>
    <sheetView workbookViewId="0">
      <selection activeCell="L32" sqref="L32"/>
    </sheetView>
  </sheetViews>
  <sheetFormatPr defaultRowHeight="15" x14ac:dyDescent="0.25"/>
  <cols>
    <col min="1" max="1" width="31.5703125" customWidth="1"/>
    <col min="2" max="5" width="11.5703125" bestFit="1" customWidth="1"/>
    <col min="6" max="6" width="12.42578125" bestFit="1" customWidth="1"/>
    <col min="7" max="7" width="11.5703125" bestFit="1" customWidth="1"/>
    <col min="8" max="9" width="10" bestFit="1" customWidth="1"/>
    <col min="10" max="10" width="10.140625" customWidth="1"/>
    <col min="11" max="11" width="10.42578125" customWidth="1"/>
    <col min="14" max="14" width="12.140625" customWidth="1"/>
  </cols>
  <sheetData>
    <row r="1" spans="1:14" ht="51.75" x14ac:dyDescent="0.25">
      <c r="A1" s="250" t="str">
        <f>Inputs!E5</f>
        <v>Battery Electric</v>
      </c>
      <c r="B1" s="90" t="s">
        <v>1</v>
      </c>
      <c r="C1" s="108" t="s">
        <v>149</v>
      </c>
      <c r="D1" s="90" t="s">
        <v>150</v>
      </c>
      <c r="E1" s="108" t="s">
        <v>151</v>
      </c>
      <c r="F1" s="90" t="s">
        <v>152</v>
      </c>
      <c r="G1" s="126" t="s">
        <v>154</v>
      </c>
      <c r="H1" s="90" t="s">
        <v>155</v>
      </c>
      <c r="I1" s="126" t="s">
        <v>156</v>
      </c>
      <c r="J1" s="114" t="s">
        <v>124</v>
      </c>
      <c r="K1" s="126" t="s">
        <v>735</v>
      </c>
    </row>
    <row r="2" spans="1:14" x14ac:dyDescent="0.25">
      <c r="A2" s="251" t="s">
        <v>446</v>
      </c>
      <c r="B2" s="252">
        <f>Inputs!$B$14</f>
        <v>5</v>
      </c>
      <c r="C2" s="252">
        <f>Inputs!$B$14</f>
        <v>5</v>
      </c>
      <c r="D2" s="252">
        <f>Inputs!$B$14</f>
        <v>5</v>
      </c>
      <c r="E2" s="252">
        <f>Inputs!$B$14</f>
        <v>5</v>
      </c>
      <c r="F2" s="252">
        <f>Inputs!$B$14</f>
        <v>5</v>
      </c>
      <c r="G2" s="252">
        <f>Inputs!$B$14</f>
        <v>5</v>
      </c>
      <c r="H2" s="252">
        <f>Inputs!$B$14</f>
        <v>5</v>
      </c>
      <c r="I2" s="252">
        <f>Inputs!$B$14</f>
        <v>5</v>
      </c>
      <c r="J2" s="252">
        <f>Inputs!$B$14</f>
        <v>5</v>
      </c>
      <c r="K2" s="252">
        <f>Inputs!$B$14</f>
        <v>5</v>
      </c>
      <c r="L2" s="5"/>
      <c r="M2" s="5" t="s">
        <v>767</v>
      </c>
    </row>
    <row r="3" spans="1:14" x14ac:dyDescent="0.25">
      <c r="A3" s="251" t="s">
        <v>480</v>
      </c>
      <c r="B3" s="253">
        <f>Inputs!$B$23</f>
        <v>15000</v>
      </c>
      <c r="C3" s="253">
        <f>Inputs!$B$23</f>
        <v>15000</v>
      </c>
      <c r="D3" s="253">
        <f>Inputs!$B$23</f>
        <v>15000</v>
      </c>
      <c r="E3" s="253">
        <f>Inputs!$B$23</f>
        <v>15000</v>
      </c>
      <c r="F3" s="253">
        <f>Inputs!$B$23</f>
        <v>15000</v>
      </c>
      <c r="G3" s="253">
        <f>Inputs!$B$23</f>
        <v>15000</v>
      </c>
      <c r="H3" s="253">
        <f>Inputs!$B$23</f>
        <v>15000</v>
      </c>
      <c r="I3" s="253">
        <f>Inputs!$B$23</f>
        <v>15000</v>
      </c>
      <c r="J3" s="253">
        <f>Inputs!$B$23</f>
        <v>15000</v>
      </c>
      <c r="K3" s="253">
        <f>Inputs!$B$23</f>
        <v>15000</v>
      </c>
      <c r="M3" t="s">
        <v>770</v>
      </c>
    </row>
    <row r="4" spans="1:14" x14ac:dyDescent="0.25">
      <c r="A4" s="251" t="s">
        <v>447</v>
      </c>
      <c r="B4" s="253">
        <f>Inputs!$B$24</f>
        <v>75000</v>
      </c>
      <c r="C4" s="253">
        <f>Inputs!$B$24</f>
        <v>75000</v>
      </c>
      <c r="D4" s="253">
        <f>Inputs!$B$24</f>
        <v>75000</v>
      </c>
      <c r="E4" s="253">
        <f>Inputs!$B$24</f>
        <v>75000</v>
      </c>
      <c r="F4" s="253">
        <f>Inputs!$B$24</f>
        <v>75000</v>
      </c>
      <c r="G4" s="253">
        <f>Inputs!$B$24</f>
        <v>75000</v>
      </c>
      <c r="H4" s="253">
        <f>Inputs!$B$24</f>
        <v>75000</v>
      </c>
      <c r="I4" s="253">
        <f>Inputs!$B$24</f>
        <v>75000</v>
      </c>
      <c r="J4" s="253">
        <f>Inputs!$B$24</f>
        <v>75000</v>
      </c>
      <c r="K4" s="253">
        <f>Inputs!$B$24</f>
        <v>75000</v>
      </c>
      <c r="M4" t="s">
        <v>768</v>
      </c>
      <c r="N4" s="36">
        <f>Inputs!E8</f>
        <v>250000</v>
      </c>
    </row>
    <row r="5" spans="1:14" x14ac:dyDescent="0.25">
      <c r="A5" s="251" t="s">
        <v>448</v>
      </c>
      <c r="B5" s="255">
        <f>IF(Inputs!$E$5=$B$1,IF(Inputs!$E$30=Inputs!$F$30,'School Bus Table'!F17,(E10*Inputs!$E$32)/Inputs!$B$24),'School Bus Table'!F17)</f>
        <v>0.32429003797429834</v>
      </c>
      <c r="C5" s="255">
        <f>IF(Inputs!$E$5=$B$1,IF(Inputs!$E$30=Inputs!$F$30,'School Bus Table'!F27,(C10*Inputs!$E$32)/Inputs!$B$24),'School Bus Table'!F27)</f>
        <v>0.36289565097282128</v>
      </c>
      <c r="D5" s="255">
        <f>IF(Inputs!$E$5=$B$1,IF(Inputs!$E$30=Inputs!$F$30,'School Bus Table'!F40,(D10*Inputs!$E$32)/Inputs!$B$24),'School Bus Table'!F40)</f>
        <v>0.36289565097282128</v>
      </c>
      <c r="E5" s="255">
        <f>IF(Inputs!$E$5=$B$1,IF(Inputs!$E$30=Inputs!$F$30,'School Bus Table'!F53,(E10*Inputs!$E$32)/Inputs!$B$24),'School Bus Table'!F53)</f>
        <v>0.34767640610956646</v>
      </c>
      <c r="F5" s="255">
        <f>IF(Inputs!$E$5=$B$1,IF(Inputs!$E$30=Inputs!$F$30,'School Bus Table'!F68,(F10*Inputs!$E$32)/Inputs!$B$24),'School Bus Table'!F68)</f>
        <v>0.31659822092845186</v>
      </c>
      <c r="G5" s="255">
        <f>IF(Inputs!$E$5=$B$1,IF(Inputs!$E$30=Inputs!$F$30,'School Bus Table'!F93,(G10*Inputs!$E$32)/Inputs!$B$24),'School Bus Table'!F93)</f>
        <v>0.23160871843174269</v>
      </c>
      <c r="H5" s="255">
        <f>IF(Inputs!$E$5=$B$1,IF(Inputs!$E$30=Inputs!$E$30,'School Bus Table'!F105,(H10*Inputs!$E$32)/Inputs!$B$24),'School Bus Table'!F105)</f>
        <v>0.1545080084745763</v>
      </c>
      <c r="I5" s="255">
        <f>IF(Inputs!$E$5=$B$1,IF(Inputs!$E$30=Inputs!$F$30,'School Bus Table'!F116,(I10*Inputs!$E$32)/Inputs!$B$24),'School Bus Table'!F116)</f>
        <v>5.9169025423728823E-2</v>
      </c>
      <c r="J5" s="255">
        <f>IF(Inputs!$E$5=$B$1,IF(Inputs!$E$30=Inputs!$F$30,'School Bus Table'!F129,(J10*Inputs!$E$32)/Inputs!$B$24),'School Bus Table'!F129)</f>
        <v>0.31792701095935222</v>
      </c>
      <c r="K5" s="255">
        <f>IF(Inputs!$E$5=$B$1,IF(Inputs!$E$30=Inputs!$F$30,'School Bus Table'!F79,(K10*Inputs!$E$32)/Inputs!$B$24),'School Bus Table'!F79)</f>
        <v>0</v>
      </c>
      <c r="L5" s="459"/>
      <c r="M5" s="459">
        <f>Inputs!E10</f>
        <v>0</v>
      </c>
      <c r="N5" s="36">
        <f>N4*0.3</f>
        <v>75000</v>
      </c>
    </row>
    <row r="6" spans="1:14" x14ac:dyDescent="0.25">
      <c r="A6" s="251" t="s">
        <v>481</v>
      </c>
      <c r="B6" s="254">
        <f>B5*B4</f>
        <v>24321.752848072374</v>
      </c>
      <c r="C6" s="254">
        <f>C5*C4</f>
        <v>27217.173822961595</v>
      </c>
      <c r="D6" s="254">
        <f t="shared" ref="D6:K6" si="0">D5*D4</f>
        <v>27217.173822961595</v>
      </c>
      <c r="E6" s="254">
        <f t="shared" si="0"/>
        <v>26075.730458217484</v>
      </c>
      <c r="F6" s="254">
        <f t="shared" si="0"/>
        <v>23744.86656963389</v>
      </c>
      <c r="G6" s="254">
        <f t="shared" si="0"/>
        <v>17370.653882380702</v>
      </c>
      <c r="H6" s="254">
        <f t="shared" si="0"/>
        <v>11588.100635593222</v>
      </c>
      <c r="I6" s="254">
        <f t="shared" si="0"/>
        <v>4437.6769067796613</v>
      </c>
      <c r="J6" s="254">
        <f t="shared" si="0"/>
        <v>23844.525821951418</v>
      </c>
      <c r="K6" s="254">
        <f t="shared" si="0"/>
        <v>0</v>
      </c>
      <c r="N6" s="131">
        <v>50000</v>
      </c>
    </row>
    <row r="7" spans="1:14" x14ac:dyDescent="0.25">
      <c r="A7" s="251" t="s">
        <v>705</v>
      </c>
      <c r="B7" s="254">
        <f>IF(Inputs!$E$5=B1,IF(Inputs!$E$29=Inputs!$F$29,'Default Data'!M2*'School Bus Table'!$D$10,Inputs!$E$29*'School Bus Table'!$D$10),'Default Data'!M2*'School Bus Table'!$D$10)</f>
        <v>35813.581730769227</v>
      </c>
      <c r="C7" s="254">
        <f>IF(Inputs!$E$5=C1,IF(Inputs!$E$29=Inputs!$F$29,'Default Data'!M3*'School Bus Table'!$D$10,Inputs!$E$29*'School Bus Table'!$D$10),'Default Data'!M3*'School Bus Table'!$D$10)</f>
        <v>35250</v>
      </c>
      <c r="D7" s="254">
        <f>IF(Inputs!$E$5=D1,IF(Inputs!$E$29=Inputs!$F$29,'Default Data'!M4*'School Bus Table'!$D$10,Inputs!$E$29*'School Bus Table'!$D$10),'Default Data'!M4*'School Bus Table'!$D$10)</f>
        <v>35250</v>
      </c>
      <c r="E7" s="254">
        <f>IF(Inputs!$E$5=E1,IF(Inputs!$E$29=Inputs!$F$29,'Default Data'!M5*'School Bus Table'!$D$10,Inputs!$E$29*'School Bus Table'!$D$10),'Default Data'!M5*'School Bus Table'!$D$10)</f>
        <v>32250</v>
      </c>
      <c r="F7" s="254">
        <f>IF(Inputs!$E$5=F1,IF(Inputs!$E$29=Inputs!$F$29,'Default Data'!M6*'School Bus Table'!$D$10,Inputs!$E$29*'School Bus Table'!$D$10),'Default Data'!M6*'School Bus Table'!$D$10)</f>
        <v>26760.000000000004</v>
      </c>
      <c r="G7" s="254">
        <f>IF(Inputs!$E$5=G1,IF(Inputs!$E$29=Inputs!$F$29,'Default Data'!M7*'School Bus Table'!$D$10,Inputs!$E$29*'School Bus Table'!$D$10),'Default Data'!M7*'School Bus Table'!$D$10)</f>
        <v>32250</v>
      </c>
      <c r="H7" s="254">
        <f>IF(Inputs!$E$5=H1,IF(Inputs!$E$29=Inputs!$F$29,'Default Data'!M8*'School Bus Table'!$D$10,Inputs!$E$29*'School Bus Table'!$D$10),'Default Data'!M8*'School Bus Table'!$D$10)</f>
        <v>36000</v>
      </c>
      <c r="I7" s="254">
        <f>IF(Inputs!$E$5=I1,IF(Inputs!$E$29=Inputs!$F$29,'Default Data'!M9*'School Bus Table'!$D$10,Inputs!$E$29*'School Bus Table'!$D$10),'Default Data'!M9*'School Bus Table'!$D$10)</f>
        <v>36000</v>
      </c>
      <c r="J7" s="254">
        <f>IF(Inputs!$E$5=J1,IF(Inputs!$E$29=Inputs!$F$29,'Default Data'!M10*'School Bus Table'!$D$10,Inputs!$E$29*'School Bus Table'!$D$10),'Default Data'!M10*'School Bus Table'!$D$10)</f>
        <v>27000</v>
      </c>
      <c r="K7" s="254">
        <f>IF(Inputs!$E$5=K1,IF(Inputs!$E$29=Inputs!$F$29,'Default Data'!M11*'School Bus Table'!$D$10,Inputs!$E$29*'School Bus Table'!$D$10),'Default Data'!M11*'School Bus Table'!$D$10)</f>
        <v>26760.000000000004</v>
      </c>
      <c r="L7" s="3"/>
      <c r="M7" s="3" t="s">
        <v>771</v>
      </c>
      <c r="N7" s="36">
        <f>IF(N5&lt;50000,N5,50000)</f>
        <v>50000</v>
      </c>
    </row>
    <row r="8" spans="1:14" x14ac:dyDescent="0.25">
      <c r="A8" s="251" t="s">
        <v>706</v>
      </c>
      <c r="B8" s="254">
        <f>IF(Inputs!$E$5=$B$1,IF(Inputs!$E$33=Inputs!$F$33,'Default Data'!$P2,Inputs!$E$33*$B$10),'Default Data'!$P2)</f>
        <v>221.56573116691285</v>
      </c>
      <c r="C8" s="254">
        <f>IF(Inputs!$E$5=$B$1,IF(Inputs!$E$33=Inputs!$F$33,'Default Data'!$P3,Inputs!$E$33*$B$10),'Default Data'!$P3)</f>
        <v>221.56573116691285</v>
      </c>
      <c r="D8" s="254">
        <f>IF(Inputs!$E$5=$B$1,IF(Inputs!$E$33=Inputs!$F$33,'Default Data'!$P4,Inputs!$E$33*$B$10),'Default Data'!$P4)</f>
        <v>221.56573116691285</v>
      </c>
      <c r="E8" s="254">
        <f>IF(Inputs!$E$5=$B$1,IF(Inputs!$E$33=Inputs!$F$33,'Default Data'!$P5,Inputs!$E$33*$B$10),'Default Data'!$P5)</f>
        <v>221.56573116691285</v>
      </c>
      <c r="F8" s="254">
        <f>IF(Inputs!$E$5=$B$1,IF(Inputs!$E$33=Inputs!$F$33,'Default Data'!$P6,Inputs!$E$33*$B$10),'Default Data'!$P6)</f>
        <v>0</v>
      </c>
      <c r="G8" s="254">
        <f>IF(Inputs!$E$5=$B$1,IF(Inputs!$E$33=Inputs!$F$33,'Default Data'!$P7,Inputs!$E$33*$B$10),'Default Data'!$P7)</f>
        <v>74.687911691327599</v>
      </c>
      <c r="H8" s="254">
        <f>IF(Inputs!$E$5=$B$1,IF(Inputs!$E$33=Inputs!$F$33,'Default Data'!$P8,Inputs!$E$33*$B$10),'Default Data'!$P8)</f>
        <v>4449.1525423728817</v>
      </c>
      <c r="I8" s="254">
        <f>IF(Inputs!$E$5=$B$1,IF(Inputs!$E$33=Inputs!$F$33,'Default Data'!$P9,Inputs!$E$33*$B$10),'Default Data'!$P9)</f>
        <v>4449.1525423728817</v>
      </c>
      <c r="J8" s="254">
        <f>IF(Inputs!$E$5=$B$1,IF(Inputs!$E$33=Inputs!$F$33,'Default Data'!$P10,Inputs!$E$33*$B$10),'Default Data'!$P10)</f>
        <v>235.10971786833855</v>
      </c>
      <c r="K8" s="254">
        <f>IF(Inputs!$E$5=$B$1,IF(Inputs!$E$33=Inputs!$F$33,'Default Data'!$P11,Inputs!$E$33*$B$10),'Default Data'!$P11)</f>
        <v>0</v>
      </c>
      <c r="M8" s="461" t="s">
        <v>797</v>
      </c>
      <c r="N8" s="43">
        <f>N4-N7</f>
        <v>200000</v>
      </c>
    </row>
    <row r="9" spans="1:14" x14ac:dyDescent="0.25">
      <c r="A9" s="108" t="s">
        <v>449</v>
      </c>
      <c r="B9" s="256">
        <f>IF(Inputs!$E$5=$B$1,IF(Inputs!$E$31=Inputs!$F$31,'School Bus Table'!F21,Inputs!E31*Inputs!E24),'School Bus Table'!F21)</f>
        <v>567.20827178729689</v>
      </c>
      <c r="C9" s="256">
        <f>IF(Inputs!$E$5=$B$1,IF(Inputs!$E$31=Inputs!$F$31,'School Bus Table'!F31,Inputs!$E$31*Inputs!$E$24),'School Bus Table'!F31)</f>
        <v>510.48744460856722</v>
      </c>
      <c r="D9" s="256">
        <f>IF(Inputs!$E$5=$B$1,IF(Inputs!$E$31=Inputs!$F$31,'School Bus Table'!F44,Inputs!$E$31*Inputs!$E$24),'School Bus Table'!F44)</f>
        <v>510.48744460856722</v>
      </c>
      <c r="E9" s="256">
        <f>IF(Inputs!$E$5=$B$1,IF(Inputs!$E$31=Inputs!$F$31,'School Bus Table'!F57,Inputs!$E$31*Inputs!$E$24),'School Bus Table'!F57)</f>
        <v>453.76661742983754</v>
      </c>
      <c r="F9" s="256">
        <f>IF(Inputs!$E$5=$B$1,IF(Inputs!$E$31=Inputs!$F$31,'Default Data'!L6,Inputs!$E$31*Inputs!$E$24),'Default Data'!L6)</f>
        <v>0</v>
      </c>
      <c r="G9" s="256">
        <f>IF(Inputs!$E$5=$B$1,IF(Inputs!$E$31=Inputs!$F$31,'Default Data'!L7,Inputs!$E$31*Inputs!$E$24),'Default Data'!L7)</f>
        <v>0</v>
      </c>
      <c r="H9" s="256">
        <f>IF(Inputs!$E$5=$B$1,IF(Inputs!$E$31=Inputs!$F$31,'School Bus Table'!F108,Inputs!$E$31*Inputs!$E$24),'School Bus Table'!F108)</f>
        <v>3416.9491525423728</v>
      </c>
      <c r="I9" s="256">
        <f>IF(Inputs!$E$5=$B$1,IF(Inputs!$E$31=Inputs!$F$31,'School Bus Table'!F108,Inputs!$E$31*Inputs!$E$24),'School Bus Table'!F108)</f>
        <v>3416.9491525423728</v>
      </c>
      <c r="J9" s="256">
        <f>IF(Inputs!$E$5=$B$1,IF(Inputs!$E$31=Inputs!$F$31,'Default Data'!L10,Inputs!$E$31*Inputs!$E$24),'Default Data'!L10)</f>
        <v>0</v>
      </c>
      <c r="K9" s="256">
        <f>IF(Inputs!$E$5=$B$1,IF(Inputs!$E$31=Inputs!$F$31,'Default Data'!L11,Inputs!$E$31*Inputs!$E$24),'Default Data'!L11)</f>
        <v>0</v>
      </c>
    </row>
    <row r="10" spans="1:14" x14ac:dyDescent="0.25">
      <c r="A10" s="108" t="s">
        <v>579</v>
      </c>
      <c r="B10" s="270">
        <f>IF(Inputs!$E$5=$B$1,IF(Inputs!$E$30=Inputs!$F$30,'School Bus Table'!F19,B4/Inputs!$E$30),'School Bus Table'!F19)</f>
        <v>11078.286558345642</v>
      </c>
      <c r="C10" s="270">
        <f>IF(Inputs!$E$5=$B$1,IF(Inputs!$E$30=Inputs!$F$30,'School Bus Table'!F29,C4/Inputs!$E$30),'School Bus Table'!F29)</f>
        <v>11078.286558345642</v>
      </c>
      <c r="D10" s="270">
        <f>IF(Inputs!$E$5=$B$1,IF(Inputs!$E$30=Inputs!$F$30,'School Bus Table'!F42,D4/Inputs!$E$30),'School Bus Table'!F42)</f>
        <v>11078.286558345642</v>
      </c>
      <c r="E10" s="270">
        <f>IF(Inputs!$E$5=$B$1,IF(Inputs!$E$30=Inputs!$F$30,'School Bus Table'!F55,E4/Inputs!$E$30),'School Bus Table'!F55)</f>
        <v>11078.286558345642</v>
      </c>
      <c r="F10" s="270">
        <f>IF(Inputs!$E$5=$B$1,IF(Inputs!$E$30=Inputs!$F$30,'School Bus Table'!F70,F4/Inputs!$E$30),'School Bus Table'!F70)</f>
        <v>17772.511848341233</v>
      </c>
      <c r="G10" s="270">
        <f>IF(Inputs!$E$5=$B$1,IF(Inputs!$E$30=Inputs!$F$30,'School Bus Table'!B11*12,G4/Inputs!$E$30),'School Bus Table'!B11*12)</f>
        <v>139500</v>
      </c>
      <c r="H10" s="270">
        <f>IF(Inputs!$E$5=$B$1,IF(Inputs!$E$30=Inputs!$F$30,'School Bus Table'!F111,H4/Inputs!$E$30),'School Bus Table'!F111)</f>
        <v>15889.830508474577</v>
      </c>
      <c r="I10" s="270">
        <f>IF(Inputs!$E$5=$B$1,IF(Inputs!$E$30=Inputs!$F$30,'School Bus Table'!F111,I4/Inputs!$E$30),'School Bus Table'!F111)</f>
        <v>15889.830508474577</v>
      </c>
      <c r="J10" s="270">
        <f>IF(Inputs!$E$5=$B$1,IF(Inputs!$E$30=Inputs!$F$30,'School Bus Table'!F131,J4/Inputs!$E$30),'School Bus Table'!F131)</f>
        <v>11755.485893416928</v>
      </c>
      <c r="K10" s="270">
        <f>IF(Inputs!$E$5=$B$1,IF(Inputs!$E$30=Inputs!$F$30,'School Bus Table'!F81,K4/Inputs!$E$30),'School Bus Table'!F81)</f>
        <v>17772.511848341233</v>
      </c>
    </row>
    <row r="11" spans="1:14" x14ac:dyDescent="0.25">
      <c r="A11" s="258" t="s">
        <v>450</v>
      </c>
      <c r="B11" s="259">
        <f>Inputs!$B$25</f>
        <v>2.4E-2</v>
      </c>
      <c r="C11" s="259">
        <f>Inputs!$B$25</f>
        <v>2.4E-2</v>
      </c>
      <c r="D11" s="259">
        <f>Inputs!$B$25</f>
        <v>2.4E-2</v>
      </c>
      <c r="E11" s="259">
        <f>Inputs!$B$25</f>
        <v>2.4E-2</v>
      </c>
      <c r="F11" s="259">
        <f>Inputs!$B$25</f>
        <v>2.4E-2</v>
      </c>
      <c r="G11" s="259">
        <f>Inputs!$B$25</f>
        <v>2.4E-2</v>
      </c>
      <c r="H11" s="259">
        <f>Inputs!$B$25</f>
        <v>2.4E-2</v>
      </c>
      <c r="I11" s="259">
        <f>Inputs!$B$25</f>
        <v>2.4E-2</v>
      </c>
      <c r="J11" s="259">
        <f>Inputs!$B$25</f>
        <v>2.4E-2</v>
      </c>
      <c r="K11" s="259">
        <f>Inputs!$B$25</f>
        <v>2.4E-2</v>
      </c>
    </row>
    <row r="12" spans="1:14" x14ac:dyDescent="0.25">
      <c r="A12" s="108" t="s">
        <v>580</v>
      </c>
      <c r="B12" s="270">
        <f>SUM('School Bus Table'!F25:T25)</f>
        <v>2182.1202465556853</v>
      </c>
      <c r="C12" s="270">
        <f>SUM('School Bus Table'!F36:T36)</f>
        <v>1974.0839121690303</v>
      </c>
      <c r="D12" s="270">
        <f>SUM('School Bus Table'!F49:T49)</f>
        <v>1934.8886607628481</v>
      </c>
      <c r="E12" s="270">
        <f>SUM('School Bus Table'!F62:T62)</f>
        <v>863.80304060546348</v>
      </c>
      <c r="F12" s="270">
        <f>SUM('School Bus Table'!F74:T74)</f>
        <v>1932.3380401372547</v>
      </c>
      <c r="G12" s="270">
        <f>SUM('School Bus Table'!F99:T99)</f>
        <v>28.479375009288766</v>
      </c>
      <c r="H12" s="270">
        <f>SUM('School Bus Table'!F112:T112)</f>
        <v>2010.8965317671107</v>
      </c>
      <c r="I12" s="270">
        <f>SUM('School Bus Table'!F123:T123)</f>
        <v>794.62846819829349</v>
      </c>
      <c r="J12" s="270">
        <f>SUM('School Bus Table'!F135:T135)</f>
        <v>2071.5804543193676</v>
      </c>
      <c r="K12" s="112">
        <f>SUM('School Bus Table'!F85:T85)</f>
        <v>938.35689558605122</v>
      </c>
    </row>
    <row r="13" spans="1:14" x14ac:dyDescent="0.25">
      <c r="A13" s="108" t="s">
        <v>581</v>
      </c>
      <c r="B13" s="257">
        <f>'Default Data'!U2*Inputs!$B$24*15</f>
        <v>0.95481307436202167</v>
      </c>
      <c r="C13" s="257">
        <f>'Default Data'!U3*Inputs!$B$24*15</f>
        <v>0.95481307436202167</v>
      </c>
      <c r="D13" s="257">
        <f>'Default Data'!U4*Inputs!$B$24*15</f>
        <v>0.95481307436202167</v>
      </c>
      <c r="E13" s="257">
        <f>'Default Data'!U5*Inputs!$B$24*15</f>
        <v>0.95481307436202167</v>
      </c>
      <c r="F13" s="346">
        <f>'Default Data'!U6*Inputs!B24*15</f>
        <v>0.21999256107628526</v>
      </c>
      <c r="G13" s="346">
        <f>'Default Data'!U7*Inputs!B24*15</f>
        <v>0.11113026281173174</v>
      </c>
      <c r="H13" s="257">
        <f>'Default Data'!U8*Inputs!B24*15</f>
        <v>0.47627255490742165</v>
      </c>
      <c r="I13" s="257">
        <f>'Default Data'!U9*Inputs!B24*15</f>
        <v>0.47627255490742165</v>
      </c>
      <c r="J13" s="257">
        <f>'Default Data'!U10*Inputs!B23*15</f>
        <v>0.10976948408342481</v>
      </c>
    </row>
    <row r="14" spans="1:14" x14ac:dyDescent="0.25">
      <c r="A14" s="108" t="s">
        <v>582</v>
      </c>
      <c r="B14" s="347">
        <f>'Default Data'!W2*Inputs!$B$24*15</f>
        <v>0.15648955375529572</v>
      </c>
      <c r="C14" s="347">
        <f>'Default Data'!W3*Inputs!$B$24*15</f>
        <v>0.15648955375529572</v>
      </c>
      <c r="D14" s="347">
        <f>'Default Data'!W4*Inputs!B24*15</f>
        <v>0.15648955375529572</v>
      </c>
      <c r="E14" s="347">
        <f>'Default Data'!W5*Inputs!$B$24*15</f>
        <v>0.15648955375529572</v>
      </c>
      <c r="F14" s="347">
        <f>'Default Data'!W6*Inputs!B24*15</f>
        <v>0.16556141194400847</v>
      </c>
      <c r="G14" s="348">
        <f>'Default Data'!W7*Inputs!B24*15</f>
        <v>1.3607787283069193E-2</v>
      </c>
      <c r="H14" s="347">
        <f>'Default Data'!W8*Inputs!B24*15</f>
        <v>0.15648955375529572</v>
      </c>
      <c r="I14" s="347">
        <f>'Default Data'!W9*Inputs!B24*15</f>
        <v>0.15648955375529572</v>
      </c>
      <c r="J14" s="260">
        <f>'Default Data'!W10*Inputs!B23*15</f>
        <v>3.3112282388801699E-2</v>
      </c>
      <c r="K14" s="260"/>
    </row>
    <row r="15" spans="1:14" x14ac:dyDescent="0.25">
      <c r="A15" s="108"/>
      <c r="B15" s="4"/>
      <c r="C15" s="4"/>
      <c r="D15" s="4"/>
      <c r="E15" s="4"/>
      <c r="F15" s="4"/>
      <c r="G15" s="4"/>
      <c r="H15" s="4"/>
      <c r="I15" s="4"/>
      <c r="J15" s="4"/>
    </row>
    <row r="16" spans="1:14" x14ac:dyDescent="0.25">
      <c r="A16" s="261" t="s">
        <v>454</v>
      </c>
      <c r="B16" s="262">
        <f>B20</f>
        <v>91250</v>
      </c>
      <c r="C16" s="262">
        <f t="shared" ref="C16:K16" si="1">C20</f>
        <v>91250</v>
      </c>
      <c r="D16" s="262">
        <f t="shared" si="1"/>
        <v>91250</v>
      </c>
      <c r="E16" s="262">
        <f t="shared" si="1"/>
        <v>91250</v>
      </c>
      <c r="F16" s="262">
        <f t="shared" si="1"/>
        <v>98000</v>
      </c>
      <c r="G16" s="262">
        <f t="shared" si="1"/>
        <v>200000</v>
      </c>
      <c r="H16" s="262">
        <f t="shared" si="1"/>
        <v>120000</v>
      </c>
      <c r="I16" s="262">
        <f t="shared" si="1"/>
        <v>120000</v>
      </c>
      <c r="J16" s="262">
        <f t="shared" si="1"/>
        <v>89750</v>
      </c>
      <c r="K16" s="262">
        <f t="shared" si="1"/>
        <v>98000</v>
      </c>
    </row>
    <row r="17" spans="1:12" x14ac:dyDescent="0.25">
      <c r="A17" s="251" t="s">
        <v>499</v>
      </c>
      <c r="B17" s="254">
        <f>IF(Inputs!$E$5=B1,IF(Inputs!$E$8=$C$7,'Default Data'!B2,Inputs!$E$8),'Default Data'!$B$2)</f>
        <v>91250</v>
      </c>
      <c r="C17" s="254">
        <f>IF(Inputs!$E$5=C1,IF(Inputs!$E$8=$C$7,'Default Data'!B3,Inputs!$E$8),'Default Data'!$B$3)</f>
        <v>91250</v>
      </c>
      <c r="D17" s="254">
        <f>IF(Inputs!$E$5=D1,IF(Inputs!$E$8=$C$7,'Default Data'!B4,Inputs!$E$8),'Default Data'!$B$4)</f>
        <v>91250</v>
      </c>
      <c r="E17" s="254">
        <f>IF(Inputs!$E$5=E1,IF(Inputs!$E$8=$C$7,'Default Data'!B5,Inputs!$E$8),'Default Data'!$B$5)</f>
        <v>91250</v>
      </c>
      <c r="F17" s="254">
        <f>IF(Inputs!$E$5=F1,IF(Inputs!$E$8=$C$7,'Default Data'!B6,Inputs!$E$8),'Default Data'!$B$6)</f>
        <v>98000</v>
      </c>
      <c r="G17" s="254">
        <f>IF(Inputs!$E$5=G1,IF(Inputs!$E$8=$C$7,'Default Data'!B7,Inputs!$E$8),'Default Data'!$B$7)</f>
        <v>250000</v>
      </c>
      <c r="H17" s="254">
        <f>IF(Inputs!$E$5=H1,IF(Inputs!$E$8=$C$7,'Default Data'!B8,Inputs!$E$8),'Default Data'!$B$8)</f>
        <v>120000</v>
      </c>
      <c r="I17" s="254">
        <f>IF(Inputs!$E$5=I1,IF(Inputs!$E$8=$C$7,'Default Data'!B9,Inputs!$E$8),'Default Data'!$B$9)</f>
        <v>120000</v>
      </c>
      <c r="J17" s="254">
        <f>IF(Inputs!$E$5=J1,IF(Inputs!$E$8=$C$7,'Default Data'!B10,Inputs!$E$8),'Default Data'!$B$10)</f>
        <v>89750</v>
      </c>
      <c r="K17" s="254">
        <f>IF(Inputs!$E$5=K1,IF(Inputs!$E$8=$C$7,'Default Data'!B11,Inputs!$E$8),'Default Data'!$B$11)</f>
        <v>98000</v>
      </c>
    </row>
    <row r="18" spans="1:12" x14ac:dyDescent="0.25">
      <c r="A18" s="251" t="s">
        <v>796</v>
      </c>
      <c r="B18" s="254">
        <f>IF(Inputs!$E$5=B1,IF(Inputs!$E$9="Yes",$N$8,B17),'Default Data'!B2)</f>
        <v>91250</v>
      </c>
      <c r="C18" s="254">
        <f>IF(Inputs!$E$5=C1,IF(Inputs!$E$9="Yes",$N$8,C17),'Default Data'!B3)</f>
        <v>91250</v>
      </c>
      <c r="D18" s="254">
        <f>IF(Inputs!$E$5=D1,IF(Inputs!$E$9="Yes",$N$8,D17),'Default Data'!B4)</f>
        <v>91250</v>
      </c>
      <c r="E18" s="254">
        <f>IF(Inputs!$E$5=E1,IF(Inputs!$E$9="Yes",$N$8,E17),'Default Data'!B5)</f>
        <v>91250</v>
      </c>
      <c r="F18" s="254">
        <f>IF(Inputs!$E$5=F1,IF(Inputs!$E$9="Yes",$N$8,F17),'Default Data'!B6)</f>
        <v>98000</v>
      </c>
      <c r="G18" s="254">
        <f>IF(Inputs!$E$5=G1,IF(Inputs!$E$9="Yes",$N$8,G17),'Default Data'!B7)</f>
        <v>200000</v>
      </c>
      <c r="H18" s="254">
        <f>IF(Inputs!$E$5=H1,IF(Inputs!$E$9="Yes",$N$8,H17),'Default Data'!B8)</f>
        <v>120000</v>
      </c>
      <c r="I18" s="254">
        <f>IF(Inputs!$E$5=I1,IF(Inputs!$E$9="Yes",$N$8,I17),'Default Data'!B9)</f>
        <v>120000</v>
      </c>
      <c r="J18" s="254">
        <f>IF(Inputs!$E$5=J1,IF(Inputs!$E$9="Yes",$N$8,J17),'Default Data'!B10)</f>
        <v>89750</v>
      </c>
      <c r="K18" s="254">
        <f>IF(Inputs!$E$5=K1,IF(Inputs!$E$9="Yes",$N$8,K17),'Default Data'!B11)</f>
        <v>98000</v>
      </c>
    </row>
    <row r="19" spans="1:12" x14ac:dyDescent="0.25">
      <c r="A19" s="466" t="s">
        <v>791</v>
      </c>
      <c r="B19" s="254">
        <f>IF(Inputs!$E$5=B1,Inputs!$B$12,0)</f>
        <v>0</v>
      </c>
      <c r="C19" s="254">
        <f>IF(Inputs!$E$5=C1,Inputs!$B$12,0)</f>
        <v>0</v>
      </c>
      <c r="D19" s="254">
        <f>IF(Inputs!$E$5=D1,Inputs!$B$12,0)</f>
        <v>0</v>
      </c>
      <c r="E19" s="254">
        <f>IF(Inputs!$E$5=E1,Inputs!$B$12,0)</f>
        <v>0</v>
      </c>
      <c r="F19" s="254">
        <f>IF(Inputs!$E$5=F1,Inputs!$B$12,0)</f>
        <v>0</v>
      </c>
      <c r="G19" s="254">
        <f>IF(Inputs!$E$5=G1,Inputs!$B$12,0)</f>
        <v>0</v>
      </c>
      <c r="H19" s="254">
        <f>IF(Inputs!$E$5=H1,Inputs!$B$12,0)</f>
        <v>0</v>
      </c>
      <c r="I19" s="254">
        <f>IF(Inputs!$E$5=I1,Inputs!$B$12,0)</f>
        <v>0</v>
      </c>
      <c r="J19" s="254">
        <f>IF(Inputs!$E$5=J1,Inputs!$B$12,0)</f>
        <v>0</v>
      </c>
      <c r="K19" s="254">
        <f>IF(Inputs!$E$5=K1,Inputs!$B$12,0)</f>
        <v>0</v>
      </c>
    </row>
    <row r="20" spans="1:12" x14ac:dyDescent="0.25">
      <c r="A20" s="251" t="s">
        <v>799</v>
      </c>
      <c r="B20" s="120">
        <f>B18-B19</f>
        <v>91250</v>
      </c>
      <c r="C20" s="120">
        <f t="shared" ref="C20:K20" si="2">C18-C19</f>
        <v>91250</v>
      </c>
      <c r="D20" s="120">
        <f t="shared" si="2"/>
        <v>91250</v>
      </c>
      <c r="E20" s="120">
        <f t="shared" si="2"/>
        <v>91250</v>
      </c>
      <c r="F20" s="120">
        <f t="shared" si="2"/>
        <v>98000</v>
      </c>
      <c r="G20" s="120">
        <f t="shared" si="2"/>
        <v>200000</v>
      </c>
      <c r="H20" s="120">
        <f t="shared" si="2"/>
        <v>120000</v>
      </c>
      <c r="I20" s="120">
        <f t="shared" si="2"/>
        <v>120000</v>
      </c>
      <c r="J20" s="120">
        <f t="shared" si="2"/>
        <v>89750</v>
      </c>
      <c r="K20" s="120">
        <f t="shared" si="2"/>
        <v>98000</v>
      </c>
    </row>
    <row r="21" spans="1:12" x14ac:dyDescent="0.25">
      <c r="A21" s="251" t="s">
        <v>795</v>
      </c>
      <c r="B21" s="120">
        <f>B20*Inputs!$B$14</f>
        <v>456250</v>
      </c>
      <c r="C21" s="120">
        <f>C20*Inputs!$B$14</f>
        <v>456250</v>
      </c>
      <c r="D21" s="120">
        <f>D20*Inputs!$B$14</f>
        <v>456250</v>
      </c>
      <c r="E21" s="120">
        <f>E20*Inputs!$B$14</f>
        <v>456250</v>
      </c>
      <c r="F21" s="120">
        <f>F20*Inputs!$B$14</f>
        <v>490000</v>
      </c>
      <c r="G21" s="120">
        <f>G20*Inputs!$B$14</f>
        <v>1000000</v>
      </c>
      <c r="H21" s="120">
        <f>H20*Inputs!$B$14</f>
        <v>600000</v>
      </c>
      <c r="I21" s="120">
        <f>I20*Inputs!$B$14</f>
        <v>600000</v>
      </c>
      <c r="J21" s="120">
        <f>J20*Inputs!$B$14</f>
        <v>448750</v>
      </c>
      <c r="K21" s="120">
        <f>K20*Inputs!$B$14</f>
        <v>490000</v>
      </c>
    </row>
    <row r="22" spans="1:12" x14ac:dyDescent="0.25">
      <c r="A22" s="251" t="s">
        <v>455</v>
      </c>
      <c r="B22" s="120">
        <f>IF(Inputs!$E$5='Bus 2 Calc'!B1,Inputs!$E$19,'Default Data'!Q2)</f>
        <v>0</v>
      </c>
      <c r="C22" s="120">
        <f>IF(Inputs!$E$5='Bus 2 Calc'!C1,Inputs!$E$19,'Default Data'!Q3)</f>
        <v>0</v>
      </c>
      <c r="D22" s="120">
        <f>IF(Inputs!$E$5='Bus 2 Calc'!D1,Inputs!$E$19,'Default Data'!Q4)</f>
        <v>0</v>
      </c>
      <c r="E22" s="120">
        <f>IF(Inputs!$E$5='Bus 2 Calc'!E1,Inputs!$E$19,'Default Data'!Q5)</f>
        <v>0</v>
      </c>
      <c r="F22" s="120">
        <f>IF(Inputs!$E$5='Bus 2 Calc'!F1,Inputs!$E$19,'Default Data'!Q6)</f>
        <v>10500</v>
      </c>
      <c r="G22" s="120">
        <f>IF(Inputs!$E$5='Bus 2 Calc'!G1,Inputs!$E$19,'Default Data'!Q7)</f>
        <v>111250</v>
      </c>
      <c r="H22" s="120">
        <f>IF(Inputs!$E$5='Bus 2 Calc'!H1,Inputs!$E$19,'Default Data'!Q8)</f>
        <v>250000</v>
      </c>
      <c r="I22" s="120">
        <f>IF(Inputs!$E$5='Bus 2 Calc'!I1,Inputs!$E$19,'Default Data'!Q9)</f>
        <v>250000</v>
      </c>
      <c r="J22" s="120">
        <f>IF(Inputs!$E$5='Bus 2 Calc'!J1,Inputs!$E$19,'Default Data'!Q10)</f>
        <v>0</v>
      </c>
      <c r="K22" s="120">
        <f>IF(Inputs!$E$5='Bus 2 Calc'!K1,Inputs!$E$19,'Default Data'!Q11)</f>
        <v>10500</v>
      </c>
      <c r="L22" s="120"/>
    </row>
    <row r="23" spans="1:12" x14ac:dyDescent="0.25">
      <c r="A23" s="251" t="s">
        <v>456</v>
      </c>
      <c r="B23" s="120">
        <f>B21+B22</f>
        <v>456250</v>
      </c>
      <c r="C23" s="120">
        <f t="shared" ref="C23:K23" si="3">C21+C22</f>
        <v>456250</v>
      </c>
      <c r="D23" s="120">
        <f t="shared" si="3"/>
        <v>456250</v>
      </c>
      <c r="E23" s="120">
        <f t="shared" si="3"/>
        <v>456250</v>
      </c>
      <c r="F23" s="120">
        <f t="shared" si="3"/>
        <v>500500</v>
      </c>
      <c r="G23" s="120">
        <f t="shared" si="3"/>
        <v>1111250</v>
      </c>
      <c r="H23" s="120">
        <f t="shared" si="3"/>
        <v>850000</v>
      </c>
      <c r="I23" s="120">
        <f t="shared" si="3"/>
        <v>850000</v>
      </c>
      <c r="J23" s="120">
        <f t="shared" si="3"/>
        <v>448750</v>
      </c>
      <c r="K23" s="120">
        <f t="shared" si="3"/>
        <v>500500</v>
      </c>
    </row>
    <row r="24" spans="1:12" x14ac:dyDescent="0.25">
      <c r="A24" s="251"/>
      <c r="B24" s="120"/>
      <c r="C24" s="120"/>
      <c r="D24" s="120"/>
      <c r="E24" s="120"/>
      <c r="F24" s="120"/>
      <c r="G24" s="120"/>
      <c r="H24" s="120"/>
      <c r="I24" s="120"/>
      <c r="J24" s="120"/>
    </row>
    <row r="25" spans="1:12" x14ac:dyDescent="0.25">
      <c r="A25" s="261" t="s">
        <v>457</v>
      </c>
      <c r="B25" s="262"/>
      <c r="C25" s="262"/>
      <c r="D25" s="262"/>
      <c r="E25" s="262"/>
      <c r="F25" s="262"/>
      <c r="G25" s="262"/>
      <c r="H25" s="262"/>
      <c r="I25" s="262"/>
      <c r="J25" s="262"/>
      <c r="K25" s="425"/>
    </row>
    <row r="26" spans="1:12" x14ac:dyDescent="0.25">
      <c r="A26" s="263" t="s">
        <v>458</v>
      </c>
      <c r="B26" s="264">
        <f>'Default Data'!T2</f>
        <v>8.1465822538078936E-2</v>
      </c>
      <c r="C26" s="264">
        <f>'Default Data'!T3</f>
        <v>7.3699132720977112E-2</v>
      </c>
      <c r="D26" s="264">
        <f>'Default Data'!T4</f>
        <v>7.2235843335146321E-2</v>
      </c>
      <c r="E26" s="264">
        <f>'Default Data'!T5</f>
        <v>3.2248646849270625E-2</v>
      </c>
      <c r="F26" s="264">
        <f>'Default Data'!T6</f>
        <v>7.2140620165124167E-2</v>
      </c>
      <c r="G26" s="264">
        <f>'Default Data'!T7</f>
        <v>3.0732743679812131E-4</v>
      </c>
      <c r="H26" s="264">
        <f>'Default Data'!T8</f>
        <v>7.5073470519305463E-2</v>
      </c>
      <c r="I26" s="264">
        <f>'Default Data'!T9</f>
        <v>2.9666129479402961E-2</v>
      </c>
      <c r="J26" s="264">
        <f>'Default Data'!T10</f>
        <v>7.7339003627923036E-2</v>
      </c>
      <c r="K26" s="264">
        <f>'Default Data'!T11</f>
        <v>0</v>
      </c>
    </row>
    <row r="27" spans="1:12" x14ac:dyDescent="0.25">
      <c r="A27" s="251" t="s">
        <v>452</v>
      </c>
      <c r="B27" s="265">
        <f>'Default Data'!V2</f>
        <v>8.4789115093538911E-3</v>
      </c>
      <c r="C27" s="265">
        <f>'Default Data'!V3</f>
        <v>8.4789115093538911E-3</v>
      </c>
      <c r="D27" s="265">
        <f>'Default Data'!V4</f>
        <v>8.4789115093538911E-3</v>
      </c>
      <c r="E27" s="265">
        <f>'Default Data'!V5</f>
        <v>8.4789115093538911E-3</v>
      </c>
      <c r="F27" s="265">
        <f>'Default Data'!V6</f>
        <v>1.9535734356468585E-3</v>
      </c>
      <c r="G27" s="265">
        <f>'Default Data'!V7</f>
        <v>9.8685668398655743E-4</v>
      </c>
      <c r="H27" s="265">
        <f>'Default Data'!V9</f>
        <v>4.2293857885138172E-3</v>
      </c>
      <c r="I27" s="265">
        <f>'Default Data'!V9</f>
        <v>4.2293857885138172E-3</v>
      </c>
      <c r="J27" s="265">
        <f>'Default Data'!V10</f>
        <v>4.8738636229540182E-3</v>
      </c>
    </row>
    <row r="28" spans="1:12" x14ac:dyDescent="0.25">
      <c r="A28" s="266" t="s">
        <v>453</v>
      </c>
      <c r="B28" s="267">
        <f>'Default Data'!X2</f>
        <v>6.6971341229478704E-2</v>
      </c>
      <c r="C28" s="267">
        <f>'Default Data'!X3</f>
        <v>6.6971341229478704E-2</v>
      </c>
      <c r="D28" s="267">
        <f>'Default Data'!X4</f>
        <v>6.6971341229478704E-2</v>
      </c>
      <c r="E28" s="267">
        <f>'Default Data'!X5</f>
        <v>6.6971341229478704E-2</v>
      </c>
      <c r="F28" s="267">
        <f>'Default Data'!X6</f>
        <v>7.085373782249195E-2</v>
      </c>
      <c r="G28" s="267">
        <f>'Default Data'!X7</f>
        <v>5.8235948895198871E-3</v>
      </c>
      <c r="H28" s="267">
        <f>'Default Data'!X8</f>
        <v>6.6971341229478704E-2</v>
      </c>
      <c r="I28" s="267">
        <f>'Default Data'!X9</f>
        <v>6.6971341229478704E-2</v>
      </c>
      <c r="J28" s="267">
        <f>'Default Data'!X10</f>
        <v>7.085373782249195E-2</v>
      </c>
    </row>
    <row r="29" spans="1:12" x14ac:dyDescent="0.25">
      <c r="A29" s="349" t="s">
        <v>286</v>
      </c>
      <c r="B29" s="350">
        <f>SUM(B26:B28)</f>
        <v>0.15691607527691154</v>
      </c>
      <c r="C29" s="350">
        <f t="shared" ref="C29:J29" si="4">SUM(C26:C28)</f>
        <v>0.14914938545980971</v>
      </c>
      <c r="D29" s="350">
        <f t="shared" si="4"/>
        <v>0.14768609607397892</v>
      </c>
      <c r="E29" s="350">
        <f t="shared" si="4"/>
        <v>0.10769889958810322</v>
      </c>
      <c r="F29" s="350">
        <f t="shared" si="4"/>
        <v>0.14494793142326295</v>
      </c>
      <c r="G29" s="350">
        <f t="shared" si="4"/>
        <v>7.1177790103045657E-3</v>
      </c>
      <c r="H29" s="350">
        <f t="shared" si="4"/>
        <v>0.14627419753729798</v>
      </c>
      <c r="I29" s="350">
        <f t="shared" si="4"/>
        <v>0.10086685649739549</v>
      </c>
      <c r="J29" s="350">
        <f t="shared" si="4"/>
        <v>0.153066605073369</v>
      </c>
    </row>
    <row r="30" spans="1:12" x14ac:dyDescent="0.25">
      <c r="A30" s="261" t="s">
        <v>459</v>
      </c>
    </row>
    <row r="31" spans="1:12" ht="51.75" x14ac:dyDescent="0.25">
      <c r="A31" s="361"/>
      <c r="B31" s="90" t="s">
        <v>1</v>
      </c>
      <c r="C31" s="108" t="s">
        <v>149</v>
      </c>
      <c r="D31" s="90" t="s">
        <v>150</v>
      </c>
      <c r="E31" s="108" t="s">
        <v>151</v>
      </c>
      <c r="F31" s="90" t="s">
        <v>152</v>
      </c>
      <c r="G31" s="126" t="s">
        <v>154</v>
      </c>
      <c r="H31" s="90" t="s">
        <v>155</v>
      </c>
      <c r="I31" s="126" t="s">
        <v>156</v>
      </c>
      <c r="J31" s="114" t="s">
        <v>124</v>
      </c>
      <c r="K31" s="126" t="s">
        <v>735</v>
      </c>
    </row>
    <row r="32" spans="1:12" x14ac:dyDescent="0.25">
      <c r="A32" s="108" t="s">
        <v>460</v>
      </c>
      <c r="B32" s="262">
        <f t="shared" ref="B32:K32" si="5">B7+B8+B9</f>
        <v>36602.355733723438</v>
      </c>
      <c r="C32" s="262">
        <f t="shared" si="5"/>
        <v>35982.05317577548</v>
      </c>
      <c r="D32" s="262">
        <f t="shared" si="5"/>
        <v>35982.05317577548</v>
      </c>
      <c r="E32" s="262">
        <f t="shared" si="5"/>
        <v>32925.332348596748</v>
      </c>
      <c r="F32" s="262">
        <f t="shared" si="5"/>
        <v>26760.000000000004</v>
      </c>
      <c r="G32" s="262">
        <f t="shared" si="5"/>
        <v>32324.687911691326</v>
      </c>
      <c r="H32" s="262">
        <f t="shared" si="5"/>
        <v>43866.101694915254</v>
      </c>
      <c r="I32" s="262">
        <f t="shared" si="5"/>
        <v>43866.101694915254</v>
      </c>
      <c r="J32" s="262">
        <f t="shared" si="5"/>
        <v>27235.109717868338</v>
      </c>
      <c r="K32" s="262">
        <f t="shared" si="5"/>
        <v>26760.000000000004</v>
      </c>
    </row>
    <row r="33" spans="1:11" x14ac:dyDescent="0.25">
      <c r="A33" s="108" t="s">
        <v>461</v>
      </c>
      <c r="B33" s="36">
        <f t="shared" ref="B33:B46" si="6">B32*(1+$B$11)</f>
        <v>37480.812271332798</v>
      </c>
      <c r="C33" s="36">
        <f t="shared" ref="C33:C46" si="7">C32*(1+$B$11)</f>
        <v>36845.622451994095</v>
      </c>
      <c r="D33" s="36">
        <f t="shared" ref="D33:D46" si="8">D32*(1+$B$11)</f>
        <v>36845.622451994095</v>
      </c>
      <c r="E33" s="36">
        <f t="shared" ref="E33:E46" si="9">E32*(1+$B$11)</f>
        <v>33715.540324963069</v>
      </c>
      <c r="F33" s="36">
        <f t="shared" ref="F33:F46" si="10">F32*(1+$B$11)</f>
        <v>27402.240000000005</v>
      </c>
      <c r="G33" s="36">
        <f t="shared" ref="G33:G46" si="11">G32*(1+$B$11)</f>
        <v>33100.48042157192</v>
      </c>
      <c r="H33" s="36">
        <f t="shared" ref="H33:H46" si="12">H32*(1+$B$11)</f>
        <v>44918.888135593224</v>
      </c>
      <c r="I33" s="36">
        <f t="shared" ref="I33:I46" si="13">I32*(1+$B$11)</f>
        <v>44918.888135593224</v>
      </c>
      <c r="J33" s="36">
        <f t="shared" ref="J33:J46" si="14">J32*(1+$B$11)</f>
        <v>27888.752351097177</v>
      </c>
      <c r="K33" s="36">
        <f t="shared" ref="K33:K46" si="15">K32*(1+$B$11)</f>
        <v>27402.240000000005</v>
      </c>
    </row>
    <row r="34" spans="1:11" x14ac:dyDescent="0.25">
      <c r="A34" s="108" t="s">
        <v>462</v>
      </c>
      <c r="B34" s="36">
        <f t="shared" si="6"/>
        <v>38380.351765844789</v>
      </c>
      <c r="C34" s="36">
        <f t="shared" si="7"/>
        <v>37729.917390841954</v>
      </c>
      <c r="D34" s="36">
        <f t="shared" si="8"/>
        <v>37729.917390841954</v>
      </c>
      <c r="E34" s="36">
        <f t="shared" si="9"/>
        <v>34524.713292762186</v>
      </c>
      <c r="F34" s="36">
        <f t="shared" si="10"/>
        <v>28059.893760000006</v>
      </c>
      <c r="G34" s="36">
        <f t="shared" si="11"/>
        <v>33894.891951689649</v>
      </c>
      <c r="H34" s="36">
        <f t="shared" si="12"/>
        <v>45996.941450847466</v>
      </c>
      <c r="I34" s="36">
        <f t="shared" si="13"/>
        <v>45996.941450847466</v>
      </c>
      <c r="J34" s="36">
        <f t="shared" si="14"/>
        <v>28558.08240752351</v>
      </c>
      <c r="K34" s="36">
        <f t="shared" si="15"/>
        <v>28059.893760000006</v>
      </c>
    </row>
    <row r="35" spans="1:11" x14ac:dyDescent="0.25">
      <c r="A35" s="108" t="s">
        <v>463</v>
      </c>
      <c r="B35" s="36">
        <f t="shared" si="6"/>
        <v>39301.480208225068</v>
      </c>
      <c r="C35" s="36">
        <f t="shared" si="7"/>
        <v>38635.435408222162</v>
      </c>
      <c r="D35" s="36">
        <f t="shared" si="8"/>
        <v>38635.435408222162</v>
      </c>
      <c r="E35" s="36">
        <f t="shared" si="9"/>
        <v>35353.306411788479</v>
      </c>
      <c r="F35" s="36">
        <f t="shared" si="10"/>
        <v>28733.331210240009</v>
      </c>
      <c r="G35" s="36">
        <f t="shared" si="11"/>
        <v>34708.369358530203</v>
      </c>
      <c r="H35" s="36">
        <f t="shared" si="12"/>
        <v>47100.868045667805</v>
      </c>
      <c r="I35" s="36">
        <f t="shared" si="13"/>
        <v>47100.868045667805</v>
      </c>
      <c r="J35" s="36">
        <f t="shared" si="14"/>
        <v>29243.476385304075</v>
      </c>
      <c r="K35" s="36">
        <f t="shared" si="15"/>
        <v>28733.331210240009</v>
      </c>
    </row>
    <row r="36" spans="1:11" x14ac:dyDescent="0.25">
      <c r="A36" s="108" t="s">
        <v>464</v>
      </c>
      <c r="B36" s="36">
        <f t="shared" si="6"/>
        <v>40244.715733222467</v>
      </c>
      <c r="C36" s="36">
        <f t="shared" si="7"/>
        <v>39562.685858019497</v>
      </c>
      <c r="D36" s="36">
        <f t="shared" si="8"/>
        <v>39562.685858019497</v>
      </c>
      <c r="E36" s="36">
        <f t="shared" si="9"/>
        <v>36201.785765671404</v>
      </c>
      <c r="F36" s="36">
        <f t="shared" si="10"/>
        <v>29422.93115928577</v>
      </c>
      <c r="G36" s="36">
        <f t="shared" si="11"/>
        <v>35541.370223134931</v>
      </c>
      <c r="H36" s="36">
        <f t="shared" si="12"/>
        <v>48231.288878763837</v>
      </c>
      <c r="I36" s="36">
        <f t="shared" si="13"/>
        <v>48231.288878763837</v>
      </c>
      <c r="J36" s="36">
        <f t="shared" si="14"/>
        <v>29945.319818551372</v>
      </c>
      <c r="K36" s="36">
        <f t="shared" si="15"/>
        <v>29422.93115928577</v>
      </c>
    </row>
    <row r="37" spans="1:11" x14ac:dyDescent="0.25">
      <c r="A37" s="108" t="s">
        <v>465</v>
      </c>
      <c r="B37" s="36">
        <f t="shared" si="6"/>
        <v>41210.58891081981</v>
      </c>
      <c r="C37" s="36">
        <f t="shared" si="7"/>
        <v>40512.190318611967</v>
      </c>
      <c r="D37" s="36">
        <f t="shared" si="8"/>
        <v>40512.190318611967</v>
      </c>
      <c r="E37" s="36">
        <f t="shared" si="9"/>
        <v>37070.628624047516</v>
      </c>
      <c r="F37" s="36">
        <f t="shared" si="10"/>
        <v>30129.081507108629</v>
      </c>
      <c r="G37" s="36">
        <f t="shared" si="11"/>
        <v>36394.363108490172</v>
      </c>
      <c r="H37" s="36">
        <f t="shared" si="12"/>
        <v>49388.839811854166</v>
      </c>
      <c r="I37" s="36">
        <f t="shared" si="13"/>
        <v>49388.839811854166</v>
      </c>
      <c r="J37" s="36">
        <f t="shared" si="14"/>
        <v>30664.007494196605</v>
      </c>
      <c r="K37" s="36">
        <f t="shared" si="15"/>
        <v>30129.081507108629</v>
      </c>
    </row>
    <row r="38" spans="1:11" x14ac:dyDescent="0.25">
      <c r="A38" s="108" t="s">
        <v>466</v>
      </c>
      <c r="B38" s="36">
        <f t="shared" si="6"/>
        <v>42199.643044679484</v>
      </c>
      <c r="C38" s="36">
        <f t="shared" si="7"/>
        <v>41484.482886258658</v>
      </c>
      <c r="D38" s="36">
        <f t="shared" si="8"/>
        <v>41484.482886258658</v>
      </c>
      <c r="E38" s="36">
        <f t="shared" si="9"/>
        <v>37960.323711024655</v>
      </c>
      <c r="F38" s="36">
        <f t="shared" si="10"/>
        <v>30852.179463279237</v>
      </c>
      <c r="G38" s="36">
        <f t="shared" si="11"/>
        <v>37267.82782309394</v>
      </c>
      <c r="H38" s="36">
        <f t="shared" si="12"/>
        <v>50574.171967338669</v>
      </c>
      <c r="I38" s="36">
        <f t="shared" si="13"/>
        <v>50574.171967338669</v>
      </c>
      <c r="J38" s="36">
        <f t="shared" si="14"/>
        <v>31399.943674057326</v>
      </c>
      <c r="K38" s="36">
        <f t="shared" si="15"/>
        <v>30852.179463279237</v>
      </c>
    </row>
    <row r="39" spans="1:11" x14ac:dyDescent="0.25">
      <c r="A39" s="108" t="s">
        <v>467</v>
      </c>
      <c r="B39" s="36">
        <f t="shared" si="6"/>
        <v>43212.434477751791</v>
      </c>
      <c r="C39" s="36">
        <f t="shared" si="7"/>
        <v>42480.110475528869</v>
      </c>
      <c r="D39" s="36">
        <f t="shared" si="8"/>
        <v>42480.110475528869</v>
      </c>
      <c r="E39" s="36">
        <f t="shared" si="9"/>
        <v>38871.371480089249</v>
      </c>
      <c r="F39" s="36">
        <f t="shared" si="10"/>
        <v>31592.63177039794</v>
      </c>
      <c r="G39" s="36">
        <f t="shared" si="11"/>
        <v>38162.255690848193</v>
      </c>
      <c r="H39" s="36">
        <f t="shared" si="12"/>
        <v>51787.952094554799</v>
      </c>
      <c r="I39" s="36">
        <f t="shared" si="13"/>
        <v>51787.952094554799</v>
      </c>
      <c r="J39" s="36">
        <f t="shared" si="14"/>
        <v>32153.542322234702</v>
      </c>
      <c r="K39" s="36">
        <f t="shared" si="15"/>
        <v>31592.63177039794</v>
      </c>
    </row>
    <row r="40" spans="1:11" x14ac:dyDescent="0.25">
      <c r="A40" s="108" t="s">
        <v>468</v>
      </c>
      <c r="B40" s="36">
        <f t="shared" si="6"/>
        <v>44249.532905217835</v>
      </c>
      <c r="C40" s="36">
        <f t="shared" si="7"/>
        <v>43499.63312694156</v>
      </c>
      <c r="D40" s="36">
        <f t="shared" si="8"/>
        <v>43499.63312694156</v>
      </c>
      <c r="E40" s="36">
        <f t="shared" si="9"/>
        <v>39804.284395611394</v>
      </c>
      <c r="F40" s="36">
        <f t="shared" si="10"/>
        <v>32350.854932887491</v>
      </c>
      <c r="G40" s="36">
        <f t="shared" si="11"/>
        <v>39078.149827428548</v>
      </c>
      <c r="H40" s="36">
        <f t="shared" si="12"/>
        <v>53030.862944824119</v>
      </c>
      <c r="I40" s="36">
        <f t="shared" si="13"/>
        <v>53030.862944824119</v>
      </c>
      <c r="J40" s="36">
        <f t="shared" si="14"/>
        <v>32925.227337968332</v>
      </c>
      <c r="K40" s="36">
        <f t="shared" si="15"/>
        <v>32350.854932887491</v>
      </c>
    </row>
    <row r="41" spans="1:11" x14ac:dyDescent="0.25">
      <c r="A41" s="108" t="s">
        <v>469</v>
      </c>
      <c r="B41" s="36">
        <f t="shared" si="6"/>
        <v>45311.521694943061</v>
      </c>
      <c r="C41" s="36">
        <f t="shared" si="7"/>
        <v>44543.624321988158</v>
      </c>
      <c r="D41" s="36">
        <f t="shared" si="8"/>
        <v>44543.624321988158</v>
      </c>
      <c r="E41" s="36">
        <f t="shared" si="9"/>
        <v>40759.587221106071</v>
      </c>
      <c r="F41" s="36">
        <f t="shared" si="10"/>
        <v>33127.275451276793</v>
      </c>
      <c r="G41" s="36">
        <f t="shared" si="11"/>
        <v>40016.025423286832</v>
      </c>
      <c r="H41" s="36">
        <f t="shared" si="12"/>
        <v>54303.603655499901</v>
      </c>
      <c r="I41" s="36">
        <f t="shared" si="13"/>
        <v>54303.603655499901</v>
      </c>
      <c r="J41" s="36">
        <f t="shared" si="14"/>
        <v>33715.43279407957</v>
      </c>
      <c r="K41" s="36">
        <f t="shared" si="15"/>
        <v>33127.275451276793</v>
      </c>
    </row>
    <row r="42" spans="1:11" x14ac:dyDescent="0.25">
      <c r="A42" s="108" t="s">
        <v>470</v>
      </c>
      <c r="B42" s="36">
        <f t="shared" si="6"/>
        <v>46398.998215621694</v>
      </c>
      <c r="C42" s="36">
        <f t="shared" si="7"/>
        <v>45612.671305715878</v>
      </c>
      <c r="D42" s="36">
        <f t="shared" si="8"/>
        <v>45612.671305715878</v>
      </c>
      <c r="E42" s="36">
        <f t="shared" si="9"/>
        <v>41737.817314412619</v>
      </c>
      <c r="F42" s="36">
        <f t="shared" si="10"/>
        <v>33922.330062107438</v>
      </c>
      <c r="G42" s="36">
        <f t="shared" si="11"/>
        <v>40976.410033445718</v>
      </c>
      <c r="H42" s="36">
        <f t="shared" si="12"/>
        <v>55606.890143231896</v>
      </c>
      <c r="I42" s="36">
        <f t="shared" si="13"/>
        <v>55606.890143231896</v>
      </c>
      <c r="J42" s="36">
        <f t="shared" si="14"/>
        <v>34524.603181137478</v>
      </c>
      <c r="K42" s="36">
        <f t="shared" si="15"/>
        <v>33922.330062107438</v>
      </c>
    </row>
    <row r="43" spans="1:11" x14ac:dyDescent="0.25">
      <c r="A43" s="108" t="s">
        <v>471</v>
      </c>
      <c r="B43" s="36">
        <f t="shared" si="6"/>
        <v>47512.574172796616</v>
      </c>
      <c r="C43" s="36">
        <f t="shared" si="7"/>
        <v>46707.375417053059</v>
      </c>
      <c r="D43" s="36">
        <f t="shared" si="8"/>
        <v>46707.375417053059</v>
      </c>
      <c r="E43" s="36">
        <f t="shared" si="9"/>
        <v>42739.524929958527</v>
      </c>
      <c r="F43" s="36">
        <f t="shared" si="10"/>
        <v>34736.46598359802</v>
      </c>
      <c r="G43" s="36">
        <f t="shared" si="11"/>
        <v>41959.843874248414</v>
      </c>
      <c r="H43" s="36">
        <f t="shared" si="12"/>
        <v>56941.455506669459</v>
      </c>
      <c r="I43" s="36">
        <f t="shared" si="13"/>
        <v>56941.455506669459</v>
      </c>
      <c r="J43" s="36">
        <f t="shared" si="14"/>
        <v>35353.193657484779</v>
      </c>
      <c r="K43" s="36">
        <f t="shared" si="15"/>
        <v>34736.46598359802</v>
      </c>
    </row>
    <row r="44" spans="1:11" x14ac:dyDescent="0.25">
      <c r="A44" s="108" t="s">
        <v>472</v>
      </c>
      <c r="B44" s="36">
        <f t="shared" si="6"/>
        <v>48652.875952943738</v>
      </c>
      <c r="C44" s="36">
        <f t="shared" si="7"/>
        <v>47828.352427062331</v>
      </c>
      <c r="D44" s="36">
        <f t="shared" si="8"/>
        <v>47828.352427062331</v>
      </c>
      <c r="E44" s="36">
        <f t="shared" si="9"/>
        <v>43765.273528277532</v>
      </c>
      <c r="F44" s="36">
        <f t="shared" si="10"/>
        <v>35570.141167204376</v>
      </c>
      <c r="G44" s="36">
        <f t="shared" si="11"/>
        <v>42966.880127230375</v>
      </c>
      <c r="H44" s="36">
        <f t="shared" si="12"/>
        <v>58308.05043882953</v>
      </c>
      <c r="I44" s="36">
        <f t="shared" si="13"/>
        <v>58308.05043882953</v>
      </c>
      <c r="J44" s="36">
        <f t="shared" si="14"/>
        <v>36201.670305264415</v>
      </c>
      <c r="K44" s="36">
        <f t="shared" si="15"/>
        <v>35570.141167204376</v>
      </c>
    </row>
    <row r="45" spans="1:11" x14ac:dyDescent="0.25">
      <c r="A45" s="108" t="s">
        <v>473</v>
      </c>
      <c r="B45" s="36">
        <f t="shared" si="6"/>
        <v>49820.544975814388</v>
      </c>
      <c r="C45" s="36">
        <f t="shared" si="7"/>
        <v>48976.232885311831</v>
      </c>
      <c r="D45" s="36">
        <f t="shared" si="8"/>
        <v>48976.232885311831</v>
      </c>
      <c r="E45" s="36">
        <f t="shared" si="9"/>
        <v>44815.640092956193</v>
      </c>
      <c r="F45" s="36">
        <f t="shared" si="10"/>
        <v>36423.824555217281</v>
      </c>
      <c r="G45" s="36">
        <f t="shared" si="11"/>
        <v>43998.085250283904</v>
      </c>
      <c r="H45" s="36">
        <f t="shared" si="12"/>
        <v>59707.443649361441</v>
      </c>
      <c r="I45" s="36">
        <f t="shared" si="13"/>
        <v>59707.443649361441</v>
      </c>
      <c r="J45" s="36">
        <f t="shared" si="14"/>
        <v>37070.510392590761</v>
      </c>
      <c r="K45" s="36">
        <f t="shared" si="15"/>
        <v>36423.824555217281</v>
      </c>
    </row>
    <row r="46" spans="1:11" x14ac:dyDescent="0.25">
      <c r="A46" s="108" t="s">
        <v>474</v>
      </c>
      <c r="B46" s="36">
        <f t="shared" si="6"/>
        <v>51016.238055233931</v>
      </c>
      <c r="C46" s="36">
        <f t="shared" si="7"/>
        <v>50151.662474559314</v>
      </c>
      <c r="D46" s="36">
        <f t="shared" si="8"/>
        <v>50151.662474559314</v>
      </c>
      <c r="E46" s="36">
        <f t="shared" si="9"/>
        <v>45891.215455187143</v>
      </c>
      <c r="F46" s="36">
        <f t="shared" si="10"/>
        <v>37297.996344542495</v>
      </c>
      <c r="G46" s="36">
        <f t="shared" si="11"/>
        <v>45054.039296290721</v>
      </c>
      <c r="H46" s="36">
        <f t="shared" si="12"/>
        <v>61140.422296946119</v>
      </c>
      <c r="I46" s="36">
        <f t="shared" si="13"/>
        <v>61140.422296946119</v>
      </c>
      <c r="J46" s="36">
        <f t="shared" si="14"/>
        <v>37960.20264201294</v>
      </c>
      <c r="K46" s="36">
        <f t="shared" si="15"/>
        <v>37297.996344542495</v>
      </c>
    </row>
    <row r="47" spans="1:11" x14ac:dyDescent="0.25">
      <c r="A47" s="108" t="s">
        <v>475</v>
      </c>
      <c r="B47" s="36">
        <f>SUM(B32:B46)</f>
        <v>651594.66811817093</v>
      </c>
      <c r="C47" s="36">
        <f t="shared" ref="C47:K47" si="16">SUM(C32:C46)</f>
        <v>640552.0499238848</v>
      </c>
      <c r="D47" s="36">
        <f t="shared" si="16"/>
        <v>640552.0499238848</v>
      </c>
      <c r="E47" s="36">
        <f t="shared" si="16"/>
        <v>586136.34489645273</v>
      </c>
      <c r="F47" s="36">
        <f t="shared" si="16"/>
        <v>476381.17736714549</v>
      </c>
      <c r="G47" s="36">
        <f t="shared" si="16"/>
        <v>575443.6803212649</v>
      </c>
      <c r="H47" s="36">
        <f t="shared" si="16"/>
        <v>780903.78071489779</v>
      </c>
      <c r="I47" s="36">
        <f t="shared" si="16"/>
        <v>780903.78071489779</v>
      </c>
      <c r="J47" s="36">
        <f t="shared" si="16"/>
        <v>484839.07448137144</v>
      </c>
      <c r="K47" s="36">
        <f t="shared" si="16"/>
        <v>476381.17736714549</v>
      </c>
    </row>
    <row r="48" spans="1:11" x14ac:dyDescent="0.25">
      <c r="A48" s="356" t="s">
        <v>747</v>
      </c>
      <c r="B48" s="268"/>
      <c r="C48" s="268"/>
      <c r="D48" s="268"/>
      <c r="E48" s="268"/>
      <c r="F48" s="268"/>
      <c r="G48" s="268"/>
      <c r="H48" s="268"/>
      <c r="I48" s="268"/>
      <c r="J48" s="268"/>
    </row>
    <row r="49" spans="1:11" ht="51.75" x14ac:dyDescent="0.25">
      <c r="A49" s="250" t="s">
        <v>445</v>
      </c>
      <c r="B49" s="90" t="s">
        <v>1</v>
      </c>
      <c r="C49" s="108" t="s">
        <v>149</v>
      </c>
      <c r="D49" s="90" t="s">
        <v>150</v>
      </c>
      <c r="E49" s="108" t="s">
        <v>151</v>
      </c>
      <c r="F49" s="90" t="s">
        <v>152</v>
      </c>
      <c r="G49" s="126" t="s">
        <v>154</v>
      </c>
      <c r="H49" s="90" t="s">
        <v>155</v>
      </c>
      <c r="I49" s="126" t="s">
        <v>156</v>
      </c>
      <c r="J49" s="114" t="s">
        <v>124</v>
      </c>
      <c r="K49" s="126" t="s">
        <v>735</v>
      </c>
    </row>
    <row r="50" spans="1:11" x14ac:dyDescent="0.25">
      <c r="A50" s="108" t="s">
        <v>460</v>
      </c>
      <c r="B50" s="268">
        <f>IF(Inputs!$E$5=$B$49,IF(Inputs!$E$30=Inputs!$F$30,'School Bus Table'!F$18,('School Bus Table'!$D$10/Inputs!$E$30)*'School Bus Table'!F$16),'School Bus Table'!F$18)</f>
        <v>24321.752848072374</v>
      </c>
      <c r="C50" s="268">
        <f>IF(Inputs!$E$5=$C$49,IF(Inputs!$E$30=Inputs!$F$30,'School Bus Table'!F$28,('School Bus Table'!$D$10/Inputs!$E$30)*'School Bus Table'!F$26),'School Bus Table'!F$28)</f>
        <v>27217.173822961595</v>
      </c>
      <c r="D50" s="268">
        <f>IF(Inputs!$E$5=$D$49,IF(Inputs!$E$30=Inputs!$F$30,'School Bus Table'!F$41,('School Bus Table'!$D$10/Inputs!$E$30)*'School Bus Table'!F$39),'School Bus Table'!F$41)</f>
        <v>27217.173822961595</v>
      </c>
      <c r="E50" s="268">
        <f>IF(Inputs!$E$5=$E$49,IF(Inputs!$E$30=Inputs!$F$30,'School Bus Table'!F$54,('School Bus Table'!$D$10/Inputs!$E$30)*'School Bus Table'!F$52),'School Bus Table'!F$54)</f>
        <v>26075.730458217484</v>
      </c>
      <c r="F50" s="268">
        <f>IF(Inputs!$E$5=$F$49,IF(Inputs!$E$30=Inputs!$F$30,'School Bus Table'!F$69-IF(Inputs!$E$35="YES",F121,0),(Inputs!$B$24/Inputs!$E$30)*'School Bus Table'!F$67)-IF(Inputs!$E$35="Yes",F121,0),'School Bus Table'!F$69-IF(Inputs!$E$35="YES",F121,0))</f>
        <v>22749.020220776067</v>
      </c>
      <c r="G50" s="268">
        <f>IF(Inputs!$E$5=$G$49,'School Bus Table'!F$94-IF(Inputs!$E$35="Yes",G121,0),'School Bus Table'!F$94-IF(Inputs!$E$35="YES",G121,0))</f>
        <v>-13032.280208199278</v>
      </c>
      <c r="H50" s="268">
        <f>IF(Inputs!$E$5=$H$49,IF(Inputs!$E$30=Inputs!$F$30,'School Bus Table'!F$106-IF(Inputs!$E$35="YES",H121,0),(Inputs!$B$24/Inputs!$E$30)*'School Bus Table'!F$104)-IF(Inputs!$E$35="Yes",H121,0),'School Bus Table'!F$106-IF(Inputs!$E$35="YES",H121,0))</f>
        <v>10346.859920974579</v>
      </c>
      <c r="I50" s="268">
        <f>IF(Inputs!$E$5=$I$49,IF(Inputs!$E$30=Inputs!$F$30,'School Bus Table'!F$117,(Inputs!$B$24/Inputs!$E$30)*'School Bus Table'!F$115),'School Bus Table'!F$117)</f>
        <v>4437.6769067796613</v>
      </c>
      <c r="J50" s="268">
        <f>IF(Inputs!$E$5=$J$49,IF(Inputs!$E$30=Inputs!$F$30,'School Bus Table'!F$130,('School Bus Table'!$D$10/Inputs!$E$30)*'School Bus Table'!F$128),'School Bus Table'!F$130)</f>
        <v>23844.525821951414</v>
      </c>
    </row>
    <row r="51" spans="1:11" x14ac:dyDescent="0.25">
      <c r="A51" s="108" t="s">
        <v>461</v>
      </c>
      <c r="B51" s="268">
        <f>IF(Inputs!$E$5=$B$49,IF(Inputs!$E$30=Inputs!$F$30,'School Bus Table'!G$18,('School Bus Table'!$D$10/Inputs!$E$30)*'School Bus Table'!G$16),'School Bus Table'!G$18)</f>
        <v>25742.614782850811</v>
      </c>
      <c r="C51" s="268">
        <f>IF(Inputs!$E$5=$C$49,IF(Inputs!$E$30=Inputs!$F$30,'School Bus Table'!G$28,('School Bus Table'!$D$10/Inputs!$E$30)*'School Bus Table'!G$26),'School Bus Table'!G$28)</f>
        <v>28638.035757740032</v>
      </c>
      <c r="D51" s="268">
        <f>IF(Inputs!$E$5=$D$49,IF(Inputs!$E$30=Inputs!$F$30,'School Bus Table'!G$41,('School Bus Table'!$D$10/Inputs!$E$30)*'School Bus Table'!G$39),'School Bus Table'!G$41)</f>
        <v>28638.035757740032</v>
      </c>
      <c r="E51" s="268">
        <f>IF(Inputs!$E$5=$E$49,IF(Inputs!$E$30=Inputs!$F$30,'School Bus Table'!G$54,('School Bus Table'!$D$10/Inputs!$E$30)*'School Bus Table'!G$52),'School Bus Table'!G$54)</f>
        <v>27496.592392995921</v>
      </c>
      <c r="F51" s="268">
        <f>IF(Inputs!$E$5=$F$49,IF(Inputs!$E$30=Inputs!$F$30,'School Bus Table'!G$69-IF(Inputs!$E$35="YES",F122,0),(Inputs!$B$24/Inputs!$E$30)*'School Bus Table'!G$67)-IF(Inputs!$E$35="Yes",F122,0),'School Bus Table'!G$69-IF(Inputs!$E$35="YES",F122,0))</f>
        <v>23678.712147263075</v>
      </c>
      <c r="G51" s="268">
        <f>IF(Inputs!$E$5=$G$49,'School Bus Table'!G$94-IF(Inputs!$E$35="Yes",G122,0),'School Bus Table'!G$94-IF(Inputs!$E$35="YES",G122,0))</f>
        <v>-12727.494432675587</v>
      </c>
      <c r="H51" s="268">
        <f>IF(Inputs!$E$5=$H$49,IF(Inputs!$E$30=Inputs!$F$30,'School Bus Table'!G$106-IF(Inputs!$E$35="YES",H122,0),(Inputs!$B$24/Inputs!$E$30)*'School Bus Table'!G$104)-IF(Inputs!$E$35="Yes",H122,0),'School Bus Table'!G$106-IF(Inputs!$E$35="YES",H122,0))</f>
        <v>11786.943661652545</v>
      </c>
      <c r="I51" s="268">
        <f>IF(Inputs!$E$5=$I$49,IF(Inputs!$E$30=Inputs!$F$30,'School Bus Table'!G$117,(Inputs!$B$24/Inputs!$E$30)*'School Bus Table'!G$115),'School Bus Table'!G$117)</f>
        <v>5591.7664194915251</v>
      </c>
      <c r="J51" s="268">
        <f>IF(Inputs!$E$5=$J$49,IF(Inputs!$E$30=Inputs!$F$30,'School Bus Table'!G$130,('School Bus Table'!$D$10/Inputs!$E$30)*'School Bus Table'!G$128),'School Bus Table'!G$130)</f>
        <v>24953.24719034091</v>
      </c>
    </row>
    <row r="52" spans="1:11" x14ac:dyDescent="0.25">
      <c r="A52" s="108" t="s">
        <v>462</v>
      </c>
      <c r="B52" s="268">
        <f>IF(Inputs!$E$5=$B$49,IF(Inputs!$E$30=Inputs!$F$30,'School Bus Table'!H$18,('School Bus Table'!$D$10/Inputs!$E$30)*'School Bus Table'!H$16),'School Bus Table'!H$18)</f>
        <v>28424.246286270303</v>
      </c>
      <c r="C52" s="268">
        <f>IF(Inputs!$E$5=$C$49,IF(Inputs!$E$30=Inputs!$F$30,'School Bus Table'!H$28,('School Bus Table'!$D$10/Inputs!$E$30)*'School Bus Table'!H$26),'School Bus Table'!H$28)</f>
        <v>31319.667261159524</v>
      </c>
      <c r="D52" s="268">
        <f>IF(Inputs!$E$5=$D$49,IF(Inputs!$E$30=Inputs!$F$30,'School Bus Table'!H$41,('School Bus Table'!$D$10/Inputs!$E$30)*'School Bus Table'!H$39),'School Bus Table'!H$41)</f>
        <v>31319.667261159524</v>
      </c>
      <c r="E52" s="268">
        <f>IF(Inputs!$E$5=$E$49,IF(Inputs!$E$30=Inputs!$F$30,'School Bus Table'!H$54,('School Bus Table'!$D$10/Inputs!$E$30)*'School Bus Table'!H$52),'School Bus Table'!H$54)</f>
        <v>30178.223896415413</v>
      </c>
      <c r="F52" s="268">
        <f>IF(Inputs!$E$5=$F$49,IF(Inputs!$E$30=Inputs!$F$30,'School Bus Table'!H$69-IF(Inputs!$E$35="YES",F123,0),(Inputs!$B$24/Inputs!$E$30)*'School Bus Table'!H$67)-IF(Inputs!$E$35="Yes",F123,0),'School Bus Table'!H$69-IF(Inputs!$E$35="YES",F123,0))</f>
        <v>24919.752979045923</v>
      </c>
      <c r="G52" s="268">
        <f>IF(Inputs!$E$5=$G$49,'School Bus Table'!H$94-IF(Inputs!$E$35="Yes",G123,0),'School Bus Table'!H$94-IF(Inputs!$E$35="YES",G123,0))</f>
        <v>-12344.815797078114</v>
      </c>
      <c r="H52" s="268">
        <f>IF(Inputs!$E$5=$H$49,IF(Inputs!$E$30=Inputs!$F$30,'School Bus Table'!H$106-IF(Inputs!$E$35="YES",H123,0),(Inputs!$B$24/Inputs!$E$30)*'School Bus Table'!H$104)-IF(Inputs!$E$35="Yes",H123,0),'School Bus Table'!H$106-IF(Inputs!$E$35="YES",H123,0))</f>
        <v>11661.750579661022</v>
      </c>
      <c r="I52" s="268">
        <f>IF(Inputs!$E$5=$I$49,IF(Inputs!$E$30=Inputs!$F$30,'School Bus Table'!H$117,(Inputs!$B$24/Inputs!$E$30)*'School Bus Table'!H$115),'School Bus Table'!H$117)</f>
        <v>5178.6467161016963</v>
      </c>
      <c r="J52" s="268">
        <f>IF(Inputs!$E$5=$J$49,IF(Inputs!$E$30=Inputs!$F$30,'School Bus Table'!H$130,('School Bus Table'!$D$10/Inputs!$E$30)*'School Bus Table'!H$128),'School Bus Table'!H$130)</f>
        <v>25517.559822409883</v>
      </c>
    </row>
    <row r="53" spans="1:11" x14ac:dyDescent="0.25">
      <c r="A53" s="108" t="s">
        <v>463</v>
      </c>
      <c r="B53" s="268">
        <f>IF(Inputs!$E$5=$B$49,IF(Inputs!$E$30=Inputs!$F$30,'School Bus Table'!I$18,('School Bus Table'!$D$10/Inputs!$E$30)*'School Bus Table'!I$16),'School Bus Table'!I$18)</f>
        <v>29933.729141875927</v>
      </c>
      <c r="C53" s="268">
        <f>IF(Inputs!$E$5=$C$49,IF(Inputs!$E$30=Inputs!$F$30,'School Bus Table'!I$28,('School Bus Table'!$D$10/Inputs!$E$30)*'School Bus Table'!I$26),'School Bus Table'!I$28)</f>
        <v>32829.150116765144</v>
      </c>
      <c r="D53" s="268">
        <f>IF(Inputs!$E$5=$D$49,IF(Inputs!$E$30=Inputs!$F$30,'School Bus Table'!I$41,('School Bus Table'!$D$10/Inputs!$E$30)*'School Bus Table'!I$39),'School Bus Table'!I$41)</f>
        <v>32829.150116765144</v>
      </c>
      <c r="E53" s="268">
        <f>IF(Inputs!$E$5=$E$49,IF(Inputs!$E$30=Inputs!$F$30,'School Bus Table'!I$54,('School Bus Table'!$D$10/Inputs!$E$30)*'School Bus Table'!I$52),'School Bus Table'!I$54)</f>
        <v>31687.706752021037</v>
      </c>
      <c r="F53" s="268">
        <f>IF(Inputs!$E$5=$F$49,IF(Inputs!$E$30=Inputs!$F$30,'School Bus Table'!I$69-IF(Inputs!$E$35="YES",F124,0),(Inputs!$B$24/Inputs!$E$30)*'School Bus Table'!I$67)-IF(Inputs!$E$35="Yes",F124,0),'School Bus Table'!I$69-IF(Inputs!$E$35="YES",F124,0))</f>
        <v>26285.106509929705</v>
      </c>
      <c r="G53" s="268">
        <f>IF(Inputs!$E$5=$G$49,'School Bus Table'!I$94-IF(Inputs!$E$35="Yes",G124,0),'School Bus Table'!I$94-IF(Inputs!$E$35="YES",G124,0))</f>
        <v>-11838.141728342696</v>
      </c>
      <c r="H53" s="268">
        <f>IF(Inputs!$E$5=$H$49,IF(Inputs!$E$30=Inputs!$F$30,'School Bus Table'!I$106-IF(Inputs!$E$35="YES",H124,0),(Inputs!$B$24/Inputs!$E$30)*'School Bus Table'!I$104)-IF(Inputs!$E$35="Yes",H124,0),'School Bus Table'!I$106-IF(Inputs!$E$35="YES",H124,0))</f>
        <v>11571.966205932205</v>
      </c>
      <c r="I53" s="268">
        <f>IF(Inputs!$E$5=$I$49,IF(Inputs!$E$30=Inputs!$F$30,'School Bus Table'!I$117,(Inputs!$B$24/Inputs!$E$30)*'School Bus Table'!I$115),'School Bus Table'!I$117)</f>
        <v>4802.8681144067805</v>
      </c>
      <c r="J53" s="268">
        <f>IF(Inputs!$E$5=$J$49,IF(Inputs!$E$30=Inputs!$F$30,'School Bus Table'!I$130,('School Bus Table'!$D$10/Inputs!$E$30)*'School Bus Table'!I$128),'School Bus Table'!I$130)</f>
        <v>26654.909502421629</v>
      </c>
    </row>
    <row r="54" spans="1:11" x14ac:dyDescent="0.25">
      <c r="A54" s="108" t="s">
        <v>464</v>
      </c>
      <c r="B54" s="268">
        <f>IF(Inputs!$E$5=$B$49,IF(Inputs!$E$30=Inputs!$F$30,'School Bus Table'!J$18,('School Bus Table'!$D$10/Inputs!$E$30)*'School Bus Table'!J$16),'School Bus Table'!J$18)</f>
        <v>31336.252646144752</v>
      </c>
      <c r="C54" s="268">
        <f>IF(Inputs!$E$5=$C$49,IF(Inputs!$E$30=Inputs!$F$30,'School Bus Table'!J$28,('School Bus Table'!$D$10/Inputs!$E$30)*'School Bus Table'!J$26),'School Bus Table'!J$28)</f>
        <v>34231.673621033973</v>
      </c>
      <c r="D54" s="268">
        <f>IF(Inputs!$E$5=$D$49,IF(Inputs!$E$30=Inputs!$F$30,'School Bus Table'!J$41,('School Bus Table'!$D$10/Inputs!$E$30)*'School Bus Table'!J$39),'School Bus Table'!J$41)</f>
        <v>34231.673621033973</v>
      </c>
      <c r="E54" s="268">
        <f>IF(Inputs!$E$5=$E$49,IF(Inputs!$E$30=Inputs!$F$30,'School Bus Table'!J$54,('School Bus Table'!$D$10/Inputs!$E$30)*'School Bus Table'!J$52),'School Bus Table'!J$54)</f>
        <v>33090.230256289862</v>
      </c>
      <c r="F54" s="268">
        <f>IF(Inputs!$E$5=$F$49,IF(Inputs!$E$30=Inputs!$F$30,'School Bus Table'!J$69-IF(Inputs!$E$35="YES",F125,0),(Inputs!$B$24/Inputs!$E$30)*'School Bus Table'!J$67)-IF(Inputs!$E$35="Yes",F125,0),'School Bus Table'!J$69-IF(Inputs!$E$35="YES",F125,0))</f>
        <v>27519.77409668361</v>
      </c>
      <c r="G54" s="268">
        <f>IF(Inputs!$E$5=$G$49,'School Bus Table'!J$94-IF(Inputs!$E$35="Yes",G125,0),'School Bus Table'!J$94-IF(Inputs!$E$35="YES",G125,0))</f>
        <v>-10862.104682410663</v>
      </c>
      <c r="H54" s="268">
        <f>IF(Inputs!$E$5=$H$49,IF(Inputs!$E$30=Inputs!$F$30,'School Bus Table'!J$106-IF(Inputs!$E$35="YES",H125,0),(Inputs!$B$24/Inputs!$E$30)*'School Bus Table'!J$104)-IF(Inputs!$E$35="Yes",H125,0),'School Bus Table'!J$106-IF(Inputs!$E$35="YES",H125,0))</f>
        <v>12016.59216101695</v>
      </c>
      <c r="I54" s="268">
        <f>IF(Inputs!$E$5=$I$49,IF(Inputs!$E$30=Inputs!$F$30,'School Bus Table'!J$117,(Inputs!$B$24/Inputs!$E$30)*'School Bus Table'!J$115),'School Bus Table'!J$117)</f>
        <v>4866.168432203388</v>
      </c>
      <c r="J54" s="268">
        <f>IF(Inputs!$E$5=$J$49,IF(Inputs!$E$30=Inputs!$F$30,'School Bus Table'!J$130,('School Bus Table'!$D$10/Inputs!$E$30)*'School Bus Table'!J$128),'School Bus Table'!J$130)</f>
        <v>27657.843404878531</v>
      </c>
    </row>
    <row r="55" spans="1:11" x14ac:dyDescent="0.25">
      <c r="A55" s="108" t="s">
        <v>465</v>
      </c>
      <c r="B55" s="268">
        <f>IF(Inputs!$E$5=$B$49,IF(Inputs!$E$30=Inputs!$F$30,'School Bus Table'!K$18,('School Bus Table'!$D$10/Inputs!$E$30)*'School Bus Table'!K$16),'School Bus Table'!K$18)</f>
        <v>32784.988656403249</v>
      </c>
      <c r="C55" s="268">
        <f>IF(Inputs!$E$5=$C$49,IF(Inputs!$E$30=Inputs!$F$30,'School Bus Table'!K$28,('School Bus Table'!$D$10/Inputs!$E$30)*'School Bus Table'!K$26),'School Bus Table'!K$28)</f>
        <v>35680.409631292467</v>
      </c>
      <c r="D55" s="268">
        <f>IF(Inputs!$E$5=$D$49,IF(Inputs!$E$30=Inputs!$F$30,'School Bus Table'!K$41,('School Bus Table'!$D$10/Inputs!$E$30)*'School Bus Table'!K$39),'School Bus Table'!K$41)</f>
        <v>35680.409631292467</v>
      </c>
      <c r="E55" s="268">
        <f>IF(Inputs!$E$5=$E$49,IF(Inputs!$E$30=Inputs!$F$30,'School Bus Table'!K$54,('School Bus Table'!$D$10/Inputs!$E$30)*'School Bus Table'!K$52),'School Bus Table'!K$54)</f>
        <v>34538.966266548356</v>
      </c>
      <c r="F55" s="268">
        <f>IF(Inputs!$E$5=$F$49,IF(Inputs!$E$30=Inputs!$F$30,'School Bus Table'!K$69-IF(Inputs!$E$35="YES",F126,0),(Inputs!$B$24/Inputs!$E$30)*'School Bus Table'!K$67)-IF(Inputs!$E$35="Yes",F126,0),'School Bus Table'!K$69-IF(Inputs!$E$35="YES",F126,0))</f>
        <v>28459.590530880836</v>
      </c>
      <c r="G55" s="268">
        <f>IF(Inputs!$E$5=$G$49,'School Bus Table'!K$94-IF(Inputs!$E$35="Yes",G126,0),'School Bus Table'!K$94-IF(Inputs!$E$35="YES",G126,0))</f>
        <v>-10345.735662207768</v>
      </c>
      <c r="H55" s="268">
        <f>IF(Inputs!$E$5=$H$49,IF(Inputs!$E$30=Inputs!$F$30,'School Bus Table'!K$106-IF(Inputs!$E$35="YES",H126,0),(Inputs!$B$24/Inputs!$E$30)*'School Bus Table'!K$104)-IF(Inputs!$E$35="Yes",H126,0),'School Bus Table'!K$106-IF(Inputs!$E$35="YES",H126,0))</f>
        <v>12299.877648305086</v>
      </c>
      <c r="I55" s="268">
        <f>IF(Inputs!$E$5=$I$49,IF(Inputs!$E$30=Inputs!$F$30,'School Bus Table'!K$117,(Inputs!$B$24/Inputs!$E$30)*'School Bus Table'!K$115),'School Bus Table'!K$117)</f>
        <v>5149.4539194915233</v>
      </c>
      <c r="J55" s="268">
        <f>IF(Inputs!$E$5=$J$49,IF(Inputs!$E$30=Inputs!$F$30,'School Bus Table'!K$130,('School Bus Table'!$D$10/Inputs!$E$30)*'School Bus Table'!K$128),'School Bus Table'!K$130)</f>
        <v>28833.922777131665</v>
      </c>
    </row>
    <row r="56" spans="1:11" x14ac:dyDescent="0.25">
      <c r="A56" s="108" t="s">
        <v>466</v>
      </c>
      <c r="B56" s="268">
        <f>IF(Inputs!$E$5=$B$49,IF(Inputs!$E$30=Inputs!$F$30,'School Bus Table'!L$18,('School Bus Table'!$D$10/Inputs!$E$30)*'School Bus Table'!L$16),'School Bus Table'!L$18)</f>
        <v>34272.207553138855</v>
      </c>
      <c r="C56" s="268">
        <f>IF(Inputs!$E$5=$C$49,IF(Inputs!$E$30=Inputs!$F$30,'School Bus Table'!L$28,('School Bus Table'!$D$10/Inputs!$E$30)*'School Bus Table'!L$26),'School Bus Table'!L$28)</f>
        <v>37167.628528028072</v>
      </c>
      <c r="D56" s="268">
        <f>IF(Inputs!$E$5=$D$49,IF(Inputs!$E$30=Inputs!$F$30,'School Bus Table'!L$41,('School Bus Table'!$D$10/Inputs!$E$30)*'School Bus Table'!L$39),'School Bus Table'!L$41)</f>
        <v>37167.628528028072</v>
      </c>
      <c r="E56" s="268">
        <f>IF(Inputs!$E$5=$E$49,IF(Inputs!$E$30=Inputs!$F$30,'School Bus Table'!L$54,('School Bus Table'!$D$10/Inputs!$E$30)*'School Bus Table'!L$52),'School Bus Table'!L$54)</f>
        <v>36026.185163283961</v>
      </c>
      <c r="F56" s="268">
        <f>IF(Inputs!$E$5=$F$49,IF(Inputs!$E$30=Inputs!$F$30,'School Bus Table'!L$69-IF(Inputs!$E$35="YES",F127,0),(Inputs!$B$24/Inputs!$E$30)*'School Bus Table'!L$67)-IF(Inputs!$E$35="Yes",F127,0),'School Bus Table'!L$69-IF(Inputs!$E$35="YES",F127,0))</f>
        <v>29789.399373354237</v>
      </c>
      <c r="G56" s="268">
        <f>IF(Inputs!$E$5=$G$49,'School Bus Table'!L$94-IF(Inputs!$E$35="Yes",G127,0),'School Bus Table'!L$94-IF(Inputs!$E$35="YES",G127,0))</f>
        <v>-9854.1456010187758</v>
      </c>
      <c r="H56" s="268">
        <f>IF(Inputs!$E$5=$H$49,IF(Inputs!$E$30=Inputs!$F$30,'School Bus Table'!L$106-IF(Inputs!$E$35="YES",H127,0),(Inputs!$B$24/Inputs!$E$30)*'School Bus Table'!L$104)-IF(Inputs!$E$35="Yes",H127,0),'School Bus Table'!L$106-IF(Inputs!$E$35="YES",H127,0))</f>
        <v>12508.22033898305</v>
      </c>
      <c r="I56" s="268">
        <f>IF(Inputs!$E$5=$I$49,IF(Inputs!$E$30=Inputs!$F$30,'School Bus Table'!L$117,(Inputs!$B$24/Inputs!$E$30)*'School Bus Table'!L$115),'School Bus Table'!L$117)</f>
        <v>5357.7966101694901</v>
      </c>
      <c r="J56" s="268">
        <f>IF(Inputs!$E$5=$J$49,IF(Inputs!$E$30=Inputs!$F$30,'School Bus Table'!L$130,('School Bus Table'!$D$10/Inputs!$E$30)*'School Bus Table'!L$128),'School Bus Table'!L$130)</f>
        <v>30548.181109627749</v>
      </c>
    </row>
    <row r="57" spans="1:11" x14ac:dyDescent="0.25">
      <c r="A57" s="108" t="s">
        <v>467</v>
      </c>
      <c r="B57" s="268">
        <f>IF(Inputs!$E$5=$B$49,IF(Inputs!$E$30=Inputs!$F$30,'School Bus Table'!M$18,('School Bus Table'!$D$10/Inputs!$E$30)*'School Bus Table'!M$16),'School Bus Table'!M$18)</f>
        <v>35839.021479593801</v>
      </c>
      <c r="C57" s="268">
        <f>IF(Inputs!$E$5=$C$49,IF(Inputs!$E$30=Inputs!$F$30,'School Bus Table'!M$28,('School Bus Table'!$D$10/Inputs!$E$30)*'School Bus Table'!M$26),'School Bus Table'!M$28)</f>
        <v>38734.442454483018</v>
      </c>
      <c r="D57" s="268">
        <f>IF(Inputs!$E$5=$D$49,IF(Inputs!$E$30=Inputs!$F$30,'School Bus Table'!M$41,('School Bus Table'!$D$10/Inputs!$E$30)*'School Bus Table'!M$39),'School Bus Table'!M$41)</f>
        <v>38734.442454483018</v>
      </c>
      <c r="E57" s="268">
        <f>IF(Inputs!$E$5=$E$49,IF(Inputs!$E$30=Inputs!$F$30,'School Bus Table'!M$54,('School Bus Table'!$D$10/Inputs!$E$30)*'School Bus Table'!M$52),'School Bus Table'!M$54)</f>
        <v>37592.999089738907</v>
      </c>
      <c r="F57" s="268">
        <f>IF(Inputs!$E$5=$F$49,IF(Inputs!$E$30=Inputs!$F$30,'School Bus Table'!M$69-IF(Inputs!$E$35="YES",F128,0),(Inputs!$B$24/Inputs!$E$30)*'School Bus Table'!M$67)-IF(Inputs!$E$35="Yes",F128,0),'School Bus Table'!M$69-IF(Inputs!$E$35="YES",F128,0))</f>
        <v>30830.528105821897</v>
      </c>
      <c r="G57" s="268">
        <f>IF(Inputs!$E$5=$G$49,'School Bus Table'!M$94-IF(Inputs!$E$35="Yes",G128,0),'School Bus Table'!M$94-IF(Inputs!$E$35="YES",G128,0))</f>
        <v>-9340.1072877450497</v>
      </c>
      <c r="H57" s="268">
        <f>IF(Inputs!$E$5=$H$49,IF(Inputs!$E$30=Inputs!$F$30,'School Bus Table'!M$106-IF(Inputs!$E$35="YES",H128,0),(Inputs!$B$24/Inputs!$E$30)*'School Bus Table'!M$104)-IF(Inputs!$E$35="Yes",H128,0),'School Bus Table'!M$106-IF(Inputs!$E$35="YES",H128,0))</f>
        <v>12755.585275423728</v>
      </c>
      <c r="I57" s="268">
        <f>IF(Inputs!$E$5=$I$49,IF(Inputs!$E$30=Inputs!$F$30,'School Bus Table'!M$117,(Inputs!$B$24/Inputs!$E$30)*'School Bus Table'!M$115),'School Bus Table'!M$117)</f>
        <v>5605.1615466101684</v>
      </c>
      <c r="J57" s="268">
        <f>IF(Inputs!$E$5=$J$49,IF(Inputs!$E$30=Inputs!$F$30,'School Bus Table'!M$130,('School Bus Table'!$D$10/Inputs!$E$30)*'School Bus Table'!M$128),'School Bus Table'!M$130)</f>
        <v>32051.823882127748</v>
      </c>
    </row>
    <row r="58" spans="1:11" x14ac:dyDescent="0.25">
      <c r="A58" s="108" t="s">
        <v>468</v>
      </c>
      <c r="B58" s="268">
        <f>IF(Inputs!$E$5=$B$49,IF(Inputs!$E$30=Inputs!$F$30,'School Bus Table'!N$18,('School Bus Table'!$D$10/Inputs!$E$30)*'School Bus Table'!N$16),'School Bus Table'!N$18)</f>
        <v>37207.049756410634</v>
      </c>
      <c r="C58" s="268">
        <f>IF(Inputs!$E$5=$C$49,IF(Inputs!$E$30=Inputs!$F$30,'School Bus Table'!N$28,('School Bus Table'!$D$10/Inputs!$E$30)*'School Bus Table'!N$26),'School Bus Table'!N$28)</f>
        <v>40102.470731299858</v>
      </c>
      <c r="D58" s="268">
        <f>IF(Inputs!$E$5=$D$49,IF(Inputs!$E$30=Inputs!$F$30,'School Bus Table'!N$41,('School Bus Table'!$D$10/Inputs!$E$30)*'School Bus Table'!N$39),'School Bus Table'!N$41)</f>
        <v>40102.470731299858</v>
      </c>
      <c r="E58" s="268">
        <f>IF(Inputs!$E$5=$E$49,IF(Inputs!$E$30=Inputs!$F$30,'School Bus Table'!N$54,('School Bus Table'!$D$10/Inputs!$E$30)*'School Bus Table'!N$52),'School Bus Table'!N$54)</f>
        <v>38961.02736655574</v>
      </c>
      <c r="F58" s="268">
        <f>IF(Inputs!$E$5=$F$49,IF(Inputs!$E$30=Inputs!$F$30,'School Bus Table'!N$69-IF(Inputs!$E$35="YES",F129,0),(Inputs!$B$24/Inputs!$E$30)*'School Bus Table'!N$67)-IF(Inputs!$E$35="Yes",F129,0),'School Bus Table'!N$69-IF(Inputs!$E$35="YES",F129,0))</f>
        <v>32787.379480113988</v>
      </c>
      <c r="G58" s="268">
        <f>IF(Inputs!$E$5=$G$49,'School Bus Table'!N$94-IF(Inputs!$E$35="Yes",G129,0),'School Bus Table'!N$94-IF(Inputs!$E$35="YES",G129,0))</f>
        <v>-8788.1955142075858</v>
      </c>
      <c r="H58" s="268">
        <f>IF(Inputs!$E$5=$H$49,IF(Inputs!$E$30=Inputs!$F$30,'School Bus Table'!N$106-IF(Inputs!$E$35="YES",H129,0),(Inputs!$B$24/Inputs!$E$30)*'School Bus Table'!N$104)-IF(Inputs!$E$35="Yes",H129,0),'School Bus Table'!N$106-IF(Inputs!$E$35="YES",H129,0))</f>
        <v>13012.973516949154</v>
      </c>
      <c r="I58" s="268">
        <f>IF(Inputs!$E$5=$I$49,IF(Inputs!$E$30=Inputs!$F$30,'School Bus Table'!N$117,(Inputs!$B$24/Inputs!$E$30)*'School Bus Table'!N$115),'School Bus Table'!N$117)</f>
        <v>5862.5497881355932</v>
      </c>
      <c r="J58" s="268">
        <f>IF(Inputs!$E$5=$J$49,IF(Inputs!$E$30=Inputs!$F$30,'School Bus Table'!N$130,('School Bus Table'!$D$10/Inputs!$E$30)*'School Bus Table'!N$128),'School Bus Table'!N$130)</f>
        <v>34770.040993714734</v>
      </c>
    </row>
    <row r="59" spans="1:11" x14ac:dyDescent="0.25">
      <c r="A59" s="108" t="s">
        <v>469</v>
      </c>
      <c r="B59" s="268">
        <f>IF(Inputs!$E$5=$B$49,IF(Inputs!$E$30=Inputs!$F$30,'School Bus Table'!O$18,('School Bus Table'!$D$10/Inputs!$E$30)*'School Bus Table'!O$16),'School Bus Table'!O$18)</f>
        <v>39510.401531942392</v>
      </c>
      <c r="C59" s="268">
        <f>IF(Inputs!$E$5=$C$49,IF(Inputs!$E$30=Inputs!$F$30,'School Bus Table'!O$28,('School Bus Table'!$D$10/Inputs!$E$30)*'School Bus Table'!O$26),'School Bus Table'!O$28)</f>
        <v>42405.82250683161</v>
      </c>
      <c r="D59" s="268">
        <f>IF(Inputs!$E$5=$D$49,IF(Inputs!$E$30=Inputs!$F$30,'School Bus Table'!O$41,('School Bus Table'!$D$10/Inputs!$E$30)*'School Bus Table'!O$39),'School Bus Table'!O$41)</f>
        <v>42405.82250683161</v>
      </c>
      <c r="E59" s="268">
        <f>IF(Inputs!$E$5=$E$49,IF(Inputs!$E$30=Inputs!$F$30,'School Bus Table'!O$54,('School Bus Table'!$D$10/Inputs!$E$30)*'School Bus Table'!O$52),'School Bus Table'!O$54)</f>
        <v>41264.379142087506</v>
      </c>
      <c r="F59" s="268">
        <f>IF(Inputs!$E$5=$F$49,IF(Inputs!$E$30=Inputs!$F$30,'School Bus Table'!O$69-IF(Inputs!$E$35="YES",F130,0),(Inputs!$B$24/Inputs!$E$30)*'School Bus Table'!O$67)-IF(Inputs!$E$35="Yes",F130,0),'School Bus Table'!O$69-IF(Inputs!$E$35="YES",F130,0))</f>
        <v>33880.906700130086</v>
      </c>
      <c r="G59" s="268">
        <f>IF(Inputs!$E$5=$G$49,'School Bus Table'!O$94-IF(Inputs!$E$35="Yes",G130,0),'School Bus Table'!O$94-IF(Inputs!$E$35="YES",G130,0))</f>
        <v>-8339.6781630882797</v>
      </c>
      <c r="H59" s="268">
        <f>IF(Inputs!$E$5=$H$49,IF(Inputs!$E$30=Inputs!$F$30,'School Bus Table'!O$106-IF(Inputs!$E$35="YES",H130,0),(Inputs!$B$24/Inputs!$E$30)*'School Bus Table'!O$104)-IF(Inputs!$E$35="Yes",H130,0),'School Bus Table'!O$106-IF(Inputs!$E$35="YES",H130,0))</f>
        <v>14563.797139830509</v>
      </c>
      <c r="I59" s="268">
        <f>IF(Inputs!$E$5=$I$49,IF(Inputs!$E$30=Inputs!$F$30,'School Bus Table'!O$117,(Inputs!$B$24/Inputs!$E$30)*'School Bus Table'!O$115),'School Bus Table'!O$117)</f>
        <v>7413.373411016948</v>
      </c>
      <c r="J59" s="268">
        <f>IF(Inputs!$E$5=$J$49,IF(Inputs!$E$30=Inputs!$F$30,'School Bus Table'!O$130,('School Bus Table'!$D$10/Inputs!$E$30)*'School Bus Table'!O$128),'School Bus Table'!O$130)</f>
        <v>35916.38666143809</v>
      </c>
    </row>
    <row r="60" spans="1:11" x14ac:dyDescent="0.25">
      <c r="A60" s="108" t="s">
        <v>470</v>
      </c>
      <c r="B60" s="268">
        <f>IF(Inputs!$E$5=$B$49,IF(Inputs!$E$30=Inputs!$F$30,'School Bus Table'!P$18,('School Bus Table'!$D$10/Inputs!$E$30)*'School Bus Table'!P$16),'School Bus Table'!P$18)</f>
        <v>40990.222643397348</v>
      </c>
      <c r="C60" s="268">
        <f>IF(Inputs!$E$5=$C$49,IF(Inputs!$E$30=Inputs!$F$30,'School Bus Table'!P$28,('School Bus Table'!$D$10/Inputs!$E$30)*'School Bus Table'!P$26),'School Bus Table'!P$28)</f>
        <v>43885.643618286565</v>
      </c>
      <c r="D60" s="268">
        <f>IF(Inputs!$E$5=$D$49,IF(Inputs!$E$30=Inputs!$F$30,'School Bus Table'!P$41,('School Bus Table'!$D$10/Inputs!$E$30)*'School Bus Table'!P$39),'School Bus Table'!P$41)</f>
        <v>43885.643618286565</v>
      </c>
      <c r="E60" s="268">
        <f>IF(Inputs!$E$5=$E$49,IF(Inputs!$E$30=Inputs!$F$30,'School Bus Table'!P$54,('School Bus Table'!$D$10/Inputs!$E$30)*'School Bus Table'!P$52),'School Bus Table'!P$54)</f>
        <v>42744.200253542454</v>
      </c>
      <c r="F60" s="268">
        <f>IF(Inputs!$E$5=$F$49,IF(Inputs!$E$30=Inputs!$F$30,'School Bus Table'!P$69-IF(Inputs!$E$35="YES",F131,0),(Inputs!$B$24/Inputs!$E$30)*'School Bus Table'!P$67)-IF(Inputs!$E$35="Yes",F131,0),'School Bus Table'!P$69-IF(Inputs!$E$35="YES",F131,0))</f>
        <v>35227.157540281129</v>
      </c>
      <c r="G60" s="268">
        <f>IF(Inputs!$E$5=$G$49,'School Bus Table'!P$94-IF(Inputs!$E$35="Yes",G131,0),'School Bus Table'!P$94-IF(Inputs!$E$35="YES",G131,0))</f>
        <v>-7776.2696927192701</v>
      </c>
      <c r="H60" s="268">
        <f>IF(Inputs!$E$5=$H$49,IF(Inputs!$E$30=Inputs!$F$30,'School Bus Table'!P$106-IF(Inputs!$E$35="YES",H131,0),(Inputs!$B$24/Inputs!$E$30)*'School Bus Table'!P$104)-IF(Inputs!$E$35="Yes",H131,0),'School Bus Table'!P$106-IF(Inputs!$E$35="YES",H131,0))</f>
        <v>14648.980932203391</v>
      </c>
      <c r="I60" s="268">
        <f>IF(Inputs!$E$5=$I$49,IF(Inputs!$E$30=Inputs!$F$30,'School Bus Table'!P$117,(Inputs!$B$24/Inputs!$E$30)*'School Bus Table'!P$115),'School Bus Table'!P$117)</f>
        <v>7498.5572033898316</v>
      </c>
      <c r="J60" s="268">
        <f>IF(Inputs!$E$5=$J$49,IF(Inputs!$E$30=Inputs!$F$30,'School Bus Table'!P$130,('School Bus Table'!$D$10/Inputs!$E$30)*'School Bus Table'!P$128),'School Bus Table'!P$130)</f>
        <v>37722.851138612859</v>
      </c>
    </row>
    <row r="61" spans="1:11" x14ac:dyDescent="0.25">
      <c r="A61" s="108" t="s">
        <v>471</v>
      </c>
      <c r="B61" s="268">
        <f>IF(Inputs!$E$5=$B$49,IF(Inputs!$E$30=Inputs!$F$30,'School Bus Table'!Q$18,('School Bus Table'!$D$10/Inputs!$E$30)*'School Bus Table'!Q$16),'School Bus Table'!Q$18)</f>
        <v>42560.110625694251</v>
      </c>
      <c r="C61" s="268">
        <f>IF(Inputs!$E$5=$C$49,IF(Inputs!$E$30=Inputs!$F$30,'School Bus Table'!Q$28,('School Bus Table'!$D$10/Inputs!$E$30)*'School Bus Table'!Q$26),'School Bus Table'!Q$28)</f>
        <v>45455.531600583468</v>
      </c>
      <c r="D61" s="268">
        <f>IF(Inputs!$E$5=$D$49,IF(Inputs!$E$30=Inputs!$F$30,'School Bus Table'!Q$41,('School Bus Table'!$D$10/Inputs!$E$30)*'School Bus Table'!Q$39),'School Bus Table'!Q$41)</f>
        <v>45455.531600583468</v>
      </c>
      <c r="E61" s="268">
        <f>IF(Inputs!$E$5=$E$49,IF(Inputs!$E$30=Inputs!$F$30,'School Bus Table'!Q$54,('School Bus Table'!$D$10/Inputs!$E$30)*'School Bus Table'!Q$52),'School Bus Table'!Q$54)</f>
        <v>44314.08823583935</v>
      </c>
      <c r="F61" s="268">
        <f>IF(Inputs!$E$5=$F$49,IF(Inputs!$E$30=Inputs!$F$30,'School Bus Table'!Q$69-IF(Inputs!$E$35="YES",F132,0),(Inputs!$B$24/Inputs!$E$30)*'School Bus Table'!Q$67)-IF(Inputs!$E$35="Yes",F132,0),'School Bus Table'!Q$69-IF(Inputs!$E$35="YES",F132,0))</f>
        <v>36308.178877215141</v>
      </c>
      <c r="G61" s="268">
        <f>IF(Inputs!$E$5=$G$49,'School Bus Table'!Q$94-IF(Inputs!$E$35="Yes",G132,0),'School Bus Table'!Q$94-IF(Inputs!$E$35="YES",G132,0))</f>
        <v>-7304.561413401454</v>
      </c>
      <c r="H61" s="268">
        <f>IF(Inputs!$E$5=$H$49,IF(Inputs!$E$30=Inputs!$F$30,'School Bus Table'!Q$106-IF(Inputs!$E$35="YES",H132,0),(Inputs!$B$24/Inputs!$E$30)*'School Bus Table'!Q$104)-IF(Inputs!$E$35="Yes",H132,0),'School Bus Table'!Q$106-IF(Inputs!$E$35="YES",H132,0))</f>
        <v>15092.195974576269</v>
      </c>
      <c r="I61" s="268">
        <f>IF(Inputs!$E$5=$I$49,IF(Inputs!$E$30=Inputs!$F$30,'School Bus Table'!Q$117,(Inputs!$B$24/Inputs!$E$30)*'School Bus Table'!Q$115),'School Bus Table'!Q$117)</f>
        <v>7941.7722457627087</v>
      </c>
      <c r="J61" s="268">
        <f>IF(Inputs!$E$5=$J$49,IF(Inputs!$E$30=Inputs!$F$30,'School Bus Table'!Q$130,('School Bus Table'!$D$10/Inputs!$E$30)*'School Bus Table'!Q$128),'School Bus Table'!Q$130)</f>
        <v>39021.633217648901</v>
      </c>
    </row>
    <row r="62" spans="1:11" x14ac:dyDescent="0.25">
      <c r="A62" s="108" t="s">
        <v>472</v>
      </c>
      <c r="B62" s="268">
        <f>IF(Inputs!$E$5=$B$49,IF(Inputs!$E$30=Inputs!$F$30,'School Bus Table'!R$18,('School Bus Table'!$D$10/Inputs!$E$30)*'School Bus Table'!R$16),'School Bus Table'!R$18)</f>
        <v>43842.159946994099</v>
      </c>
      <c r="C62" s="268">
        <f>IF(Inputs!$E$5=$C$49,IF(Inputs!$E$30=Inputs!$F$30,'School Bus Table'!R$28,('School Bus Table'!$D$10/Inputs!$E$30)*'School Bus Table'!R$26),'School Bus Table'!R$28)</f>
        <v>46737.580921883316</v>
      </c>
      <c r="D62" s="268">
        <f>IF(Inputs!$E$5=$D$49,IF(Inputs!$E$30=Inputs!$F$30,'School Bus Table'!R$41,('School Bus Table'!$D$10/Inputs!$E$30)*'School Bus Table'!R$39),'School Bus Table'!R$41)</f>
        <v>46737.580921883316</v>
      </c>
      <c r="E62" s="268">
        <f>IF(Inputs!$E$5=$E$49,IF(Inputs!$E$30=Inputs!$F$30,'School Bus Table'!R$54,('School Bus Table'!$D$10/Inputs!$E$30)*'School Bus Table'!R$52),'School Bus Table'!R$54)</f>
        <v>45596.137557139205</v>
      </c>
      <c r="F62" s="268">
        <f>IF(Inputs!$E$5=$F$49,IF(Inputs!$E$30=Inputs!$F$30,'School Bus Table'!R$69-IF(Inputs!$E$35="YES",F133,0),(Inputs!$B$24/Inputs!$E$30)*'School Bus Table'!R$67)-IF(Inputs!$E$35="Yes",F133,0),'School Bus Table'!R$69-IF(Inputs!$E$35="YES",F133,0))</f>
        <v>37305.244867697103</v>
      </c>
      <c r="G62" s="268">
        <f>IF(Inputs!$E$5=$G$49,'School Bus Table'!R$94-IF(Inputs!$E$35="Yes",G133,0),'School Bus Table'!R94-IF(Inputs!$E$35="YES",G133,0))</f>
        <v>-6702.527836127083</v>
      </c>
      <c r="H62" s="268">
        <f>IF(Inputs!$E$5=$H$49,IF(Inputs!$E$30=Inputs!$F$30,'School Bus Table'!R$106-IF(Inputs!$E$35="YES",H133,0),(Inputs!$B$24/Inputs!$E$30)*'School Bus Table'!R$104)-IF(Inputs!$E$35="Yes",H133,0),'School Bus Table'!R$106-IF(Inputs!$E$35="YES",H133,0))</f>
        <v>15420.637182203394</v>
      </c>
      <c r="I62" s="268">
        <f>IF(Inputs!$E$5=$I$49,IF(Inputs!$E$30=Inputs!$F$30,'School Bus Table'!R$117,(Inputs!$B$24/Inputs!$E$30)*'School Bus Table'!R$115),'School Bus Table'!R$117)</f>
        <v>8270.2134533898316</v>
      </c>
      <c r="J62" s="268">
        <f>IF(Inputs!$E$5=$J$49,IF(Inputs!$E$30=Inputs!$F$30,'School Bus Table'!R$130,('School Bus Table'!$D$10/Inputs!$E$30)*'School Bus Table'!R$128),'School Bus Table'!R$130)</f>
        <v>40577.627944122258</v>
      </c>
    </row>
    <row r="63" spans="1:11" x14ac:dyDescent="0.25">
      <c r="A63" s="108" t="s">
        <v>473</v>
      </c>
      <c r="B63" s="268">
        <f>IF(Inputs!$E$5=$B$49,IF(Inputs!$E$30=Inputs!$F$30,'School Bus Table'!S$18,('School Bus Table'!$D$10/Inputs!$E$30)*'School Bus Table'!S$16),'School Bus Table'!S$18)</f>
        <v>45059.166934719353</v>
      </c>
      <c r="C63" s="268">
        <f>IF(Inputs!$E$5=$C$49,IF(Inputs!$E$30=Inputs!$F$30,'School Bus Table'!S$28,('School Bus Table'!$D$10/Inputs!$E$30)*'School Bus Table'!S$26),'School Bus Table'!S$28)</f>
        <v>47954.587909608577</v>
      </c>
      <c r="D63" s="268">
        <f>IF(Inputs!$E$5=$D$49,IF(Inputs!$E$30=Inputs!$F$30,'School Bus Table'!S$41,('School Bus Table'!$D$10/Inputs!$E$30)*'School Bus Table'!S$39),'School Bus Table'!S$41)</f>
        <v>47954.587909608577</v>
      </c>
      <c r="E63" s="268">
        <f>IF(Inputs!$E$5=$E$49,IF(Inputs!$E$30=Inputs!$F$30,'School Bus Table'!S$54,('School Bus Table'!$D$10/Inputs!$E$30)*'School Bus Table'!S$52),'School Bus Table'!S$54)</f>
        <v>46813.144544864466</v>
      </c>
      <c r="F63" s="268">
        <f>IF(Inputs!$E$5=$F$49,IF(Inputs!$E$30=Inputs!$F$30,'School Bus Table'!S$69-IF(Inputs!$E$35="YES",F134,0),(Inputs!$B$24/Inputs!$E$30)*'School Bus Table'!S$67)-IF(Inputs!$E$35="Yes",F134,0),'School Bus Table'!S$69-IF(Inputs!$E$35="YES",F134,0))</f>
        <v>38315.237982523962</v>
      </c>
      <c r="G63" s="268">
        <f>IF(Inputs!$E$5=$G$49,'School Bus Table'!S$94-IF(Inputs!$E$35="Yes",G134,0),'School Bus Table'!S$94-IF(Inputs!$E$35="YES",G134,0))</f>
        <v>-6193.0429664175026</v>
      </c>
      <c r="H63" s="268">
        <f>IF(Inputs!$E$5=$H$49,IF(Inputs!$E$30=Inputs!$F$30,'School Bus Table'!S$106-IF(Inputs!$E$35="YES",H134,0),(Inputs!$B$24/Inputs!$E$30)*'School Bus Table'!S$104)-IF(Inputs!$E$35="Yes",H134,0),'School Bus Table'!S$106-IF(Inputs!$E$35="YES",H134,0))</f>
        <v>15699.65625</v>
      </c>
      <c r="I63" s="268">
        <f>IF(Inputs!$E$5=$I$49,IF(Inputs!$E$30=Inputs!$F$30,'School Bus Table'!S$117,(Inputs!$B$24/Inputs!$E$30)*'School Bus Table'!S$115),'School Bus Table'!S$117)</f>
        <v>8549.232521186439</v>
      </c>
      <c r="J63" s="268">
        <f>IF(Inputs!$E$5=$J$49,IF(Inputs!$E$30=Inputs!$F$30,'School Bus Table'!S$130,('School Bus Table'!$D$10/Inputs!$E$30)*'School Bus Table'!S$128),'School Bus Table'!S$130)</f>
        <v>41909.216992907524</v>
      </c>
    </row>
    <row r="64" spans="1:11" x14ac:dyDescent="0.25">
      <c r="A64" s="108" t="s">
        <v>474</v>
      </c>
      <c r="B64" s="268">
        <f>IF(Inputs!$E$5=$B$49,IF(Inputs!$E$30=Inputs!$F$30,'School Bus Table'!T$18,('School Bus Table'!$D$10/Inputs!$E$30)*'School Bus Table'!T$16),'School Bus Table'!T$18)</f>
        <v>46343.393653404724</v>
      </c>
      <c r="C64" s="268">
        <f>IF(Inputs!$E$5=$C$49,IF(Inputs!$E$30=Inputs!$F$30,'School Bus Table'!T$28,('School Bus Table'!$D$10/Inputs!$E$30)*'School Bus Table'!T$26),'School Bus Table'!T$28)</f>
        <v>49238.814628293956</v>
      </c>
      <c r="D64" s="268">
        <f>IF(Inputs!$E$5=$D$49,IF(Inputs!$E$30=Inputs!$F$30,'School Bus Table'!T$41,('School Bus Table'!$D$10/Inputs!$E$30)*'School Bus Table'!T$39),'School Bus Table'!T$41)</f>
        <v>49238.814628293956</v>
      </c>
      <c r="E64" s="268">
        <f>IF(Inputs!$E$5=$E$49,IF(Inputs!$E$30=Inputs!$F$30,'School Bus Table'!T$54,('School Bus Table'!$D$10/Inputs!$E$30)*'School Bus Table'!T$52),'School Bus Table'!T$54)</f>
        <v>48097.37126354983</v>
      </c>
      <c r="F64" s="268">
        <f>IF(Inputs!$E$5=$F$49,IF(Inputs!$E$30=Inputs!$F$30,'School Bus Table'!T$69-IF(Inputs!$E$35="YES",F135,0),(Inputs!$B$24/Inputs!$E$30)*'School Bus Table'!T$67)-IF(Inputs!$E$35="Yes",F135,0),'School Bus Table'!T$69-IF(Inputs!$E$35="YES",F135,0))</f>
        <v>39412.600158839537</v>
      </c>
      <c r="G64" s="268">
        <f>IF(Inputs!$E$5=$G$49,'School Bus Table'!T$94-IF(Inputs!$E$35="Yes",G135,0),'School Bus Table'!T$94-IF(Inputs!$E$35="YES",G135,0))</f>
        <v>-5775.2064366055311</v>
      </c>
      <c r="H64" s="268">
        <f>IF(Inputs!$E$5=$H$49,IF(Inputs!$E$30=Inputs!$F$30,'School Bus Table'!T$106-IF(Inputs!$E$35="YES",H135,0),(Inputs!$B$24/Inputs!$E$30)*'School Bus Table'!T$104)-IF(Inputs!$E$35="Yes",H135,0),'School Bus Table'!T$106-IF(Inputs!$E$35="YES",H135,0))</f>
        <v>15981.430614406785</v>
      </c>
      <c r="I64" s="268">
        <f>IF(Inputs!$E$5=$I$49,IF(Inputs!$E$30=Inputs!$F$30,'School Bus Table'!T$117,(Inputs!$B$24/Inputs!$E$30)*'School Bus Table'!T$115),'School Bus Table'!T$117)</f>
        <v>8831.0068855932223</v>
      </c>
      <c r="J64" s="268">
        <f>IF(Inputs!$E$5=$J$49,IF(Inputs!$E$30=Inputs!$F$30,'School Bus Table'!T$130,('School Bus Table'!$D$10/Inputs!$E$30)*'School Bus Table'!T$128),'School Bus Table'!T$130)</f>
        <v>43499.719083652046</v>
      </c>
    </row>
    <row r="65" spans="1:11" x14ac:dyDescent="0.25">
      <c r="A65" s="108" t="s">
        <v>476</v>
      </c>
      <c r="B65" s="268">
        <f>SUM(B50:B64)</f>
        <v>538167.31848691287</v>
      </c>
      <c r="C65" s="268">
        <f>SUM(C50:C64)</f>
        <v>581598.63311025128</v>
      </c>
      <c r="D65" s="268">
        <f t="shared" ref="D65:J65" si="17">SUM(D50:D64)</f>
        <v>581598.63311025128</v>
      </c>
      <c r="E65" s="268">
        <f t="shared" si="17"/>
        <v>564476.98263908946</v>
      </c>
      <c r="F65" s="268">
        <f t="shared" si="17"/>
        <v>467468.58957055636</v>
      </c>
      <c r="G65" s="268">
        <f t="shared" si="17"/>
        <v>-141224.30742224466</v>
      </c>
      <c r="H65" s="268">
        <f t="shared" si="17"/>
        <v>199367.46740211867</v>
      </c>
      <c r="I65" s="268">
        <f t="shared" si="17"/>
        <v>95356.244173728803</v>
      </c>
      <c r="J65" s="268">
        <f t="shared" si="17"/>
        <v>493479.4895429858</v>
      </c>
    </row>
    <row r="66" spans="1:11" x14ac:dyDescent="0.25">
      <c r="A66" s="108"/>
      <c r="B66" s="268"/>
      <c r="C66" s="268"/>
      <c r="D66" s="268"/>
      <c r="E66" s="268"/>
      <c r="F66" s="268"/>
      <c r="G66" s="268"/>
      <c r="H66" s="268"/>
      <c r="I66" s="268"/>
      <c r="J66" s="268"/>
    </row>
    <row r="67" spans="1:11" x14ac:dyDescent="0.25">
      <c r="A67" s="356" t="s">
        <v>726</v>
      </c>
      <c r="B67" s="268"/>
      <c r="C67" s="268"/>
      <c r="D67" s="268"/>
      <c r="E67" s="268"/>
      <c r="F67" s="268"/>
      <c r="G67" s="268"/>
      <c r="H67" s="268"/>
      <c r="I67" s="268"/>
      <c r="J67" s="268"/>
    </row>
    <row r="68" spans="1:11" ht="51.75" x14ac:dyDescent="0.25">
      <c r="A68" s="250" t="s">
        <v>445</v>
      </c>
      <c r="B68" s="90" t="s">
        <v>1</v>
      </c>
      <c r="C68" s="108" t="s">
        <v>149</v>
      </c>
      <c r="D68" s="90" t="s">
        <v>150</v>
      </c>
      <c r="E68" s="108" t="s">
        <v>151</v>
      </c>
      <c r="F68" s="90" t="s">
        <v>152</v>
      </c>
      <c r="G68" s="126" t="s">
        <v>154</v>
      </c>
      <c r="H68" s="90" t="s">
        <v>155</v>
      </c>
      <c r="I68" s="126" t="s">
        <v>156</v>
      </c>
      <c r="J68" s="114" t="s">
        <v>124</v>
      </c>
      <c r="K68" s="126" t="s">
        <v>735</v>
      </c>
    </row>
    <row r="69" spans="1:11" x14ac:dyDescent="0.25">
      <c r="A69" s="108" t="s">
        <v>460</v>
      </c>
      <c r="B69" s="268">
        <f>IF(Inputs!$E$5=B$68,IF(Inputs!$E$32=Inputs!$F$32,B50,((Inputs!$B$24/Inputs!$E$30)*Inputs!$E$32)),B50)</f>
        <v>24321.752848072374</v>
      </c>
      <c r="C69" s="268">
        <f>IF(Inputs!$E$5=C$68,IF(Inputs!$E$32=Inputs!$F$32,C50,((Inputs!$B$24/Inputs!$E$30)*Inputs!$E$32)),C50)</f>
        <v>27217.173822961595</v>
      </c>
      <c r="D69" s="268">
        <f>IF(Inputs!$E$5=D$68,IF(Inputs!$E$32=Inputs!$F$32,D50,((Inputs!$B$24/Inputs!$E$30)*Inputs!$E$32)),D50)</f>
        <v>27217.173822961595</v>
      </c>
      <c r="E69" s="268">
        <f>IF(Inputs!$E$5=E$68,IF(Inputs!$E$32=Inputs!$F$32,E50,((Inputs!$B$24/Inputs!$E$30)*Inputs!$E$32)),E50)</f>
        <v>26075.730458217484</v>
      </c>
      <c r="F69" s="268">
        <f>IF(Inputs!$E$5=F$68,IF(Inputs!$E$32=Inputs!$F$32,F50,((Inputs!$B$24/Inputs!$E$30)*Inputs!$E$32)-IF(Inputs!$E$35="YES",F121,0)),F50)</f>
        <v>22749.020220776067</v>
      </c>
      <c r="G69" s="268">
        <f>G50</f>
        <v>-13032.280208199278</v>
      </c>
      <c r="H69" s="268">
        <f>IF(Inputs!$E$5=H$68,IF(Inputs!$E$32=Inputs!$F$32,H50,((Inputs!$B$24/Inputs!$E$30)*Inputs!$E$32-IF(Inputs!$E$35="YES",H121,0))),H50)</f>
        <v>10346.859920974579</v>
      </c>
      <c r="I69" s="268">
        <f>IF(Inputs!$E$5=I$68,IF(Inputs!$E$32=Inputs!$F$32,I50,(Inputs!$B$24/Inputs!$E$30)*Inputs!$E$32),I50)</f>
        <v>4437.6769067796613</v>
      </c>
      <c r="J69" s="268">
        <f>IF(Inputs!$E$5=$J$68,IF(Inputs!$E$32=Inputs!$F$32,J50,((Inputs!$B$24/Inputs!$E$30)*Inputs!$E$32)),J50)</f>
        <v>23844.525821951414</v>
      </c>
    </row>
    <row r="70" spans="1:11" x14ac:dyDescent="0.25">
      <c r="A70" s="108" t="s">
        <v>461</v>
      </c>
      <c r="B70" s="268">
        <f>B69*'School Bus Table'!$G$156</f>
        <v>25647.066343536517</v>
      </c>
      <c r="C70" s="268">
        <f>C69*'School Bus Table'!$G$157</f>
        <v>28638.035757740032</v>
      </c>
      <c r="D70" s="268">
        <f>D69*'School Bus Table'!$G$158</f>
        <v>28638.035757740032</v>
      </c>
      <c r="E70" s="268">
        <f>E69*'School Bus Table'!$G$159</f>
        <v>27496.592392995917</v>
      </c>
      <c r="F70" s="268">
        <f>IF(Inputs!$E$5=F$68,IF(Inputs!$E$32=Inputs!$F$32,F51,((Inputs!$B$24/Inputs!$E$30)*'School Bus Table'!G$161-IF(Inputs!$E$35="YES",F122,0))),F51)</f>
        <v>23678.712147263075</v>
      </c>
      <c r="G70" s="268">
        <f>G69*'School Bus Table'!$G$162-IF(Inputs!$E$35="YES",F122,0)</f>
        <v>-13627.926365706891</v>
      </c>
      <c r="H70" s="268">
        <f>IF(Inputs!$E$5=H$68,IF(Inputs!$E$32=Inputs!$F$32,H51,((Inputs!$B$24/Inputs!$E$30)*'School Bus Table'!$G$164-IF(Inputs!$E$35="YES",H122,0))),H51)</f>
        <v>11786.943661652545</v>
      </c>
      <c r="I70" s="268">
        <f>IF(Inputs!$E$5=I$68,IF(Inputs!$E$32=Inputs!$F$32,I51,((Inputs!$B$24/Inputs!$E$30)*'School Bus Table'!$G$165)),I51)</f>
        <v>5591.7664194915251</v>
      </c>
      <c r="J70" s="268">
        <f>IF(Inputs!$E$5=J$68,IF(Inputs!$E$32=Inputs!$F$32,J51,((Inputs!$B$24/Inputs!$E$30)*'School Bus Table'!$G$166)),J51)</f>
        <v>24953.24719034091</v>
      </c>
    </row>
    <row r="71" spans="1:11" x14ac:dyDescent="0.25">
      <c r="A71" s="108" t="s">
        <v>462</v>
      </c>
      <c r="B71" s="268">
        <f>B70*'School Bus Table'!$H$156</f>
        <v>28148.366670016054</v>
      </c>
      <c r="C71" s="268">
        <f>C70*'School Bus Table'!$H$157</f>
        <v>31319.667261159524</v>
      </c>
      <c r="D71" s="268">
        <f>D70*'School Bus Table'!$H$158</f>
        <v>31319.667261159524</v>
      </c>
      <c r="E71" s="268">
        <f>E70*'School Bus Table'!$H$159</f>
        <v>30178.223896415406</v>
      </c>
      <c r="F71" s="268">
        <f>IF(Inputs!$E$5=F$68,IF(Inputs!$E$32=Inputs!$F$32,F52,((Inputs!$B$24/Inputs!$E$30)*'School Bus Table'!H$161-IF(Inputs!$E$35="YES",F123,0))),F52)</f>
        <v>24919.752979045923</v>
      </c>
      <c r="G71" s="268">
        <f>G70*'School Bus Table'!$H$162</f>
        <v>-13551.450218937096</v>
      </c>
      <c r="H71" s="268">
        <f>IF(Inputs!$E$5=H$68,IF(Inputs!$E$32=Inputs!$F$32,H52,((Inputs!$B$24/Inputs!$E$30)*'School Bus Table'!$H$164-IF(Inputs!$E$35="YES",H123,0))),H52)</f>
        <v>11661.750579661022</v>
      </c>
      <c r="I71" s="268">
        <f>IF(Inputs!$E$5=I$68,IF(Inputs!$E$32=Inputs!$F$32,I52,((Inputs!$B$24/Inputs!$E$30)*'School Bus Table'!$H$165)),I52)</f>
        <v>5178.6467161016963</v>
      </c>
      <c r="J71" s="268">
        <f>IF(Inputs!$E$5=J$68,IF(Inputs!$E$32=Inputs!$F$32,J52,((Inputs!$B$24/Inputs!$E$30)*'School Bus Table'!$H$166)),J52)</f>
        <v>25517.559822409883</v>
      </c>
    </row>
    <row r="72" spans="1:11" x14ac:dyDescent="0.25">
      <c r="A72" s="108" t="s">
        <v>463</v>
      </c>
      <c r="B72" s="268">
        <f>B71*'School Bus Table'!I$156</f>
        <v>29556.341611661479</v>
      </c>
      <c r="C72" s="268">
        <f>C71*'School Bus Table'!$I$157</f>
        <v>32829.150116765144</v>
      </c>
      <c r="D72" s="268">
        <f>D71*'School Bus Table'!I$158</f>
        <v>32829.150116765144</v>
      </c>
      <c r="E72" s="268">
        <f>E71*'School Bus Table'!I$159</f>
        <v>31687.706752021026</v>
      </c>
      <c r="F72" s="268">
        <f>IF(Inputs!$E$5=F$68,IF(Inputs!$E$32=Inputs!$F$32,F53,((Inputs!$B$24/Inputs!$E$30)*'School Bus Table'!I$161-IF(Inputs!$E$35="YES",F124,0))),F53)</f>
        <v>26285.106509929705</v>
      </c>
      <c r="G72" s="268">
        <f>G71*'School Bus Table'!$I$162</f>
        <v>-13575.769643857955</v>
      </c>
      <c r="H72" s="268">
        <f>IF(Inputs!$E$5=H$68,IF(Inputs!$E$32=Inputs!$F$32,H53,((Inputs!$B$24/Inputs!$E$30)*'School Bus Table'!$I$164-IF(Inputs!$E$35="YES",H124,0))),H53)</f>
        <v>11571.966205932205</v>
      </c>
      <c r="I72" s="268">
        <f>IF(Inputs!$E$5=I$68,IF(Inputs!$E$32=Inputs!$F$32,I53,((Inputs!$B$24/Inputs!$E$30)*'School Bus Table'!$I$165)),I53)</f>
        <v>4802.8681144067805</v>
      </c>
      <c r="J72" s="268">
        <f>IF(Inputs!$E$5=J$68,IF(Inputs!$E$32=Inputs!$F$32,J53,((Inputs!$B$24/Inputs!$E$30)*'School Bus Table'!$I$166)),J53)</f>
        <v>26654.909502421629</v>
      </c>
    </row>
    <row r="73" spans="1:11" x14ac:dyDescent="0.25">
      <c r="A73" s="108" t="s">
        <v>464</v>
      </c>
      <c r="B73" s="268">
        <f>B72*'School Bus Table'!J$156</f>
        <v>30864.54987765531</v>
      </c>
      <c r="C73" s="268">
        <f>C72*'School Bus Table'!$J$157</f>
        <v>34231.673621033973</v>
      </c>
      <c r="D73" s="268">
        <f>D72*'School Bus Table'!J$158</f>
        <v>34231.673621033973</v>
      </c>
      <c r="E73" s="268">
        <f>E72*'School Bus Table'!J$159</f>
        <v>33090.230256289848</v>
      </c>
      <c r="F73" s="268">
        <f>IF(Inputs!$E$5=F$68,IF(Inputs!$E$32=Inputs!$F$32,F54,((Inputs!$B$24/Inputs!$E$30)*'School Bus Table'!J$161-IF(Inputs!$E$35="YES",F125,0))),F54)</f>
        <v>27519.77409668361</v>
      </c>
      <c r="G73" s="268">
        <f>G72*'School Bus Table'!$J$162</f>
        <v>-13847.122522881302</v>
      </c>
      <c r="H73" s="268">
        <f>IF(Inputs!$E$5=H$68,IF(Inputs!$E$32=Inputs!$F$32,H54,((Inputs!$B$24/Inputs!$E$30)*'School Bus Table'!$J$164-IF(Inputs!$E$35="YES",H125,0))),H54)</f>
        <v>12016.59216101695</v>
      </c>
      <c r="I73" s="268">
        <f>IF(Inputs!$E$5=I$68,IF(Inputs!$E$32=Inputs!$F$32,I54,((Inputs!$B$24/Inputs!$E$30)*'School Bus Table'!$J$165)),I54)</f>
        <v>4866.168432203388</v>
      </c>
      <c r="J73" s="268">
        <f>IF(Inputs!$E$5=J$68,IF(Inputs!$E$32=Inputs!$F$32,J54,((Inputs!$B$24/Inputs!$E$30)*'School Bus Table'!$J$166)),J54)</f>
        <v>27657.843404878531</v>
      </c>
    </row>
    <row r="74" spans="1:11" x14ac:dyDescent="0.25">
      <c r="A74" s="108" t="s">
        <v>465</v>
      </c>
      <c r="B74" s="268">
        <f>B73*'School Bus Table'!K$156</f>
        <v>32215.863005809355</v>
      </c>
      <c r="C74" s="268">
        <f>C73*'School Bus Table'!$K$157</f>
        <v>35680.409631292467</v>
      </c>
      <c r="D74" s="268">
        <f>D73*'School Bus Table'!K$158</f>
        <v>35680.409631292467</v>
      </c>
      <c r="E74" s="268">
        <f>E73*'School Bus Table'!K$159</f>
        <v>34538.966266548341</v>
      </c>
      <c r="F74" s="268">
        <f>IF(Inputs!$E$5=F$68,IF(Inputs!$E$32=Inputs!$F$32,F55,((Inputs!$B$24/Inputs!$E$30)*'School Bus Table'!K$161-IF(Inputs!$E$35="YES",F126,0))),F55)</f>
        <v>28459.590530880836</v>
      </c>
      <c r="G74" s="268">
        <f>G73*'School Bus Table'!$K$162</f>
        <v>-14256.265576920694</v>
      </c>
      <c r="H74" s="268">
        <f>IF(Inputs!$E$5=H$68,IF(Inputs!$E$32=Inputs!$F$32,H55,((Inputs!$B$24/Inputs!$E$30)*'School Bus Table'!$K$164-IF(Inputs!$E$35="YES",H126,0))),H55)</f>
        <v>12299.877648305086</v>
      </c>
      <c r="I74" s="268">
        <f>IF(Inputs!$E$5=I$68,IF(Inputs!$E$32=Inputs!$F$32,I55,((Inputs!$B$24/Inputs!$E$30)*'School Bus Table'!$K$165)),I55)</f>
        <v>5149.4539194915233</v>
      </c>
      <c r="J74" s="268">
        <f>IF(Inputs!$E$5=J$68,IF(Inputs!$E$32=Inputs!$F$32,J55,((Inputs!$B$24/Inputs!$E$30)*'School Bus Table'!$K$166)),J55)</f>
        <v>28833.922777131665</v>
      </c>
    </row>
    <row r="75" spans="1:11" x14ac:dyDescent="0.25">
      <c r="A75" s="108" t="s">
        <v>466</v>
      </c>
      <c r="B75" s="268">
        <f>B74*'School Bus Table'!L$156</f>
        <v>33603.071168902505</v>
      </c>
      <c r="C75" s="268">
        <f>C74*'School Bus Table'!$L$157</f>
        <v>37167.628528028072</v>
      </c>
      <c r="D75" s="268">
        <f>D74*'School Bus Table'!L$158</f>
        <v>37167.628528028072</v>
      </c>
      <c r="E75" s="268">
        <f>E74*'School Bus Table'!L$159</f>
        <v>36026.185163283939</v>
      </c>
      <c r="F75" s="268">
        <f>IF(Inputs!$E$5=F$68,IF(Inputs!$E$32=Inputs!$F$32,F56,((Inputs!$B$24/Inputs!$E$30)*'School Bus Table'!L$161-IF(Inputs!$E$35="YES",F127,0))),F56)</f>
        <v>29789.399373354237</v>
      </c>
      <c r="G75" s="268">
        <f>G74*'School Bus Table'!$L$162</f>
        <v>-14645.775115837736</v>
      </c>
      <c r="H75" s="268">
        <f>IF(Inputs!$E$5=H$68,IF(Inputs!$E$32=Inputs!$F$32,H56,((Inputs!$B$24/Inputs!$E$30)*'School Bus Table'!$L$164-IF(Inputs!$E$35="YES",H127,0))),H56)</f>
        <v>12508.22033898305</v>
      </c>
      <c r="I75" s="268">
        <f>IF(Inputs!$E$5=I$68,IF(Inputs!$E$32=Inputs!$F$32,I56,((Inputs!$B$24/Inputs!$E$30)*'School Bus Table'!$L$165)),I56)</f>
        <v>5357.7966101694901</v>
      </c>
      <c r="J75" s="268">
        <f>IF(Inputs!$E$5=J$68,IF(Inputs!$E$32=Inputs!$F$32,J56,((Inputs!$B$24/Inputs!$E$30)*'School Bus Table'!$L$166)),J56)</f>
        <v>30548.181109627749</v>
      </c>
    </row>
    <row r="76" spans="1:11" x14ac:dyDescent="0.25">
      <c r="A76" s="108" t="s">
        <v>467</v>
      </c>
      <c r="B76" s="268">
        <f>B75*'School Bus Table'!M$156</f>
        <v>35064.521849496399</v>
      </c>
      <c r="C76" s="268">
        <f>C75*'School Bus Table'!$M$157</f>
        <v>38734.442454483018</v>
      </c>
      <c r="D76" s="268">
        <f>D75*'School Bus Table'!M$158</f>
        <v>38734.442454483018</v>
      </c>
      <c r="E76" s="268">
        <f>E75*'School Bus Table'!M$159</f>
        <v>37592.999089738885</v>
      </c>
      <c r="F76" s="268">
        <f>IF(Inputs!$E$5=F$68,IF(Inputs!$E$32=Inputs!$F$32,F57,((Inputs!$B$24/Inputs!$E$30)*'School Bus Table'!M$161-IF(Inputs!$E$35="YES",F128,0))),F57)</f>
        <v>30830.528105821897</v>
      </c>
      <c r="G76" s="268">
        <f>G75*'School Bus Table'!$M$162</f>
        <v>-15053.071442994293</v>
      </c>
      <c r="H76" s="268">
        <f>IF(Inputs!$E$5=H$68,IF(Inputs!$E$32=Inputs!$F$32,H57,((Inputs!$B$24/Inputs!$E$30)*'School Bus Table'!$M$164-IF(Inputs!$E$35="YES",H128,0))),H57)</f>
        <v>12755.585275423728</v>
      </c>
      <c r="I76" s="268">
        <f>IF(Inputs!$E$5=I$68,IF(Inputs!$E$32=Inputs!$F$32,I57,((Inputs!$B$24/Inputs!$E$30)*'School Bus Table'!$M$165)),I57)</f>
        <v>5605.1615466101684</v>
      </c>
      <c r="J76" s="268">
        <f>IF(Inputs!$E$5=J$68,IF(Inputs!$E$32=Inputs!$F$32,J57,((Inputs!$B$24/Inputs!$E$30)*'School Bus Table'!$M$166)),J57)</f>
        <v>32051.823882127748</v>
      </c>
    </row>
    <row r="77" spans="1:11" x14ac:dyDescent="0.25">
      <c r="A77" s="108" t="s">
        <v>468</v>
      </c>
      <c r="B77" s="268">
        <f>B76*'School Bus Table'!N$156</f>
        <v>36340.554582208482</v>
      </c>
      <c r="C77" s="268">
        <f>C76*'School Bus Table'!$N$157</f>
        <v>40102.470731299858</v>
      </c>
      <c r="D77" s="268">
        <f>D76*'School Bus Table'!N$158</f>
        <v>40102.470731299858</v>
      </c>
      <c r="E77" s="268">
        <f>E76*'School Bus Table'!N$159</f>
        <v>38961.027366555718</v>
      </c>
      <c r="F77" s="268">
        <f>IF(Inputs!$E$5=F$68,IF(Inputs!$E$32=Inputs!$F$32,F58,((Inputs!$B$24/Inputs!$E$30)*'School Bus Table'!N$161-IF(Inputs!$E$35="YES",F129,0))),F58)</f>
        <v>32787.379480113988</v>
      </c>
      <c r="G77" s="268">
        <f>G76*'School Bus Table'!$N$162</f>
        <v>-15490.376664164778</v>
      </c>
      <c r="H77" s="268">
        <f>IF(Inputs!$E$5=H$68,IF(Inputs!$E$32=Inputs!$F$32,H58,((Inputs!$B$24/Inputs!$E$30)*'School Bus Table'!$N$164-IF(Inputs!$E$35="YES",H129,0))),H58)</f>
        <v>13012.973516949154</v>
      </c>
      <c r="I77" s="268">
        <f>IF(Inputs!$E$5=I$68,IF(Inputs!$E$32=Inputs!$F$32,I58,((Inputs!$B$24/Inputs!$E$30)*'School Bus Table'!$N$165)),I58)</f>
        <v>5862.5497881355932</v>
      </c>
      <c r="J77" s="268">
        <f>IF(Inputs!$E$5=J$68,IF(Inputs!$E$32=Inputs!$F$32,J58,((Inputs!$B$24/Inputs!$E$30)*'School Bus Table'!$N$166)),J58)</f>
        <v>34770.040993714734</v>
      </c>
    </row>
    <row r="78" spans="1:11" x14ac:dyDescent="0.25">
      <c r="A78" s="108" t="s">
        <v>469</v>
      </c>
      <c r="B78" s="268">
        <f>B77*'School Bus Table'!O$156</f>
        <v>38489.013287585483</v>
      </c>
      <c r="C78" s="268">
        <f>C77*'School Bus Table'!$O$157</f>
        <v>42405.82250683161</v>
      </c>
      <c r="D78" s="268">
        <f>D77*'School Bus Table'!O$158</f>
        <v>42405.82250683161</v>
      </c>
      <c r="E78" s="268">
        <f>E77*'School Bus Table'!O$159</f>
        <v>41264.379142087484</v>
      </c>
      <c r="F78" s="268">
        <f>IF(Inputs!$E$5=F$68,IF(Inputs!$E$32=Inputs!$F$32,F59,((Inputs!$B$24/Inputs!$E$30)*'School Bus Table'!O$161-IF(Inputs!$E$35="YES",F130,0))),F59)</f>
        <v>33880.906700130086</v>
      </c>
      <c r="G78" s="268">
        <f>G77*'School Bus Table'!$O$162</f>
        <v>-15845.757703008871</v>
      </c>
      <c r="H78" s="268">
        <f>IF(Inputs!$E$5=H$68,IF(Inputs!$E$32=Inputs!$F$32,H59,((Inputs!$B$24/Inputs!$E$30)*'School Bus Table'!$O$164-IF(Inputs!$E$35="YES",H130,0))),H59)</f>
        <v>14563.797139830509</v>
      </c>
      <c r="I78" s="268">
        <f>IF(Inputs!$E$5=I$68,IF(Inputs!$E$32=Inputs!$F$32,I59,((Inputs!$B$24/Inputs!$E$30)*'School Bus Table'!$O$165)),I59)</f>
        <v>7413.373411016948</v>
      </c>
      <c r="J78" s="268">
        <f>IF(Inputs!$E$5=J$68,IF(Inputs!$E$32=Inputs!$F$32,J59,((Inputs!$B$24/Inputs!$E$30)*'School Bus Table'!$O$166)),J59)</f>
        <v>35916.38666143809</v>
      </c>
    </row>
    <row r="79" spans="1:11" x14ac:dyDescent="0.25">
      <c r="A79" s="108" t="s">
        <v>470</v>
      </c>
      <c r="B79" s="268">
        <f>B78*'School Bus Table'!P$156</f>
        <v>39869.321142894318</v>
      </c>
      <c r="C79" s="268">
        <f>C78*'School Bus Table'!$P$157</f>
        <v>43885.643618286565</v>
      </c>
      <c r="D79" s="268">
        <f>D78*'School Bus Table'!P$158</f>
        <v>43885.643618286565</v>
      </c>
      <c r="E79" s="268">
        <f>E78*'School Bus Table'!P$159</f>
        <v>42744.200253542425</v>
      </c>
      <c r="F79" s="268">
        <f>IF(Inputs!$E$5=F$68,IF(Inputs!$E$32=Inputs!$F$32,F60,((Inputs!$B$24/Inputs!$E$30)*'School Bus Table'!P$161-IF(Inputs!$E$35="YES",F131,0))),F60)</f>
        <v>35227.157540281129</v>
      </c>
      <c r="G79" s="268">
        <f>G78*'School Bus Table'!$P$162</f>
        <v>-16292.172288740334</v>
      </c>
      <c r="H79" s="268">
        <f>IF(Inputs!$E$5=H$68,IF(Inputs!$E$32=Inputs!$F$32,H60,((Inputs!$B$24/Inputs!$E$30)*'School Bus Table'!$P$164-IF(Inputs!$E$35="YES",H131,0))),H60)</f>
        <v>14648.980932203391</v>
      </c>
      <c r="I79" s="268">
        <f>IF(Inputs!$E$5=I$68,IF(Inputs!$E$32=Inputs!$F$32,I60,((Inputs!$B$24/Inputs!$E$30)*'School Bus Table'!$P$165)),I60)</f>
        <v>7498.5572033898316</v>
      </c>
      <c r="J79" s="268">
        <f>IF(Inputs!$E$5=J$68,IF(Inputs!$E$32=Inputs!$F$32,J60,((Inputs!$B$24/Inputs!$E$30)*'School Bus Table'!$P$166)),J60)</f>
        <v>37722.851138612859</v>
      </c>
    </row>
    <row r="80" spans="1:11" x14ac:dyDescent="0.25">
      <c r="A80" s="108" t="s">
        <v>471</v>
      </c>
      <c r="B80" s="268">
        <f>B79*'School Bus Table'!Q$156</f>
        <v>41333.639158866426</v>
      </c>
      <c r="C80" s="268">
        <f>C79*'School Bus Table'!$Q$157</f>
        <v>45455.531600583468</v>
      </c>
      <c r="D80" s="268">
        <f>D79*'School Bus Table'!Q$158</f>
        <v>45455.531600583468</v>
      </c>
      <c r="E80" s="268">
        <f>E79*'School Bus Table'!Q$159</f>
        <v>44314.088235839314</v>
      </c>
      <c r="F80" s="268">
        <f>IF(Inputs!$E$5=F$68,IF(Inputs!$E$32=Inputs!$F$32,F61,((Inputs!$B$24/Inputs!$E$30)*'School Bus Table'!Q$161-IF(Inputs!$E$35="YES",F132,0))),F61)</f>
        <v>36308.178877215141</v>
      </c>
      <c r="G80" s="268">
        <f>G79*'School Bus Table'!$Q$162</f>
        <v>-16665.928572453722</v>
      </c>
      <c r="H80" s="268">
        <f>IF(Inputs!$E$5=H$68,IF(Inputs!$E$32=Inputs!$F$32,H61,((Inputs!$B$24/Inputs!$E$30)*'School Bus Table'!$Q$164-IF(Inputs!$E$35="YES",H132,0))),H61)</f>
        <v>15092.195974576269</v>
      </c>
      <c r="I80" s="268">
        <f>IF(Inputs!$E$5=I$68,IF(Inputs!$E$32=Inputs!$F$32,I61,((Inputs!$B$24/Inputs!$E$30)*'School Bus Table'!$Q$165)),I61)</f>
        <v>7941.7722457627087</v>
      </c>
      <c r="J80" s="268">
        <f>IF(Inputs!$E$5=J$68,IF(Inputs!$E$32=Inputs!$F$32,J61,((Inputs!$B$24/Inputs!$E$30)*'School Bus Table'!$Q$166)),J61)</f>
        <v>39021.633217648901</v>
      </c>
    </row>
    <row r="81" spans="1:10" x14ac:dyDescent="0.25">
      <c r="A81" s="108" t="s">
        <v>472</v>
      </c>
      <c r="B81" s="268">
        <f>B80*'School Bus Table'!R$156</f>
        <v>42529.474746955639</v>
      </c>
      <c r="C81" s="268">
        <f>C80*'School Bus Table'!$R$157</f>
        <v>46737.580921883309</v>
      </c>
      <c r="D81" s="268">
        <f>D80*'School Bus Table'!R$158</f>
        <v>46737.580921883309</v>
      </c>
      <c r="E81" s="268">
        <f>E80*'School Bus Table'!R$159</f>
        <v>45596.137557139169</v>
      </c>
      <c r="F81" s="268">
        <f>IF(Inputs!$E$5=F$68,IF(Inputs!$E$32=Inputs!$F$32,F62,((Inputs!$B$24/Inputs!$E$30)*'School Bus Table'!R$161-IF(Inputs!$E$35="YES",F133,0))),F62)</f>
        <v>37305.244867697103</v>
      </c>
      <c r="G81" s="268">
        <f>G80*'School Bus Table'!$R$162</f>
        <v>-17142.947616592952</v>
      </c>
      <c r="H81" s="268">
        <f>IF(Inputs!$E$5=H$68,IF(Inputs!$E$32=Inputs!$F$32,H62,((Inputs!$B$24/Inputs!$E$30)*'School Bus Table'!$R$164-IF(Inputs!$E$35="YES",H133,0))),H62)</f>
        <v>15420.637182203394</v>
      </c>
      <c r="I81" s="268">
        <f>IF(Inputs!$E$5=I$68,IF(Inputs!$E$32=Inputs!$F$32,I62,((Inputs!$B$24/Inputs!$E$30)*'School Bus Table'!$R$165)),I62)</f>
        <v>8270.2134533898316</v>
      </c>
      <c r="J81" s="268">
        <f>IF(Inputs!$E$5=J$68,IF(Inputs!$E$32=Inputs!$F$32,J62,((Inputs!$B$24/Inputs!$E$30)*'School Bus Table'!$R$166)),J62)</f>
        <v>40577.627944122258</v>
      </c>
    </row>
    <row r="82" spans="1:10" x14ac:dyDescent="0.25">
      <c r="A82" s="108" t="s">
        <v>473</v>
      </c>
      <c r="B82" s="268">
        <f>B81*'School Bus Table'!S$156</f>
        <v>43664.641891227089</v>
      </c>
      <c r="C82" s="268">
        <f>C81*'School Bus Table'!$S$157</f>
        <v>47954.58790960857</v>
      </c>
      <c r="D82" s="268">
        <f>D81*'School Bus Table'!S$158</f>
        <v>47954.58790960857</v>
      </c>
      <c r="E82" s="268">
        <f>E81*'School Bus Table'!S$159</f>
        <v>46813.14454486443</v>
      </c>
      <c r="F82" s="268">
        <f>IF(Inputs!$E$5=F$68,IF(Inputs!$E$32=Inputs!$F$32,F63,((Inputs!$B$24/Inputs!$E$30)*'School Bus Table'!S$161-IF(Inputs!$E$35="YES",F134,0))),F63)</f>
        <v>38315.237982523962</v>
      </c>
      <c r="G82" s="268">
        <f>G81*'School Bus Table'!$S$162</f>
        <v>-17546.636039840985</v>
      </c>
      <c r="H82" s="268">
        <f>IF(Inputs!$E$5=H$68,IF(Inputs!$E$32=Inputs!$F$32,H63,((Inputs!$B$24/Inputs!$E$30)*'School Bus Table'!$S$164-IF(Inputs!$E$35="YES",H134,0))),H63)</f>
        <v>15699.65625</v>
      </c>
      <c r="I82" s="268">
        <f>IF(Inputs!$E$5=I$68,IF(Inputs!$E$32=Inputs!$F$32,I63,((Inputs!$B$24/Inputs!$E$30)*'School Bus Table'!$S$165)),I63)</f>
        <v>8549.232521186439</v>
      </c>
      <c r="J82" s="268">
        <f>IF(Inputs!$E$5=J$68,IF(Inputs!$E$32=Inputs!$F$32,J63,((Inputs!$B$24/Inputs!$E$30)*'School Bus Table'!$S$166)),J63)</f>
        <v>41909.216992907524</v>
      </c>
    </row>
    <row r="83" spans="1:10" x14ac:dyDescent="0.25">
      <c r="A83" s="108" t="s">
        <v>474</v>
      </c>
      <c r="B83" s="268">
        <f>B82*'School Bus Table'!T$156</f>
        <v>44862.508453663198</v>
      </c>
      <c r="C83" s="268">
        <f>C82*'School Bus Table'!$T$157</f>
        <v>49238.814628293956</v>
      </c>
      <c r="D83" s="268">
        <f>D82*'School Bus Table'!T$158</f>
        <v>49238.814628293956</v>
      </c>
      <c r="E83" s="268">
        <f>E82*'School Bus Table'!T$159</f>
        <v>48097.371263549794</v>
      </c>
      <c r="F83" s="268">
        <f>IF(Inputs!$E$5=F$68,IF(Inputs!$E$32=Inputs!$F$32,F64,((Inputs!$B$24/Inputs!$E$30)*'School Bus Table'!T$161-IF(Inputs!$E$35="YES",F135,0))),F64)</f>
        <v>39412.600158839537</v>
      </c>
      <c r="G83" s="268">
        <f>G82*'School Bus Table'!$T$162</f>
        <v>-17877.707245137768</v>
      </c>
      <c r="H83" s="268">
        <f>IF(Inputs!$E$5=H$68,IF(Inputs!$E$32=Inputs!$F$32,H64,((Inputs!$B$24/Inputs!$E$30)*'School Bus Table'!$T$164-IF(Inputs!$E$35="YES",H135,0))),H64)</f>
        <v>15981.430614406785</v>
      </c>
      <c r="I83" s="268">
        <f>IF(Inputs!$E$5=I$68,IF(Inputs!$E$32=Inputs!$F$32,I64,((Inputs!$B$24/Inputs!$E$30)*'School Bus Table'!$T$165)),I64)</f>
        <v>8831.0068855932223</v>
      </c>
      <c r="J83" s="268">
        <f>IF(Inputs!$E$5=J$68,IF(Inputs!$E$32=Inputs!$F$32,J64,((Inputs!$B$24/Inputs!$E$30)*'School Bus Table'!$T$166)),J64)</f>
        <v>43499.719083652046</v>
      </c>
    </row>
    <row r="84" spans="1:10" x14ac:dyDescent="0.25">
      <c r="A84" s="108" t="s">
        <v>476</v>
      </c>
      <c r="B84" s="268">
        <f>SUM(B69:B83)</f>
        <v>526510.6866385506</v>
      </c>
      <c r="C84" s="268">
        <f t="shared" ref="C84:J84" si="18">SUM(C69:C83)</f>
        <v>581598.63311025116</v>
      </c>
      <c r="D84" s="268">
        <f t="shared" si="18"/>
        <v>581598.63311025116</v>
      </c>
      <c r="E84" s="268">
        <f t="shared" si="18"/>
        <v>564476.98263908923</v>
      </c>
      <c r="F84" s="268">
        <f t="shared" si="18"/>
        <v>467468.58957055636</v>
      </c>
      <c r="G84" s="268">
        <f t="shared" si="18"/>
        <v>-228451.18722527468</v>
      </c>
      <c r="H84" s="268">
        <f t="shared" si="18"/>
        <v>199367.46740211867</v>
      </c>
      <c r="I84" s="268">
        <f t="shared" si="18"/>
        <v>95356.244173728803</v>
      </c>
      <c r="J84" s="268">
        <f t="shared" si="18"/>
        <v>493479.4895429858</v>
      </c>
    </row>
    <row r="85" spans="1:10" x14ac:dyDescent="0.25">
      <c r="A85" s="108"/>
      <c r="B85" s="268"/>
      <c r="C85" s="268"/>
      <c r="D85" s="268"/>
      <c r="E85" s="268"/>
      <c r="F85" s="268"/>
      <c r="G85" s="268"/>
      <c r="H85" s="268"/>
      <c r="I85" s="268"/>
      <c r="J85" s="268"/>
    </row>
    <row r="86" spans="1:10" x14ac:dyDescent="0.25">
      <c r="A86" s="356" t="s">
        <v>477</v>
      </c>
      <c r="B86" s="43">
        <f t="shared" ref="B86:J86" si="19">B65+B47</f>
        <v>1189761.9866050838</v>
      </c>
      <c r="C86" s="43">
        <f t="shared" si="19"/>
        <v>1222150.683034136</v>
      </c>
      <c r="D86" s="43">
        <f t="shared" si="19"/>
        <v>1222150.683034136</v>
      </c>
      <c r="E86" s="43">
        <f t="shared" si="19"/>
        <v>1150613.3275355422</v>
      </c>
      <c r="F86" s="43">
        <f t="shared" si="19"/>
        <v>943849.76693770185</v>
      </c>
      <c r="G86" s="43">
        <f t="shared" si="19"/>
        <v>434219.37289902021</v>
      </c>
      <c r="H86" s="43">
        <f t="shared" si="19"/>
        <v>980271.2481170164</v>
      </c>
      <c r="I86" s="43">
        <f t="shared" si="19"/>
        <v>876260.02488862653</v>
      </c>
      <c r="J86" s="43">
        <f t="shared" si="19"/>
        <v>978318.56402435724</v>
      </c>
    </row>
    <row r="87" spans="1:10" x14ac:dyDescent="0.25">
      <c r="A87" s="108" t="s">
        <v>142</v>
      </c>
      <c r="B87" s="268">
        <f t="shared" ref="B87:J87" si="20">B86+B20</f>
        <v>1281011.9866050838</v>
      </c>
      <c r="C87" s="268">
        <f t="shared" si="20"/>
        <v>1313400.683034136</v>
      </c>
      <c r="D87" s="268">
        <f t="shared" si="20"/>
        <v>1313400.683034136</v>
      </c>
      <c r="E87" s="268">
        <f t="shared" si="20"/>
        <v>1241863.3275355422</v>
      </c>
      <c r="F87" s="268">
        <f t="shared" si="20"/>
        <v>1041849.7669377018</v>
      </c>
      <c r="G87" s="268">
        <f t="shared" si="20"/>
        <v>634219.37289902021</v>
      </c>
      <c r="H87" s="268">
        <f t="shared" si="20"/>
        <v>1100271.2481170164</v>
      </c>
      <c r="I87" s="268">
        <f t="shared" si="20"/>
        <v>996260.02488862653</v>
      </c>
      <c r="J87" s="268">
        <f t="shared" si="20"/>
        <v>1068068.5640243571</v>
      </c>
    </row>
    <row r="89" spans="1:10" x14ac:dyDescent="0.25">
      <c r="A89" s="356" t="s">
        <v>478</v>
      </c>
    </row>
    <row r="90" spans="1:10" x14ac:dyDescent="0.25">
      <c r="A90" s="263" t="s">
        <v>458</v>
      </c>
      <c r="B90" s="268">
        <f t="shared" ref="B90:J90" si="21">B26*$B$3</f>
        <v>1221.987338071184</v>
      </c>
      <c r="C90" s="268">
        <f t="shared" si="21"/>
        <v>1105.4869908146566</v>
      </c>
      <c r="D90" s="268">
        <f t="shared" si="21"/>
        <v>1083.5376500271948</v>
      </c>
      <c r="E90" s="268">
        <f t="shared" si="21"/>
        <v>483.72970273905935</v>
      </c>
      <c r="F90" s="268">
        <f t="shared" si="21"/>
        <v>1082.1093024768625</v>
      </c>
      <c r="G90" s="268">
        <f t="shared" si="21"/>
        <v>4.6099115519718197</v>
      </c>
      <c r="H90" s="268">
        <f t="shared" si="21"/>
        <v>1126.102057789582</v>
      </c>
      <c r="I90" s="268">
        <f t="shared" si="21"/>
        <v>444.99194219104442</v>
      </c>
      <c r="J90" s="268">
        <f t="shared" si="21"/>
        <v>1160.0850544188456</v>
      </c>
    </row>
    <row r="91" spans="1:10" x14ac:dyDescent="0.25">
      <c r="A91" s="251" t="s">
        <v>452</v>
      </c>
      <c r="B91" s="268">
        <f t="shared" ref="B91:J91" si="22">B27*$B$3</f>
        <v>127.18367264030837</v>
      </c>
      <c r="C91" s="268">
        <f t="shared" si="22"/>
        <v>127.18367264030837</v>
      </c>
      <c r="D91" s="268">
        <f t="shared" si="22"/>
        <v>127.18367264030837</v>
      </c>
      <c r="E91" s="268">
        <f t="shared" si="22"/>
        <v>127.18367264030837</v>
      </c>
      <c r="F91" s="268">
        <f t="shared" si="22"/>
        <v>29.303601534702878</v>
      </c>
      <c r="G91" s="268">
        <f t="shared" si="22"/>
        <v>14.802850259798362</v>
      </c>
      <c r="H91" s="268">
        <f t="shared" si="22"/>
        <v>63.440786827707257</v>
      </c>
      <c r="I91" s="268">
        <f t="shared" si="22"/>
        <v>63.440786827707257</v>
      </c>
      <c r="J91" s="268">
        <f t="shared" si="22"/>
        <v>73.107954344310272</v>
      </c>
    </row>
    <row r="92" spans="1:10" x14ac:dyDescent="0.25">
      <c r="A92" s="266" t="s">
        <v>453</v>
      </c>
      <c r="B92" s="268">
        <f t="shared" ref="B92:J92" si="23">B28*$B$3</f>
        <v>1004.5701184421805</v>
      </c>
      <c r="C92" s="268">
        <f t="shared" si="23"/>
        <v>1004.5701184421805</v>
      </c>
      <c r="D92" s="268">
        <f t="shared" si="23"/>
        <v>1004.5701184421805</v>
      </c>
      <c r="E92" s="268">
        <f t="shared" si="23"/>
        <v>1004.5701184421805</v>
      </c>
      <c r="F92" s="268">
        <f t="shared" si="23"/>
        <v>1062.8060673373793</v>
      </c>
      <c r="G92" s="268">
        <f t="shared" si="23"/>
        <v>87.353923342798311</v>
      </c>
      <c r="H92" s="268">
        <f t="shared" si="23"/>
        <v>1004.5701184421805</v>
      </c>
      <c r="I92" s="268">
        <f t="shared" si="23"/>
        <v>1004.5701184421805</v>
      </c>
      <c r="J92" s="268">
        <f t="shared" si="23"/>
        <v>1062.8060673373793</v>
      </c>
    </row>
    <row r="93" spans="1:10" x14ac:dyDescent="0.25">
      <c r="A93" s="352"/>
      <c r="B93" s="268"/>
      <c r="C93" s="268"/>
      <c r="D93" s="268"/>
      <c r="E93" s="268"/>
      <c r="F93" s="268"/>
      <c r="G93" s="268"/>
      <c r="H93" s="268"/>
      <c r="I93" s="268"/>
      <c r="J93" s="268"/>
    </row>
    <row r="94" spans="1:10" x14ac:dyDescent="0.25">
      <c r="A94" s="108" t="s">
        <v>460</v>
      </c>
      <c r="B94" s="268">
        <f>SUM(B90:B92)</f>
        <v>2353.7411291536728</v>
      </c>
      <c r="C94" s="268">
        <f t="shared" ref="C94:J94" si="24">SUM(C90:C92)</f>
        <v>2237.2407818971456</v>
      </c>
      <c r="D94" s="268">
        <f t="shared" si="24"/>
        <v>2215.2914411096835</v>
      </c>
      <c r="E94" s="268">
        <f t="shared" si="24"/>
        <v>1615.4834938215481</v>
      </c>
      <c r="F94" s="268">
        <f t="shared" si="24"/>
        <v>2174.2189713489447</v>
      </c>
      <c r="G94" s="268">
        <f t="shared" si="24"/>
        <v>106.76668515456849</v>
      </c>
      <c r="H94" s="268">
        <f t="shared" si="24"/>
        <v>2194.1129630594696</v>
      </c>
      <c r="I94" s="268">
        <f t="shared" si="24"/>
        <v>1513.0028474609321</v>
      </c>
      <c r="J94" s="268">
        <f t="shared" si="24"/>
        <v>2295.9990761005351</v>
      </c>
    </row>
    <row r="95" spans="1:10" x14ac:dyDescent="0.25">
      <c r="A95" s="108" t="s">
        <v>461</v>
      </c>
      <c r="B95" s="269">
        <f t="shared" ref="B95:B108" si="25">B94*(1+($B$11))</f>
        <v>2410.2309162533611</v>
      </c>
      <c r="C95" s="269">
        <f t="shared" ref="C95:C108" si="26">C94*(1+($B$11))</f>
        <v>2290.9345606626771</v>
      </c>
      <c r="D95" s="269">
        <f t="shared" ref="D95:D108" si="27">D94*(1+($B$11))</f>
        <v>2268.458435696316</v>
      </c>
      <c r="E95" s="269">
        <f t="shared" ref="E95:E108" si="28">E94*(1+($B$11))</f>
        <v>1654.2550976732653</v>
      </c>
      <c r="F95" s="269">
        <f t="shared" ref="F95:F108" si="29">F94*(1+($B$11))</f>
        <v>2226.4002266613193</v>
      </c>
      <c r="G95" s="269">
        <f t="shared" ref="G95:G108" si="30">G94*(1+($B$11))</f>
        <v>109.32908559827814</v>
      </c>
      <c r="H95" s="269">
        <f t="shared" ref="H95:H108" si="31">H94*(1+($B$11))</f>
        <v>2246.7716741728968</v>
      </c>
      <c r="I95" s="269">
        <f t="shared" ref="I95:I108" si="32">I94*(1+($B$11))</f>
        <v>1549.3149157999944</v>
      </c>
      <c r="J95" s="269">
        <f t="shared" ref="J95:J108" si="33">J94*(1+($B$11))</f>
        <v>2351.1030539269482</v>
      </c>
    </row>
    <row r="96" spans="1:10" x14ac:dyDescent="0.25">
      <c r="A96" s="108" t="s">
        <v>462</v>
      </c>
      <c r="B96" s="269">
        <f t="shared" si="25"/>
        <v>2468.0764582434417</v>
      </c>
      <c r="C96" s="269">
        <f t="shared" si="26"/>
        <v>2345.9169901185815</v>
      </c>
      <c r="D96" s="269">
        <f t="shared" si="27"/>
        <v>2322.9014381530278</v>
      </c>
      <c r="E96" s="269">
        <f t="shared" si="28"/>
        <v>1693.9572200174237</v>
      </c>
      <c r="F96" s="269">
        <f t="shared" si="29"/>
        <v>2279.8338321011911</v>
      </c>
      <c r="G96" s="269">
        <f t="shared" si="30"/>
        <v>111.95298365263682</v>
      </c>
      <c r="H96" s="269">
        <f t="shared" si="31"/>
        <v>2300.6941943530464</v>
      </c>
      <c r="I96" s="269">
        <f t="shared" si="32"/>
        <v>1586.4984737791942</v>
      </c>
      <c r="J96" s="269">
        <f t="shared" si="33"/>
        <v>2407.5295272211952</v>
      </c>
    </row>
    <row r="97" spans="1:10" x14ac:dyDescent="0.25">
      <c r="A97" s="108" t="s">
        <v>463</v>
      </c>
      <c r="B97" s="269">
        <f t="shared" si="25"/>
        <v>2527.3102932412844</v>
      </c>
      <c r="C97" s="269">
        <f t="shared" si="26"/>
        <v>2402.2189978814276</v>
      </c>
      <c r="D97" s="269">
        <f t="shared" si="27"/>
        <v>2378.6510726687006</v>
      </c>
      <c r="E97" s="269">
        <f t="shared" si="28"/>
        <v>1734.6121932978419</v>
      </c>
      <c r="F97" s="269">
        <f t="shared" si="29"/>
        <v>2334.5498440716196</v>
      </c>
      <c r="G97" s="269">
        <f t="shared" si="30"/>
        <v>114.63985526030011</v>
      </c>
      <c r="H97" s="269">
        <f t="shared" si="31"/>
        <v>2355.9108550175197</v>
      </c>
      <c r="I97" s="269">
        <f t="shared" si="32"/>
        <v>1624.5744371498949</v>
      </c>
      <c r="J97" s="269">
        <f t="shared" si="33"/>
        <v>2465.3102358745041</v>
      </c>
    </row>
    <row r="98" spans="1:10" x14ac:dyDescent="0.25">
      <c r="A98" s="108" t="s">
        <v>464</v>
      </c>
      <c r="B98" s="269">
        <f t="shared" si="25"/>
        <v>2587.9657402790754</v>
      </c>
      <c r="C98" s="269">
        <f t="shared" si="26"/>
        <v>2459.8722538305819</v>
      </c>
      <c r="D98" s="269">
        <f t="shared" si="27"/>
        <v>2435.7386984127497</v>
      </c>
      <c r="E98" s="269">
        <f t="shared" si="28"/>
        <v>1776.2428859369902</v>
      </c>
      <c r="F98" s="269">
        <f t="shared" si="29"/>
        <v>2390.5790403293386</v>
      </c>
      <c r="G98" s="269">
        <f t="shared" si="30"/>
        <v>117.39121178654732</v>
      </c>
      <c r="H98" s="269">
        <f t="shared" si="31"/>
        <v>2412.4527155379401</v>
      </c>
      <c r="I98" s="269">
        <f t="shared" si="32"/>
        <v>1663.5642236414924</v>
      </c>
      <c r="J98" s="269">
        <f t="shared" si="33"/>
        <v>2524.4776815354921</v>
      </c>
    </row>
    <row r="99" spans="1:10" x14ac:dyDescent="0.25">
      <c r="A99" s="108" t="s">
        <v>465</v>
      </c>
      <c r="B99" s="269">
        <f t="shared" si="25"/>
        <v>2650.0769180457733</v>
      </c>
      <c r="C99" s="269">
        <f t="shared" si="26"/>
        <v>2518.9091879225161</v>
      </c>
      <c r="D99" s="269">
        <f t="shared" si="27"/>
        <v>2494.1964271746556</v>
      </c>
      <c r="E99" s="269">
        <f t="shared" si="28"/>
        <v>1818.8727151994781</v>
      </c>
      <c r="F99" s="269">
        <f t="shared" si="29"/>
        <v>2447.9529372972429</v>
      </c>
      <c r="G99" s="269">
        <f t="shared" si="30"/>
        <v>120.20860086942446</v>
      </c>
      <c r="H99" s="269">
        <f t="shared" si="31"/>
        <v>2470.3515807108506</v>
      </c>
      <c r="I99" s="269">
        <f t="shared" si="32"/>
        <v>1703.4897650088883</v>
      </c>
      <c r="J99" s="269">
        <f t="shared" si="33"/>
        <v>2585.0651458923439</v>
      </c>
    </row>
    <row r="100" spans="1:10" x14ac:dyDescent="0.25">
      <c r="A100" s="108" t="s">
        <v>466</v>
      </c>
      <c r="B100" s="269">
        <f t="shared" si="25"/>
        <v>2713.6787640788721</v>
      </c>
      <c r="C100" s="269">
        <f t="shared" si="26"/>
        <v>2579.3630084326564</v>
      </c>
      <c r="D100" s="269">
        <f t="shared" si="27"/>
        <v>2554.0571414268475</v>
      </c>
      <c r="E100" s="269">
        <f t="shared" si="28"/>
        <v>1862.5256603642656</v>
      </c>
      <c r="F100" s="269">
        <f t="shared" si="29"/>
        <v>2506.7038077923767</v>
      </c>
      <c r="G100" s="269">
        <f t="shared" si="30"/>
        <v>123.09360729029065</v>
      </c>
      <c r="H100" s="269">
        <f t="shared" si="31"/>
        <v>2529.6400186479109</v>
      </c>
      <c r="I100" s="269">
        <f t="shared" si="32"/>
        <v>1744.3735193691016</v>
      </c>
      <c r="J100" s="269">
        <f t="shared" si="33"/>
        <v>2647.1067093937604</v>
      </c>
    </row>
    <row r="101" spans="1:10" x14ac:dyDescent="0.25">
      <c r="A101" s="108" t="s">
        <v>467</v>
      </c>
      <c r="B101" s="269">
        <f t="shared" si="25"/>
        <v>2778.8070544167649</v>
      </c>
      <c r="C101" s="269">
        <f t="shared" si="26"/>
        <v>2641.2677206350404</v>
      </c>
      <c r="D101" s="269">
        <f t="shared" si="27"/>
        <v>2615.3545128210917</v>
      </c>
      <c r="E101" s="269">
        <f t="shared" si="28"/>
        <v>1907.2262762130081</v>
      </c>
      <c r="F101" s="269">
        <f t="shared" si="29"/>
        <v>2566.8646991793939</v>
      </c>
      <c r="G101" s="269">
        <f t="shared" si="30"/>
        <v>126.04785386525762</v>
      </c>
      <c r="H101" s="269">
        <f t="shared" si="31"/>
        <v>2590.3513790954607</v>
      </c>
      <c r="I101" s="269">
        <f t="shared" si="32"/>
        <v>1786.2384838339601</v>
      </c>
      <c r="J101" s="269">
        <f t="shared" si="33"/>
        <v>2710.6372704192108</v>
      </c>
    </row>
    <row r="102" spans="1:10" x14ac:dyDescent="0.25">
      <c r="A102" s="108" t="s">
        <v>468</v>
      </c>
      <c r="B102" s="269">
        <f t="shared" si="25"/>
        <v>2845.4984237227673</v>
      </c>
      <c r="C102" s="269">
        <f t="shared" si="26"/>
        <v>2704.6581459302815</v>
      </c>
      <c r="D102" s="269">
        <f t="shared" si="27"/>
        <v>2678.123021128798</v>
      </c>
      <c r="E102" s="269">
        <f t="shared" si="28"/>
        <v>1952.9997068421203</v>
      </c>
      <c r="F102" s="269">
        <f t="shared" si="29"/>
        <v>2628.4694519596997</v>
      </c>
      <c r="G102" s="269">
        <f t="shared" si="30"/>
        <v>129.07300235802381</v>
      </c>
      <c r="H102" s="269">
        <f t="shared" si="31"/>
        <v>2652.5198121937519</v>
      </c>
      <c r="I102" s="269">
        <f t="shared" si="32"/>
        <v>1829.1082074459753</v>
      </c>
      <c r="J102" s="269">
        <f t="shared" si="33"/>
        <v>2775.6925649092718</v>
      </c>
    </row>
    <row r="103" spans="1:10" x14ac:dyDescent="0.25">
      <c r="A103" s="108" t="s">
        <v>469</v>
      </c>
      <c r="B103" s="269">
        <f t="shared" si="25"/>
        <v>2913.7903858921136</v>
      </c>
      <c r="C103" s="269">
        <f t="shared" si="26"/>
        <v>2769.5699414326082</v>
      </c>
      <c r="D103" s="269">
        <f t="shared" si="27"/>
        <v>2742.3979736358892</v>
      </c>
      <c r="E103" s="269">
        <f t="shared" si="28"/>
        <v>1999.8716998063312</v>
      </c>
      <c r="F103" s="269">
        <f t="shared" si="29"/>
        <v>2691.5527188067326</v>
      </c>
      <c r="G103" s="269">
        <f t="shared" si="30"/>
        <v>132.1707544146164</v>
      </c>
      <c r="H103" s="269">
        <f t="shared" si="31"/>
        <v>2716.1802876864022</v>
      </c>
      <c r="I103" s="269">
        <f t="shared" si="32"/>
        <v>1873.0068044246786</v>
      </c>
      <c r="J103" s="269">
        <f t="shared" si="33"/>
        <v>2842.3091864670946</v>
      </c>
    </row>
    <row r="104" spans="1:10" x14ac:dyDescent="0.25">
      <c r="A104" s="108" t="s">
        <v>470</v>
      </c>
      <c r="B104" s="269">
        <f t="shared" si="25"/>
        <v>2983.7213551535242</v>
      </c>
      <c r="C104" s="269">
        <f t="shared" si="26"/>
        <v>2836.0396200269906</v>
      </c>
      <c r="D104" s="269">
        <f t="shared" si="27"/>
        <v>2808.2155250031506</v>
      </c>
      <c r="E104" s="269">
        <f t="shared" si="28"/>
        <v>2047.8686206016832</v>
      </c>
      <c r="F104" s="269">
        <f t="shared" si="29"/>
        <v>2756.1499840580941</v>
      </c>
      <c r="G104" s="269">
        <f t="shared" si="30"/>
        <v>135.34285252056719</v>
      </c>
      <c r="H104" s="269">
        <f t="shared" si="31"/>
        <v>2781.3686145908759</v>
      </c>
      <c r="I104" s="269">
        <f t="shared" si="32"/>
        <v>1917.9589677308709</v>
      </c>
      <c r="J104" s="269">
        <f t="shared" si="33"/>
        <v>2910.5246069423051</v>
      </c>
    </row>
    <row r="105" spans="1:10" x14ac:dyDescent="0.25">
      <c r="A105" s="108" t="s">
        <v>471</v>
      </c>
      <c r="B105" s="269">
        <f t="shared" si="25"/>
        <v>3055.330667677209</v>
      </c>
      <c r="C105" s="269">
        <f t="shared" si="26"/>
        <v>2904.1045709076384</v>
      </c>
      <c r="D105" s="269">
        <f t="shared" si="27"/>
        <v>2875.612697603226</v>
      </c>
      <c r="E105" s="269">
        <f t="shared" si="28"/>
        <v>2097.0174674961236</v>
      </c>
      <c r="F105" s="269">
        <f t="shared" si="29"/>
        <v>2822.2975836754886</v>
      </c>
      <c r="G105" s="269">
        <f t="shared" si="30"/>
        <v>138.5910809810608</v>
      </c>
      <c r="H105" s="269">
        <f t="shared" si="31"/>
        <v>2848.1214613410571</v>
      </c>
      <c r="I105" s="269">
        <f t="shared" si="32"/>
        <v>1963.9899829564117</v>
      </c>
      <c r="J105" s="269">
        <f t="shared" si="33"/>
        <v>2980.3771975089203</v>
      </c>
    </row>
    <row r="106" spans="1:10" x14ac:dyDescent="0.25">
      <c r="A106" s="108" t="s">
        <v>472</v>
      </c>
      <c r="B106" s="269">
        <f t="shared" si="25"/>
        <v>3128.6586037014622</v>
      </c>
      <c r="C106" s="269">
        <f t="shared" si="26"/>
        <v>2973.8030806094216</v>
      </c>
      <c r="D106" s="269">
        <f t="shared" si="27"/>
        <v>2944.6274023457036</v>
      </c>
      <c r="E106" s="269">
        <f t="shared" si="28"/>
        <v>2147.3458867160307</v>
      </c>
      <c r="F106" s="269">
        <f t="shared" si="29"/>
        <v>2890.0327256837004</v>
      </c>
      <c r="G106" s="269">
        <f t="shared" si="30"/>
        <v>141.91726692460625</v>
      </c>
      <c r="H106" s="269">
        <f t="shared" si="31"/>
        <v>2916.4763764132426</v>
      </c>
      <c r="I106" s="269">
        <f t="shared" si="32"/>
        <v>2011.1257425473657</v>
      </c>
      <c r="J106" s="269">
        <f t="shared" si="33"/>
        <v>3051.9062502491342</v>
      </c>
    </row>
    <row r="107" spans="1:10" x14ac:dyDescent="0.25">
      <c r="A107" s="108" t="s">
        <v>473</v>
      </c>
      <c r="B107" s="269">
        <f t="shared" si="25"/>
        <v>3203.7464101902974</v>
      </c>
      <c r="C107" s="269">
        <f t="shared" si="26"/>
        <v>3045.1743545440477</v>
      </c>
      <c r="D107" s="269">
        <f t="shared" si="27"/>
        <v>3015.2984600020004</v>
      </c>
      <c r="E107" s="269">
        <f t="shared" si="28"/>
        <v>2198.8821879972156</v>
      </c>
      <c r="F107" s="269">
        <f t="shared" si="29"/>
        <v>2959.3935111001092</v>
      </c>
      <c r="G107" s="269">
        <f t="shared" si="30"/>
        <v>145.32328133079682</v>
      </c>
      <c r="H107" s="269">
        <f t="shared" si="31"/>
        <v>2986.4718094471605</v>
      </c>
      <c r="I107" s="269">
        <f t="shared" si="32"/>
        <v>2059.3927603685024</v>
      </c>
      <c r="J107" s="269">
        <f t="shared" si="33"/>
        <v>3125.1520002551133</v>
      </c>
    </row>
    <row r="108" spans="1:10" x14ac:dyDescent="0.25">
      <c r="A108" s="108" t="s">
        <v>474</v>
      </c>
      <c r="B108" s="269">
        <f t="shared" si="25"/>
        <v>3280.6363240348646</v>
      </c>
      <c r="C108" s="269">
        <f t="shared" si="26"/>
        <v>3118.2585390531049</v>
      </c>
      <c r="D108" s="269">
        <f t="shared" si="27"/>
        <v>3087.6656230420485</v>
      </c>
      <c r="E108" s="269">
        <f t="shared" si="28"/>
        <v>2251.655360509149</v>
      </c>
      <c r="F108" s="269">
        <f t="shared" si="29"/>
        <v>3030.4189553665119</v>
      </c>
      <c r="G108" s="269">
        <f t="shared" si="30"/>
        <v>148.81104008273596</v>
      </c>
      <c r="H108" s="269">
        <f t="shared" si="31"/>
        <v>3058.1471328738926</v>
      </c>
      <c r="I108" s="269">
        <f t="shared" si="32"/>
        <v>2108.8181866173463</v>
      </c>
      <c r="J108" s="269">
        <f t="shared" si="33"/>
        <v>3200.1556482612359</v>
      </c>
    </row>
    <row r="109" spans="1:10" x14ac:dyDescent="0.25">
      <c r="A109" s="108" t="s">
        <v>479</v>
      </c>
      <c r="B109" s="268">
        <f>SUM(B94:B108)</f>
        <v>41901.269444084479</v>
      </c>
      <c r="C109" s="268">
        <f t="shared" ref="C109:J109" si="34">SUM(C94:C108)</f>
        <v>39827.331753884719</v>
      </c>
      <c r="D109" s="268">
        <f t="shared" si="34"/>
        <v>39436.589870223885</v>
      </c>
      <c r="E109" s="268">
        <f t="shared" si="34"/>
        <v>28758.816472492475</v>
      </c>
      <c r="F109" s="268">
        <f t="shared" si="34"/>
        <v>38705.418289431771</v>
      </c>
      <c r="G109" s="268">
        <f t="shared" si="34"/>
        <v>1900.6591620897107</v>
      </c>
      <c r="H109" s="268">
        <f t="shared" si="34"/>
        <v>39059.570875141471</v>
      </c>
      <c r="I109" s="268">
        <f t="shared" si="34"/>
        <v>26934.457318134613</v>
      </c>
      <c r="J109" s="268">
        <f t="shared" si="34"/>
        <v>40873.346154957064</v>
      </c>
    </row>
    <row r="110" spans="1:10" x14ac:dyDescent="0.25">
      <c r="B110" s="268"/>
      <c r="C110" s="268"/>
      <c r="D110" s="268"/>
      <c r="E110" s="268"/>
      <c r="F110" s="268"/>
      <c r="G110" s="268"/>
      <c r="H110" s="268"/>
      <c r="I110" s="268"/>
      <c r="J110" s="268"/>
    </row>
    <row r="111" spans="1:10" x14ac:dyDescent="0.25">
      <c r="A111" s="356" t="s">
        <v>146</v>
      </c>
      <c r="B111" s="268">
        <f>SUM(B113:B117)</f>
        <v>1687913.2560491683</v>
      </c>
      <c r="C111" s="268">
        <f t="shared" ref="C111:J111" si="35">SUM(C113:C117)</f>
        <v>1696013.1292586927</v>
      </c>
      <c r="D111" s="268">
        <f t="shared" si="35"/>
        <v>1695622.3873750318</v>
      </c>
      <c r="E111" s="268">
        <f t="shared" si="35"/>
        <v>1613407.2584787067</v>
      </c>
      <c r="F111" s="268">
        <f t="shared" si="35"/>
        <v>1468482.4809917463</v>
      </c>
      <c r="G111" s="268">
        <f t="shared" si="35"/>
        <v>2621780.1866378351</v>
      </c>
      <c r="H111" s="268">
        <f t="shared" si="35"/>
        <v>1867103.1603824121</v>
      </c>
      <c r="I111" s="268">
        <f t="shared" si="35"/>
        <v>1747721.6908932019</v>
      </c>
      <c r="J111" s="268">
        <f t="shared" si="35"/>
        <v>1443271.0934342756</v>
      </c>
    </row>
    <row r="112" spans="1:10" x14ac:dyDescent="0.25">
      <c r="B112" t="s">
        <v>598</v>
      </c>
      <c r="C112" t="s">
        <v>599</v>
      </c>
      <c r="D112" t="s">
        <v>600</v>
      </c>
      <c r="E112" t="s">
        <v>601</v>
      </c>
      <c r="F112" t="s">
        <v>152</v>
      </c>
      <c r="G112" t="s">
        <v>584</v>
      </c>
      <c r="H112" t="s">
        <v>112</v>
      </c>
      <c r="I112" t="s">
        <v>120</v>
      </c>
      <c r="J112" t="s">
        <v>124</v>
      </c>
    </row>
    <row r="113" spans="1:11" x14ac:dyDescent="0.25">
      <c r="A113" s="353" t="s">
        <v>628</v>
      </c>
      <c r="B113" s="36">
        <f>'Default Data'!R2</f>
        <v>456250</v>
      </c>
      <c r="C113" s="36">
        <f>'Default Data'!R3</f>
        <v>456250</v>
      </c>
      <c r="D113" s="36">
        <f>'Default Data'!R4</f>
        <v>456250</v>
      </c>
      <c r="E113" s="36">
        <f>'Default Data'!R5</f>
        <v>456250</v>
      </c>
      <c r="F113" s="36">
        <f>'Default Data'!R6</f>
        <v>500500</v>
      </c>
      <c r="G113" s="36">
        <f>'Default Data'!R7</f>
        <v>1761250</v>
      </c>
      <c r="H113" s="36">
        <f>'Default Data'!R8</f>
        <v>850000</v>
      </c>
      <c r="I113" s="36">
        <f>'Default Data'!R9</f>
        <v>850000</v>
      </c>
      <c r="J113" s="36">
        <f>'Default Data'!R10</f>
        <v>448750</v>
      </c>
    </row>
    <row r="114" spans="1:11" x14ac:dyDescent="0.25">
      <c r="A114" s="353" t="s">
        <v>610</v>
      </c>
      <c r="B114" s="36">
        <f>B19</f>
        <v>0</v>
      </c>
      <c r="C114" s="36">
        <f t="shared" ref="C114:J114" si="36">C19</f>
        <v>0</v>
      </c>
      <c r="D114" s="36">
        <f t="shared" si="36"/>
        <v>0</v>
      </c>
      <c r="E114" s="36">
        <f t="shared" si="36"/>
        <v>0</v>
      </c>
      <c r="F114" s="36">
        <f t="shared" si="36"/>
        <v>0</v>
      </c>
      <c r="G114" s="36">
        <f t="shared" si="36"/>
        <v>0</v>
      </c>
      <c r="H114" s="36">
        <f t="shared" si="36"/>
        <v>0</v>
      </c>
      <c r="I114" s="36">
        <f t="shared" si="36"/>
        <v>0</v>
      </c>
      <c r="J114" s="36">
        <f t="shared" si="36"/>
        <v>0</v>
      </c>
    </row>
    <row r="115" spans="1:11" x14ac:dyDescent="0.25">
      <c r="A115" s="353" t="s">
        <v>595</v>
      </c>
      <c r="B115" s="36">
        <f>SUM('School Bus Table'!F18:T18)</f>
        <v>538167.31848691287</v>
      </c>
      <c r="C115" s="36">
        <f>SUM('School Bus Table'!E28:S28)</f>
        <v>559383.74758092326</v>
      </c>
      <c r="D115" s="36">
        <f>SUM('School Bus Table'!E41:S41)</f>
        <v>559383.74758092326</v>
      </c>
      <c r="E115" s="36">
        <f>SUM('School Bus Table'!E54:S54)</f>
        <v>542262.09710976155</v>
      </c>
      <c r="F115" s="36">
        <f>SUM('School Bus Table'!E69:S69)</f>
        <v>452895.88533516909</v>
      </c>
      <c r="G115" s="36">
        <f>SUM('School Bus Table'!E94:S94)</f>
        <v>283185.84715448052</v>
      </c>
      <c r="H115" s="36">
        <f>SUM('School Bus Table'!E106:S106)</f>
        <v>197139.80879237287</v>
      </c>
      <c r="I115" s="36">
        <f>SUM('School Bus Table'!E117:S117)</f>
        <v>89883.452860169476</v>
      </c>
      <c r="J115" s="36">
        <f>SUM('School Bus Table'!E130:S130)</f>
        <v>472994.09298511362</v>
      </c>
    </row>
    <row r="116" spans="1:11" x14ac:dyDescent="0.25">
      <c r="A116" s="353" t="s">
        <v>596</v>
      </c>
      <c r="B116" s="354">
        <f t="shared" ref="B116:I116" si="37">B47</f>
        <v>651594.66811817093</v>
      </c>
      <c r="C116" s="354">
        <f t="shared" si="37"/>
        <v>640552.0499238848</v>
      </c>
      <c r="D116" s="354">
        <f t="shared" si="37"/>
        <v>640552.0499238848</v>
      </c>
      <c r="E116" s="354">
        <f t="shared" si="37"/>
        <v>586136.34489645273</v>
      </c>
      <c r="F116" s="354">
        <f t="shared" si="37"/>
        <v>476381.17736714549</v>
      </c>
      <c r="G116" s="354">
        <f t="shared" si="37"/>
        <v>575443.6803212649</v>
      </c>
      <c r="H116" s="354">
        <f t="shared" si="37"/>
        <v>780903.78071489779</v>
      </c>
      <c r="I116" s="354">
        <f t="shared" si="37"/>
        <v>780903.78071489779</v>
      </c>
      <c r="J116" s="354">
        <f>SUM('School Bus Table'!E132:S132)</f>
        <v>480653.65429420496</v>
      </c>
    </row>
    <row r="117" spans="1:11" x14ac:dyDescent="0.25">
      <c r="A117" s="353" t="s">
        <v>597</v>
      </c>
      <c r="B117" s="355">
        <f>B109</f>
        <v>41901.269444084479</v>
      </c>
      <c r="C117" s="355">
        <f t="shared" ref="C117:I117" si="38">C109</f>
        <v>39827.331753884719</v>
      </c>
      <c r="D117" s="355">
        <f t="shared" si="38"/>
        <v>39436.589870223885</v>
      </c>
      <c r="E117" s="355">
        <f t="shared" si="38"/>
        <v>28758.816472492475</v>
      </c>
      <c r="F117" s="355">
        <f t="shared" si="38"/>
        <v>38705.418289431771</v>
      </c>
      <c r="G117" s="355">
        <f t="shared" si="38"/>
        <v>1900.6591620897107</v>
      </c>
      <c r="H117" s="355">
        <f t="shared" si="38"/>
        <v>39059.570875141471</v>
      </c>
      <c r="I117" s="355">
        <f t="shared" si="38"/>
        <v>26934.457318134613</v>
      </c>
      <c r="J117" s="268">
        <f>J109</f>
        <v>40873.346154957064</v>
      </c>
    </row>
    <row r="119" spans="1:11" x14ac:dyDescent="0.25">
      <c r="A119" s="353" t="s">
        <v>712</v>
      </c>
    </row>
    <row r="120" spans="1:11" ht="51.75" x14ac:dyDescent="0.25">
      <c r="A120" s="250">
        <f>Inputs!B111</f>
        <v>0</v>
      </c>
      <c r="B120" s="90" t="s">
        <v>1</v>
      </c>
      <c r="C120" s="108" t="s">
        <v>149</v>
      </c>
      <c r="D120" s="90" t="s">
        <v>150</v>
      </c>
      <c r="E120" s="108" t="s">
        <v>151</v>
      </c>
      <c r="F120" s="90" t="s">
        <v>152</v>
      </c>
      <c r="G120" s="126" t="s">
        <v>154</v>
      </c>
      <c r="H120" s="90" t="s">
        <v>155</v>
      </c>
      <c r="I120" s="126" t="s">
        <v>156</v>
      </c>
      <c r="J120" s="114" t="s">
        <v>124</v>
      </c>
      <c r="K120" s="126" t="s">
        <v>735</v>
      </c>
    </row>
    <row r="121" spans="1:11" x14ac:dyDescent="0.25">
      <c r="A121" s="4" t="s">
        <v>460</v>
      </c>
      <c r="B121" s="138">
        <v>0</v>
      </c>
      <c r="C121" s="138">
        <v>0</v>
      </c>
      <c r="D121" s="138">
        <v>0</v>
      </c>
      <c r="E121" s="138">
        <v>0</v>
      </c>
      <c r="F121" s="36">
        <f>IF('CFP Credit Estimator'!J65*'Default Data'!$AF$6&gt;1,'CFP Credit Estimator'!J65*'Default Data'!$AF$6,0)</f>
        <v>995.84634885782248</v>
      </c>
      <c r="G121" s="36">
        <f>IF('CFP Credit Estimator'!J23*'Default Data'!$AF$7&gt;1,'CFP Credit Estimator'!J23*'Default Data'!$AF$7,0)</f>
        <v>30402.93409057998</v>
      </c>
      <c r="H121" s="36">
        <f>IF('CFP Credit Estimator'!J187*'Default Data'!$AF$8&gt;1,'CFP Credit Estimator'!J187*'Default Data'!$AF$8,0)</f>
        <v>1241.2407146186438</v>
      </c>
      <c r="I121" s="36">
        <v>0</v>
      </c>
      <c r="J121" s="138">
        <v>0</v>
      </c>
    </row>
    <row r="122" spans="1:11" x14ac:dyDescent="0.25">
      <c r="A122" s="4" t="s">
        <v>461</v>
      </c>
      <c r="B122" s="138">
        <v>0</v>
      </c>
      <c r="C122" s="138">
        <v>0</v>
      </c>
      <c r="D122" s="138">
        <v>0</v>
      </c>
      <c r="E122" s="138">
        <v>0</v>
      </c>
      <c r="F122" s="36">
        <f>IF('CFP Credit Estimator'!J66*'Default Data'!$AF$6&gt;1,'CFP Credit Estimator'!J66*'Default Data'!$AF$6,0)</f>
        <v>724.08496047867482</v>
      </c>
      <c r="G122" s="36">
        <f>IF('CFP Credit Estimator'!J24*'Default Data'!$AF$7&gt;1,'CFP Credit Estimator'!J24*'Default Data'!$AF$7,0)</f>
        <v>29926.952948179976</v>
      </c>
      <c r="H122" s="36">
        <f>IF('CFP Credit Estimator'!J188*'Default Data'!$AF$8&gt;1,'CFP Credit Estimator'!J188*'Default Data'!$AF$8,0)</f>
        <v>955.24648665254153</v>
      </c>
      <c r="I122" s="36">
        <v>0</v>
      </c>
      <c r="J122" s="138">
        <v>0</v>
      </c>
    </row>
    <row r="123" spans="1:11" x14ac:dyDescent="0.25">
      <c r="A123" s="4" t="s">
        <v>462</v>
      </c>
      <c r="B123" s="138">
        <v>0</v>
      </c>
      <c r="C123" s="138">
        <v>0</v>
      </c>
      <c r="D123" s="138">
        <v>0</v>
      </c>
      <c r="E123" s="138">
        <v>0</v>
      </c>
      <c r="F123" s="36">
        <f>IF('CFP Credit Estimator'!J67*'Default Data'!$AF$6&gt;1,'CFP Credit Estimator'!J67*'Default Data'!$AF$6,0)</f>
        <v>450.48734650236969</v>
      </c>
      <c r="G123" s="36">
        <f>IF('CFP Credit Estimator'!J25*'Default Data'!$AF$7&gt;1,'CFP Credit Estimator'!J25*'Default Data'!$AF$7,0)</f>
        <v>29447.755716979973</v>
      </c>
      <c r="H123" s="36">
        <f>IF('CFP Credit Estimator'!J189*'Default Data'!$AF$8&gt;1,'CFP Credit Estimator'!J189*'Default Data'!$AF$8,0)</f>
        <v>667.31986525423463</v>
      </c>
      <c r="I123" s="36">
        <v>0</v>
      </c>
      <c r="J123" s="138">
        <v>0</v>
      </c>
    </row>
    <row r="124" spans="1:11" x14ac:dyDescent="0.25">
      <c r="A124" s="4" t="s">
        <v>463</v>
      </c>
      <c r="B124" s="138">
        <v>0</v>
      </c>
      <c r="C124" s="138">
        <v>0</v>
      </c>
      <c r="D124" s="138">
        <v>0</v>
      </c>
      <c r="E124" s="138">
        <v>0</v>
      </c>
      <c r="F124" s="36">
        <f>IF('CFP Credit Estimator'!J68*'Default Data'!$AF$6&gt;1,'CFP Credit Estimator'!J68*'Default Data'!$AF$6,0)</f>
        <v>178.72595812322464</v>
      </c>
      <c r="G124" s="36">
        <f>IF('CFP Credit Estimator'!J26*'Default Data'!$AF$7&gt;1,'CFP Credit Estimator'!J26*'Default Data'!$AF$7,0)</f>
        <v>28971.77457457998</v>
      </c>
      <c r="H124" s="36">
        <f>IF('CFP Credit Estimator'!J190*'Default Data'!$AF$8&gt;1,'CFP Credit Estimator'!J190*'Default Data'!$AF$8,0)</f>
        <v>381.32563728813489</v>
      </c>
      <c r="I124" s="36">
        <v>0</v>
      </c>
      <c r="J124" s="138">
        <v>0</v>
      </c>
    </row>
    <row r="125" spans="1:11" x14ac:dyDescent="0.25">
      <c r="A125" s="4" t="s">
        <v>464</v>
      </c>
      <c r="B125" s="138">
        <v>0</v>
      </c>
      <c r="C125" s="138">
        <v>0</v>
      </c>
      <c r="D125" s="138">
        <v>0</v>
      </c>
      <c r="E125" s="138">
        <v>0</v>
      </c>
      <c r="F125" s="36">
        <f>IF('CFP Credit Estimator'!J69*'Default Data'!$AF$6&gt;1,'CFP Credit Estimator'!J69*'Default Data'!$AF$6,0)</f>
        <v>0</v>
      </c>
      <c r="G125" s="36">
        <f>IF('CFP Credit Estimator'!J27*'Default Data'!$AF$7&gt;1,'CFP Credit Estimator'!J27*'Default Data'!$AF$7,0)</f>
        <v>28338.205080979977</v>
      </c>
      <c r="H125" s="36">
        <f>IF('CFP Credit Estimator'!J191*'Default Data'!$AF$8&gt;1,'CFP Credit Estimator'!J191*'Default Data'!$AF$8,0)</f>
        <v>0</v>
      </c>
      <c r="I125" s="36">
        <v>0</v>
      </c>
      <c r="J125" s="138">
        <v>0</v>
      </c>
    </row>
    <row r="126" spans="1:11" x14ac:dyDescent="0.25">
      <c r="A126" s="4" t="s">
        <v>465</v>
      </c>
      <c r="B126" s="138">
        <v>0</v>
      </c>
      <c r="C126" s="138">
        <v>0</v>
      </c>
      <c r="D126" s="138">
        <v>0</v>
      </c>
      <c r="E126" s="138">
        <v>0</v>
      </c>
      <c r="F126" s="36">
        <f>IF('CFP Credit Estimator'!J70*'Default Data'!$AF$6&gt;1,'CFP Credit Estimator'!J70*'Default Data'!$AF$6,0)</f>
        <v>0</v>
      </c>
      <c r="G126" s="36">
        <f>IF('CFP Credit Estimator'!J28*'Default Data'!$AF$7&gt;1,'CFP Credit Estimator'!J28*'Default Data'!$AF$7,0)</f>
        <v>28338.205080979977</v>
      </c>
      <c r="H126" s="36">
        <f>IF('CFP Credit Estimator'!J192*'Default Data'!$AF$8&gt;1,'CFP Credit Estimator'!J192*'Default Data'!$AF$8,0)</f>
        <v>0</v>
      </c>
      <c r="I126" s="36">
        <v>0</v>
      </c>
      <c r="J126" s="138">
        <v>0</v>
      </c>
    </row>
    <row r="127" spans="1:11" x14ac:dyDescent="0.25">
      <c r="A127" s="4" t="s">
        <v>466</v>
      </c>
      <c r="B127" s="138">
        <v>0</v>
      </c>
      <c r="C127" s="138">
        <v>0</v>
      </c>
      <c r="D127" s="138">
        <v>0</v>
      </c>
      <c r="E127" s="138">
        <v>0</v>
      </c>
      <c r="F127" s="36">
        <f>IF('CFP Credit Estimator'!J71*'Default Data'!$AF$6&gt;1,'CFP Credit Estimator'!J71*'Default Data'!$AF$6,0)</f>
        <v>0</v>
      </c>
      <c r="G127" s="36">
        <f>IF('CFP Credit Estimator'!J28*'Default Data'!$AF$7&gt;1,'CFP Credit Estimator'!J28*'Default Data'!$AF$7,0)</f>
        <v>28338.205080979977</v>
      </c>
      <c r="H127" s="36">
        <f>IF('CFP Credit Estimator'!J193*'Default Data'!$AF$8&gt;1,'CFP Credit Estimator'!J193*'Default Data'!$AF$8,0)</f>
        <v>0</v>
      </c>
      <c r="I127" s="36">
        <v>0</v>
      </c>
      <c r="J127" s="138">
        <v>0</v>
      </c>
    </row>
    <row r="128" spans="1:11" x14ac:dyDescent="0.25">
      <c r="A128" s="4" t="s">
        <v>467</v>
      </c>
      <c r="B128" s="138">
        <v>0</v>
      </c>
      <c r="C128" s="138">
        <v>0</v>
      </c>
      <c r="D128" s="138">
        <v>0</v>
      </c>
      <c r="E128" s="138">
        <v>0</v>
      </c>
      <c r="F128" s="36">
        <f>IF('CFP Credit Estimator'!J72*'Default Data'!$AF$6&gt;1,'CFP Credit Estimator'!J72*'Default Data'!$AF$6,0)</f>
        <v>0</v>
      </c>
      <c r="G128" s="36">
        <f>IF('CFP Credit Estimator'!J29*'Default Data'!$AF$7&gt;1,'CFP Credit Estimator'!J29*'Default Data'!$AF$7,0)</f>
        <v>28338.205080979977</v>
      </c>
      <c r="H128" s="36">
        <f>IF('CFP Credit Estimator'!J194*'Default Data'!$AF$8&gt;1,'CFP Credit Estimator'!J194*'Default Data'!$AF$8,0)</f>
        <v>0</v>
      </c>
      <c r="I128" s="36">
        <v>0</v>
      </c>
      <c r="J128" s="138">
        <v>0</v>
      </c>
    </row>
    <row r="129" spans="1:11" x14ac:dyDescent="0.25">
      <c r="A129" s="4" t="s">
        <v>468</v>
      </c>
      <c r="B129" s="138">
        <v>0</v>
      </c>
      <c r="C129" s="138">
        <v>0</v>
      </c>
      <c r="D129" s="138">
        <v>0</v>
      </c>
      <c r="E129" s="138">
        <v>0</v>
      </c>
      <c r="F129" s="36">
        <f>IF('CFP Credit Estimator'!J73*'Default Data'!$AF$6&gt;1,'CFP Credit Estimator'!J73*'Default Data'!$AF$6,0)</f>
        <v>0</v>
      </c>
      <c r="G129" s="36">
        <f>IF('CFP Credit Estimator'!J30*'Default Data'!$AF$7&gt;1,'CFP Credit Estimator'!J30*'Default Data'!$AF$7,0)</f>
        <v>28338.205080979977</v>
      </c>
      <c r="H129" s="36">
        <f>IF('CFP Credit Estimator'!J195*'Default Data'!$AF$8&gt;1,'CFP Credit Estimator'!J195*'Default Data'!$AF$8,0)</f>
        <v>0</v>
      </c>
      <c r="I129" s="36">
        <v>0</v>
      </c>
      <c r="J129" s="138">
        <v>0</v>
      </c>
    </row>
    <row r="130" spans="1:11" x14ac:dyDescent="0.25">
      <c r="A130" s="4" t="s">
        <v>469</v>
      </c>
      <c r="B130" s="138">
        <v>0</v>
      </c>
      <c r="C130" s="138">
        <v>0</v>
      </c>
      <c r="D130" s="138">
        <v>0</v>
      </c>
      <c r="E130" s="138">
        <v>0</v>
      </c>
      <c r="F130" s="36">
        <f>IF('CFP Credit Estimator'!J74*'Default Data'!$AF$6&gt;1,'CFP Credit Estimator'!J74*'Default Data'!$AF$6,0)</f>
        <v>0</v>
      </c>
      <c r="G130" s="36">
        <f>IF('CFP Credit Estimator'!J31*'Default Data'!$AF$7&gt;1,'CFP Credit Estimator'!J31*'Default Data'!$AF$7,0)</f>
        <v>28338.205080979977</v>
      </c>
      <c r="H130" s="36">
        <f>IF('CFP Credit Estimator'!J196*'Default Data'!$AF$8&gt;1,'CFP Credit Estimator'!J196*'Default Data'!$AF$8,0)</f>
        <v>0</v>
      </c>
      <c r="I130" s="36">
        <v>0</v>
      </c>
      <c r="J130" s="138">
        <v>0</v>
      </c>
    </row>
    <row r="131" spans="1:11" x14ac:dyDescent="0.25">
      <c r="A131" s="4" t="s">
        <v>470</v>
      </c>
      <c r="B131" s="138">
        <v>0</v>
      </c>
      <c r="C131" s="138">
        <v>0</v>
      </c>
      <c r="D131" s="138">
        <v>0</v>
      </c>
      <c r="E131" s="138">
        <v>0</v>
      </c>
      <c r="F131" s="36">
        <f>IF('CFP Credit Estimator'!J75*'Default Data'!$AF$6&gt;1,'CFP Credit Estimator'!J75*'Default Data'!$AF$6,0)</f>
        <v>0</v>
      </c>
      <c r="G131" s="36">
        <f>IF('CFP Credit Estimator'!J32*'Default Data'!$AF$7&gt;1,'CFP Credit Estimator'!J32*'Default Data'!$AF$7,0)</f>
        <v>28338.205080979977</v>
      </c>
      <c r="H131" s="36">
        <f>IF('CFP Credit Estimator'!J197*'Default Data'!$AF$8&gt;1,'CFP Credit Estimator'!J197*'Default Data'!$AF$8,0)</f>
        <v>0</v>
      </c>
      <c r="I131" s="36">
        <v>0</v>
      </c>
      <c r="J131" s="138">
        <v>0</v>
      </c>
    </row>
    <row r="132" spans="1:11" x14ac:dyDescent="0.25">
      <c r="A132" s="4" t="s">
        <v>471</v>
      </c>
      <c r="B132" s="138">
        <v>0</v>
      </c>
      <c r="C132" s="138">
        <v>0</v>
      </c>
      <c r="D132" s="138">
        <v>0</v>
      </c>
      <c r="E132" s="138">
        <v>0</v>
      </c>
      <c r="F132" s="36">
        <f>IF('CFP Credit Estimator'!J76*'Default Data'!$AF$6&gt;1,'CFP Credit Estimator'!J76*'Default Data'!$AF$6,0)</f>
        <v>0</v>
      </c>
      <c r="G132" s="36">
        <f>IF('CFP Credit Estimator'!J33*'Default Data'!$AF$7&gt;1,'CFP Credit Estimator'!J33*'Default Data'!$AF$7,0)</f>
        <v>28338.205080979977</v>
      </c>
      <c r="H132" s="36">
        <f>IF('CFP Credit Estimator'!J198*'Default Data'!$AF$8&gt;1,'CFP Credit Estimator'!J198*'Default Data'!$AF$8,0)</f>
        <v>0</v>
      </c>
      <c r="I132" s="36">
        <v>0</v>
      </c>
      <c r="J132" s="138">
        <v>0</v>
      </c>
    </row>
    <row r="133" spans="1:11" x14ac:dyDescent="0.25">
      <c r="A133" s="4" t="s">
        <v>472</v>
      </c>
      <c r="B133" s="138">
        <v>0</v>
      </c>
      <c r="C133" s="138">
        <v>0</v>
      </c>
      <c r="D133" s="138">
        <v>0</v>
      </c>
      <c r="E133" s="138">
        <v>0</v>
      </c>
      <c r="F133" s="36">
        <f>IF('CFP Credit Estimator'!J77*'Default Data'!$AF$6&gt;1,'CFP Credit Estimator'!J77*'Default Data'!$AF$6,0)</f>
        <v>0</v>
      </c>
      <c r="G133" s="36">
        <f>IF('CFP Credit Estimator'!J34*'Default Data'!$AF$7&gt;1,'CFP Credit Estimator'!J34*'Default Data'!$AF$7,0)</f>
        <v>28338.205080979977</v>
      </c>
      <c r="H133" s="36">
        <f>IF('CFP Credit Estimator'!J199*'Default Data'!$AF$8&gt;1,'CFP Credit Estimator'!J199*'Default Data'!$AF$8,0)</f>
        <v>0</v>
      </c>
      <c r="I133" s="36">
        <v>0</v>
      </c>
      <c r="J133" s="138">
        <v>0</v>
      </c>
    </row>
    <row r="134" spans="1:11" x14ac:dyDescent="0.25">
      <c r="A134" s="4" t="s">
        <v>473</v>
      </c>
      <c r="B134" s="138">
        <v>0</v>
      </c>
      <c r="C134" s="138">
        <v>0</v>
      </c>
      <c r="D134" s="138">
        <v>0</v>
      </c>
      <c r="E134" s="138">
        <v>0</v>
      </c>
      <c r="F134" s="36">
        <f>IF('CFP Credit Estimator'!J78*'Default Data'!$AF$6&gt;1,'CFP Credit Estimator'!J78*'Default Data'!$AF$6,0)</f>
        <v>0</v>
      </c>
      <c r="G134" s="36">
        <f>IF('CFP Credit Estimator'!J35*'Default Data'!$AF$7&gt;1,'CFP Credit Estimator'!J35*'Default Data'!$AF$7,0)</f>
        <v>28338.205080979977</v>
      </c>
      <c r="H134" s="36">
        <f>IF('CFP Credit Estimator'!J200*'Default Data'!$AF$8&gt;1,'CFP Credit Estimator'!J200*'Default Data'!$AF$8,0)</f>
        <v>0</v>
      </c>
      <c r="I134" s="36">
        <v>0</v>
      </c>
      <c r="J134" s="138">
        <v>0</v>
      </c>
    </row>
    <row r="135" spans="1:11" x14ac:dyDescent="0.25">
      <c r="A135" s="4" t="s">
        <v>474</v>
      </c>
      <c r="B135" s="138">
        <v>0</v>
      </c>
      <c r="C135" s="138">
        <v>0</v>
      </c>
      <c r="D135" s="138">
        <v>0</v>
      </c>
      <c r="E135" s="138">
        <v>0</v>
      </c>
      <c r="F135" s="36">
        <f>IF('CFP Credit Estimator'!J79*'Default Data'!$AF$6&gt;1,'CFP Credit Estimator'!J79*'Default Data'!$AF$6,0)</f>
        <v>0</v>
      </c>
      <c r="G135" s="36">
        <f>IF('CFP Credit Estimator'!J36*'Default Data'!$AF$7&gt;1,'CFP Credit Estimator'!J36*'Default Data'!$AF$7,0)</f>
        <v>28338.205080979977</v>
      </c>
      <c r="H135" s="36">
        <f>IF('CFP Credit Estimator'!J201*'Default Data'!$AF$8&gt;1,'CFP Credit Estimator'!J201*'Default Data'!$AF$8,0)</f>
        <v>0</v>
      </c>
      <c r="I135" s="36">
        <v>0</v>
      </c>
      <c r="J135" s="138">
        <v>0</v>
      </c>
    </row>
    <row r="137" spans="1:11" x14ac:dyDescent="0.25">
      <c r="A137" s="387" t="s">
        <v>713</v>
      </c>
    </row>
    <row r="138" spans="1:11" ht="51.75" x14ac:dyDescent="0.25">
      <c r="A138" s="250" t="s">
        <v>445</v>
      </c>
      <c r="B138" s="90" t="s">
        <v>1</v>
      </c>
      <c r="C138" s="108" t="s">
        <v>149</v>
      </c>
      <c r="D138" s="90" t="s">
        <v>150</v>
      </c>
      <c r="E138" s="108" t="s">
        <v>151</v>
      </c>
      <c r="F138" s="90" t="s">
        <v>152</v>
      </c>
      <c r="G138" s="126" t="s">
        <v>154</v>
      </c>
      <c r="H138" s="90" t="s">
        <v>155</v>
      </c>
      <c r="I138" s="126" t="s">
        <v>156</v>
      </c>
      <c r="J138" s="114" t="s">
        <v>124</v>
      </c>
      <c r="K138" s="126" t="s">
        <v>735</v>
      </c>
    </row>
    <row r="139" spans="1:11" x14ac:dyDescent="0.25">
      <c r="A139" s="4" t="s">
        <v>460</v>
      </c>
      <c r="B139" s="268">
        <f>B16+B32+B50+B94</f>
        <v>154527.84971094949</v>
      </c>
      <c r="C139" s="268">
        <f t="shared" ref="C139:J139" si="39">C16+C32+C50+C94</f>
        <v>156686.46778063424</v>
      </c>
      <c r="D139" s="268">
        <f t="shared" si="39"/>
        <v>156664.51843984675</v>
      </c>
      <c r="E139" s="268">
        <f t="shared" si="39"/>
        <v>151866.54630063576</v>
      </c>
      <c r="F139" s="268">
        <f>(F16+F32+F50+F94)-F121</f>
        <v>148687.39284326718</v>
      </c>
      <c r="G139" s="268">
        <f>(G16+G32+G50+G94)-G121</f>
        <v>188996.24029806664</v>
      </c>
      <c r="H139" s="268">
        <f>(H16+H32+H50+H94)-H121</f>
        <v>175165.83386433069</v>
      </c>
      <c r="I139" s="268">
        <f>(I16+I32+I50+I94)-I121</f>
        <v>169816.78144915588</v>
      </c>
      <c r="J139" s="268">
        <f t="shared" si="39"/>
        <v>143125.63461592028</v>
      </c>
    </row>
    <row r="140" spans="1:11" x14ac:dyDescent="0.25">
      <c r="A140" s="4" t="s">
        <v>461</v>
      </c>
      <c r="B140" s="268">
        <f t="shared" ref="B140:J153" si="40">B33+B51+B95</f>
        <v>65633.657970436965</v>
      </c>
      <c r="C140" s="268">
        <f t="shared" si="40"/>
        <v>67774.592770396805</v>
      </c>
      <c r="D140" s="268">
        <f t="shared" si="40"/>
        <v>67752.116645430448</v>
      </c>
      <c r="E140" s="268">
        <f t="shared" si="40"/>
        <v>62866.387815632253</v>
      </c>
      <c r="F140" s="268">
        <f t="shared" ref="F140:I153" si="41">(F33+F51+F95)-F122</f>
        <v>52583.267413445719</v>
      </c>
      <c r="G140" s="268">
        <f t="shared" si="41"/>
        <v>-9444.6378736853658</v>
      </c>
      <c r="H140" s="268">
        <f t="shared" si="41"/>
        <v>57997.356984766127</v>
      </c>
      <c r="I140" s="268">
        <f t="shared" si="41"/>
        <v>52059.969470884746</v>
      </c>
      <c r="J140" s="268">
        <f t="shared" si="40"/>
        <v>55193.102595365031</v>
      </c>
    </row>
    <row r="141" spans="1:11" x14ac:dyDescent="0.25">
      <c r="A141" s="4" t="s">
        <v>462</v>
      </c>
      <c r="B141" s="268">
        <f t="shared" si="40"/>
        <v>69272.674510358527</v>
      </c>
      <c r="C141" s="268">
        <f t="shared" si="40"/>
        <v>71395.501642120056</v>
      </c>
      <c r="D141" s="268">
        <f t="shared" si="40"/>
        <v>71372.486090154503</v>
      </c>
      <c r="E141" s="268">
        <f t="shared" si="40"/>
        <v>66396.894409195025</v>
      </c>
      <c r="F141" s="268">
        <f t="shared" si="41"/>
        <v>54808.99322464475</v>
      </c>
      <c r="G141" s="268">
        <f t="shared" si="41"/>
        <v>-7785.7265787157994</v>
      </c>
      <c r="H141" s="268">
        <f t="shared" si="41"/>
        <v>59292.066359607299</v>
      </c>
      <c r="I141" s="268">
        <f t="shared" si="41"/>
        <v>52762.086640728361</v>
      </c>
      <c r="J141" s="268">
        <f t="shared" si="40"/>
        <v>56483.171757154589</v>
      </c>
    </row>
    <row r="142" spans="1:11" x14ac:dyDescent="0.25">
      <c r="A142" s="4" t="s">
        <v>463</v>
      </c>
      <c r="B142" s="268">
        <f t="shared" si="40"/>
        <v>71762.519643342283</v>
      </c>
      <c r="C142" s="268">
        <f t="shared" si="40"/>
        <v>73866.804522868741</v>
      </c>
      <c r="D142" s="268">
        <f t="shared" si="40"/>
        <v>73843.23659765601</v>
      </c>
      <c r="E142" s="268">
        <f t="shared" si="40"/>
        <v>68775.625357107361</v>
      </c>
      <c r="F142" s="268">
        <f t="shared" si="41"/>
        <v>57174.261606118111</v>
      </c>
      <c r="G142" s="268">
        <f t="shared" si="41"/>
        <v>-5986.9070891321753</v>
      </c>
      <c r="H142" s="268">
        <f t="shared" si="41"/>
        <v>60647.419469329398</v>
      </c>
      <c r="I142" s="268">
        <f t="shared" si="41"/>
        <v>53528.310597224481</v>
      </c>
      <c r="J142" s="268">
        <f t="shared" si="40"/>
        <v>58363.696123600203</v>
      </c>
    </row>
    <row r="143" spans="1:11" x14ac:dyDescent="0.25">
      <c r="A143" s="4" t="s">
        <v>464</v>
      </c>
      <c r="B143" s="268">
        <f t="shared" si="40"/>
        <v>74168.934119646292</v>
      </c>
      <c r="C143" s="268">
        <f t="shared" si="40"/>
        <v>76254.231732884058</v>
      </c>
      <c r="D143" s="268">
        <f t="shared" si="40"/>
        <v>76230.098177466221</v>
      </c>
      <c r="E143" s="268">
        <f t="shared" si="40"/>
        <v>71068.258907898242</v>
      </c>
      <c r="F143" s="268">
        <f t="shared" si="41"/>
        <v>59333.28429629872</v>
      </c>
      <c r="G143" s="268">
        <f t="shared" si="41"/>
        <v>-3541.5483284691618</v>
      </c>
      <c r="H143" s="268">
        <f t="shared" si="41"/>
        <v>62660.333755318723</v>
      </c>
      <c r="I143" s="268">
        <f t="shared" si="41"/>
        <v>54761.021534608721</v>
      </c>
      <c r="J143" s="268">
        <f t="shared" si="40"/>
        <v>60127.640904965396</v>
      </c>
    </row>
    <row r="144" spans="1:11" x14ac:dyDescent="0.25">
      <c r="A144" s="4" t="s">
        <v>465</v>
      </c>
      <c r="B144" s="268">
        <f t="shared" si="40"/>
        <v>76645.654485268824</v>
      </c>
      <c r="C144" s="268">
        <f t="shared" si="40"/>
        <v>78711.509137826943</v>
      </c>
      <c r="D144" s="268">
        <f t="shared" si="40"/>
        <v>78686.796377079081</v>
      </c>
      <c r="E144" s="268">
        <f t="shared" si="40"/>
        <v>73428.467605795362</v>
      </c>
      <c r="F144" s="268">
        <f t="shared" si="41"/>
        <v>61036.624975286715</v>
      </c>
      <c r="G144" s="268">
        <f t="shared" si="41"/>
        <v>-2169.3690338281485</v>
      </c>
      <c r="H144" s="268">
        <f t="shared" si="41"/>
        <v>64159.069040870105</v>
      </c>
      <c r="I144" s="268">
        <f t="shared" si="41"/>
        <v>56241.783496354583</v>
      </c>
      <c r="J144" s="268">
        <f t="shared" si="40"/>
        <v>62082.995417220613</v>
      </c>
    </row>
    <row r="145" spans="1:11" x14ac:dyDescent="0.25">
      <c r="A145" s="4" t="s">
        <v>466</v>
      </c>
      <c r="B145" s="268">
        <f t="shared" si="40"/>
        <v>79185.529361897206</v>
      </c>
      <c r="C145" s="268">
        <f t="shared" si="40"/>
        <v>81231.474422719388</v>
      </c>
      <c r="D145" s="268">
        <f t="shared" si="40"/>
        <v>81206.168555713579</v>
      </c>
      <c r="E145" s="268">
        <f t="shared" si="40"/>
        <v>75849.034534672872</v>
      </c>
      <c r="F145" s="268">
        <f t="shared" si="41"/>
        <v>63148.282644425854</v>
      </c>
      <c r="G145" s="268">
        <f t="shared" si="41"/>
        <v>-801.42925161452149</v>
      </c>
      <c r="H145" s="268">
        <f t="shared" si="41"/>
        <v>65612.032324969638</v>
      </c>
      <c r="I145" s="268">
        <f t="shared" si="41"/>
        <v>57676.342096877263</v>
      </c>
      <c r="J145" s="268">
        <f t="shared" si="40"/>
        <v>64595.231493078834</v>
      </c>
    </row>
    <row r="146" spans="1:11" x14ac:dyDescent="0.25">
      <c r="A146" s="4" t="s">
        <v>467</v>
      </c>
      <c r="B146" s="268">
        <f t="shared" si="40"/>
        <v>81830.263011762363</v>
      </c>
      <c r="C146" s="268">
        <f t="shared" si="40"/>
        <v>83855.820650646914</v>
      </c>
      <c r="D146" s="268">
        <f t="shared" si="40"/>
        <v>83829.907442832977</v>
      </c>
      <c r="E146" s="268">
        <f t="shared" si="40"/>
        <v>78371.596846041168</v>
      </c>
      <c r="F146" s="268">
        <f t="shared" si="41"/>
        <v>64990.024575399235</v>
      </c>
      <c r="G146" s="268">
        <f t="shared" si="41"/>
        <v>609.99117598842349</v>
      </c>
      <c r="H146" s="268">
        <f t="shared" si="41"/>
        <v>67133.888749073987</v>
      </c>
      <c r="I146" s="268">
        <f t="shared" si="41"/>
        <v>59179.352124998921</v>
      </c>
      <c r="J146" s="268">
        <f t="shared" si="40"/>
        <v>66916.003474781668</v>
      </c>
    </row>
    <row r="147" spans="1:11" x14ac:dyDescent="0.25">
      <c r="A147" s="4" t="s">
        <v>468</v>
      </c>
      <c r="B147" s="268">
        <f t="shared" si="40"/>
        <v>84302.081085351223</v>
      </c>
      <c r="C147" s="268">
        <f t="shared" si="40"/>
        <v>86306.762004171702</v>
      </c>
      <c r="D147" s="268">
        <f t="shared" si="40"/>
        <v>86280.22687937021</v>
      </c>
      <c r="E147" s="268">
        <f t="shared" si="40"/>
        <v>80718.311469009263</v>
      </c>
      <c r="F147" s="268">
        <f t="shared" si="41"/>
        <v>67766.703864961179</v>
      </c>
      <c r="G147" s="268">
        <f t="shared" si="41"/>
        <v>2080.8222345990107</v>
      </c>
      <c r="H147" s="268">
        <f t="shared" si="41"/>
        <v>68696.356273967031</v>
      </c>
      <c r="I147" s="268">
        <f t="shared" si="41"/>
        <v>60722.520940405688</v>
      </c>
      <c r="J147" s="268">
        <f t="shared" si="40"/>
        <v>70470.96089659234</v>
      </c>
    </row>
    <row r="148" spans="1:11" x14ac:dyDescent="0.25">
      <c r="A148" s="4" t="s">
        <v>469</v>
      </c>
      <c r="B148" s="268">
        <f t="shared" si="40"/>
        <v>87735.713612777574</v>
      </c>
      <c r="C148" s="268">
        <f t="shared" si="40"/>
        <v>89719.016770252376</v>
      </c>
      <c r="D148" s="268">
        <f t="shared" si="40"/>
        <v>89691.844802455656</v>
      </c>
      <c r="E148" s="268">
        <f t="shared" si="40"/>
        <v>84023.838062999916</v>
      </c>
      <c r="F148" s="268">
        <f t="shared" si="41"/>
        <v>69699.734870213622</v>
      </c>
      <c r="G148" s="268">
        <f t="shared" si="41"/>
        <v>3470.3129336331913</v>
      </c>
      <c r="H148" s="268">
        <f t="shared" si="41"/>
        <v>71583.581083016819</v>
      </c>
      <c r="I148" s="268">
        <f t="shared" si="41"/>
        <v>63589.983870941527</v>
      </c>
      <c r="J148" s="268">
        <f t="shared" si="40"/>
        <v>72474.12864198476</v>
      </c>
    </row>
    <row r="149" spans="1:11" x14ac:dyDescent="0.25">
      <c r="A149" s="4" t="s">
        <v>470</v>
      </c>
      <c r="B149" s="268">
        <f t="shared" si="40"/>
        <v>90372.942214172566</v>
      </c>
      <c r="C149" s="268">
        <f t="shared" si="40"/>
        <v>92334.35454402944</v>
      </c>
      <c r="D149" s="268">
        <f t="shared" si="40"/>
        <v>92306.530449005601</v>
      </c>
      <c r="E149" s="268">
        <f t="shared" si="40"/>
        <v>86529.88618855676</v>
      </c>
      <c r="F149" s="268">
        <f t="shared" si="41"/>
        <v>71905.637586446668</v>
      </c>
      <c r="G149" s="268">
        <f t="shared" si="41"/>
        <v>4997.2781122670349</v>
      </c>
      <c r="H149" s="268">
        <f t="shared" si="41"/>
        <v>73037.239690026152</v>
      </c>
      <c r="I149" s="268">
        <f t="shared" si="41"/>
        <v>65023.4063143526</v>
      </c>
      <c r="J149" s="268">
        <f t="shared" si="40"/>
        <v>75157.978926692638</v>
      </c>
    </row>
    <row r="150" spans="1:11" x14ac:dyDescent="0.25">
      <c r="A150" s="4" t="s">
        <v>471</v>
      </c>
      <c r="B150" s="268">
        <f t="shared" si="40"/>
        <v>93128.015466168072</v>
      </c>
      <c r="C150" s="268">
        <f t="shared" si="40"/>
        <v>95067.011588544163</v>
      </c>
      <c r="D150" s="268">
        <f t="shared" si="40"/>
        <v>95038.519715239745</v>
      </c>
      <c r="E150" s="268">
        <f t="shared" si="40"/>
        <v>89150.630633294</v>
      </c>
      <c r="F150" s="268">
        <f t="shared" si="41"/>
        <v>73866.942444488654</v>
      </c>
      <c r="G150" s="268">
        <f t="shared" si="41"/>
        <v>6455.6684608480427</v>
      </c>
      <c r="H150" s="268">
        <f t="shared" si="41"/>
        <v>74881.772942586787</v>
      </c>
      <c r="I150" s="268">
        <f t="shared" si="41"/>
        <v>66847.217735388578</v>
      </c>
      <c r="J150" s="268">
        <f t="shared" si="40"/>
        <v>77355.204072642591</v>
      </c>
    </row>
    <row r="151" spans="1:11" x14ac:dyDescent="0.25">
      <c r="A151" s="4" t="s">
        <v>472</v>
      </c>
      <c r="B151" s="268">
        <f t="shared" si="40"/>
        <v>95623.694503639301</v>
      </c>
      <c r="C151" s="268">
        <f t="shared" si="40"/>
        <v>97539.736429555065</v>
      </c>
      <c r="D151" s="268">
        <f t="shared" si="40"/>
        <v>97510.560751291356</v>
      </c>
      <c r="E151" s="268">
        <f t="shared" si="40"/>
        <v>91508.756972132775</v>
      </c>
      <c r="F151" s="268">
        <f t="shared" si="41"/>
        <v>75765.418760585191</v>
      </c>
      <c r="G151" s="268">
        <f t="shared" si="41"/>
        <v>8068.0644770479194</v>
      </c>
      <c r="H151" s="268">
        <f t="shared" si="41"/>
        <v>76645.163997446158</v>
      </c>
      <c r="I151" s="268">
        <f t="shared" si="41"/>
        <v>68589.389634766718</v>
      </c>
      <c r="J151" s="268">
        <f t="shared" si="40"/>
        <v>79831.204499635802</v>
      </c>
    </row>
    <row r="152" spans="1:11" x14ac:dyDescent="0.25">
      <c r="A152" s="4" t="s">
        <v>473</v>
      </c>
      <c r="B152" s="268">
        <f t="shared" si="40"/>
        <v>98083.45832072405</v>
      </c>
      <c r="C152" s="268">
        <f t="shared" si="40"/>
        <v>99975.995149464463</v>
      </c>
      <c r="D152" s="268">
        <f t="shared" si="40"/>
        <v>99946.119254922407</v>
      </c>
      <c r="E152" s="268">
        <f t="shared" si="40"/>
        <v>93827.666825817869</v>
      </c>
      <c r="F152" s="268">
        <f t="shared" si="41"/>
        <v>77698.456048841341</v>
      </c>
      <c r="G152" s="268">
        <f t="shared" si="41"/>
        <v>9612.1604842172237</v>
      </c>
      <c r="H152" s="268">
        <f t="shared" si="41"/>
        <v>78393.571708808595</v>
      </c>
      <c r="I152" s="268">
        <f t="shared" si="41"/>
        <v>70316.068930916386</v>
      </c>
      <c r="J152" s="268">
        <f t="shared" si="40"/>
        <v>82104.879385753404</v>
      </c>
    </row>
    <row r="153" spans="1:11" x14ac:dyDescent="0.25">
      <c r="A153" s="4" t="s">
        <v>474</v>
      </c>
      <c r="B153" s="268">
        <f t="shared" si="40"/>
        <v>100640.26803267351</v>
      </c>
      <c r="C153" s="268">
        <f t="shared" si="40"/>
        <v>102508.73564190637</v>
      </c>
      <c r="D153" s="268">
        <f t="shared" si="40"/>
        <v>102478.14272589532</v>
      </c>
      <c r="E153" s="268">
        <f t="shared" si="40"/>
        <v>96240.24207924612</v>
      </c>
      <c r="F153" s="268">
        <f t="shared" si="41"/>
        <v>79741.01545874853</v>
      </c>
      <c r="G153" s="268">
        <f t="shared" si="41"/>
        <v>11089.438818787952</v>
      </c>
      <c r="H153" s="268">
        <f t="shared" si="41"/>
        <v>80180.000044226806</v>
      </c>
      <c r="I153" s="268">
        <f t="shared" si="41"/>
        <v>72080.247369156685</v>
      </c>
      <c r="J153" s="268">
        <f t="shared" si="40"/>
        <v>84660.077373926222</v>
      </c>
    </row>
    <row r="155" spans="1:11" x14ac:dyDescent="0.25">
      <c r="A155" s="387" t="s">
        <v>714</v>
      </c>
    </row>
    <row r="156" spans="1:11" ht="51.75" x14ac:dyDescent="0.25">
      <c r="A156" s="250" t="s">
        <v>445</v>
      </c>
      <c r="B156" s="90" t="s">
        <v>1</v>
      </c>
      <c r="C156" s="108" t="s">
        <v>149</v>
      </c>
      <c r="D156" s="90" t="s">
        <v>150</v>
      </c>
      <c r="E156" s="108" t="s">
        <v>151</v>
      </c>
      <c r="F156" s="90" t="s">
        <v>152</v>
      </c>
      <c r="G156" s="126" t="s">
        <v>154</v>
      </c>
      <c r="H156" s="90" t="s">
        <v>155</v>
      </c>
      <c r="I156" s="126" t="s">
        <v>156</v>
      </c>
      <c r="J156" s="114" t="s">
        <v>124</v>
      </c>
      <c r="K156" s="126" t="s">
        <v>735</v>
      </c>
    </row>
    <row r="157" spans="1:11" x14ac:dyDescent="0.25">
      <c r="A157" s="4" t="s">
        <v>460</v>
      </c>
      <c r="B157" s="268">
        <f>B139</f>
        <v>154527.84971094949</v>
      </c>
      <c r="C157" s="268">
        <f t="shared" ref="C157:J157" si="42">C139</f>
        <v>156686.46778063424</v>
      </c>
      <c r="D157" s="268">
        <f t="shared" si="42"/>
        <v>156664.51843984675</v>
      </c>
      <c r="E157" s="268">
        <f t="shared" si="42"/>
        <v>151866.54630063576</v>
      </c>
      <c r="F157" s="268">
        <f t="shared" si="42"/>
        <v>148687.39284326718</v>
      </c>
      <c r="G157" s="268">
        <f t="shared" si="42"/>
        <v>188996.24029806664</v>
      </c>
      <c r="H157" s="268">
        <f t="shared" si="42"/>
        <v>175165.83386433069</v>
      </c>
      <c r="I157" s="268">
        <f t="shared" si="42"/>
        <v>169816.78144915588</v>
      </c>
      <c r="J157" s="268">
        <f t="shared" si="42"/>
        <v>143125.63461592028</v>
      </c>
    </row>
    <row r="158" spans="1:11" x14ac:dyDescent="0.25">
      <c r="A158" s="4" t="s">
        <v>461</v>
      </c>
      <c r="B158" s="268">
        <f>B157+B140</f>
        <v>220161.50768138646</v>
      </c>
      <c r="C158" s="268">
        <f t="shared" ref="C158:J171" si="43">C157+C140</f>
        <v>224461.06055103103</v>
      </c>
      <c r="D158" s="268">
        <f t="shared" si="43"/>
        <v>224416.6350852772</v>
      </c>
      <c r="E158" s="268">
        <f t="shared" si="43"/>
        <v>214732.93411626801</v>
      </c>
      <c r="F158" s="268">
        <f t="shared" si="43"/>
        <v>201270.6602567129</v>
      </c>
      <c r="G158" s="268">
        <f t="shared" si="43"/>
        <v>179551.60242438127</v>
      </c>
      <c r="H158" s="268">
        <f t="shared" si="43"/>
        <v>233163.19084909681</v>
      </c>
      <c r="I158" s="268">
        <f t="shared" si="43"/>
        <v>221876.75092004062</v>
      </c>
      <c r="J158" s="268">
        <f t="shared" si="43"/>
        <v>198318.7372112853</v>
      </c>
    </row>
    <row r="159" spans="1:11" x14ac:dyDescent="0.25">
      <c r="A159" s="4" t="s">
        <v>462</v>
      </c>
      <c r="B159" s="268">
        <f t="shared" ref="B159:B171" si="44">B158+B141</f>
        <v>289434.18219174497</v>
      </c>
      <c r="C159" s="268">
        <f t="shared" si="43"/>
        <v>295856.5621931511</v>
      </c>
      <c r="D159" s="268">
        <f t="shared" si="43"/>
        <v>295789.1211754317</v>
      </c>
      <c r="E159" s="268">
        <f t="shared" si="43"/>
        <v>281129.828525463</v>
      </c>
      <c r="F159" s="268">
        <f t="shared" si="43"/>
        <v>256079.65348135764</v>
      </c>
      <c r="G159" s="268">
        <f t="shared" si="43"/>
        <v>171765.87584566546</v>
      </c>
      <c r="H159" s="268">
        <f t="shared" si="43"/>
        <v>292455.25720870413</v>
      </c>
      <c r="I159" s="268">
        <f t="shared" si="43"/>
        <v>274638.837560769</v>
      </c>
      <c r="J159" s="268">
        <f t="shared" si="43"/>
        <v>254801.90896843991</v>
      </c>
    </row>
    <row r="160" spans="1:11" x14ac:dyDescent="0.25">
      <c r="A160" s="4" t="s">
        <v>463</v>
      </c>
      <c r="B160" s="268">
        <f t="shared" si="44"/>
        <v>361196.70183508727</v>
      </c>
      <c r="C160" s="268">
        <f t="shared" si="43"/>
        <v>369723.36671601981</v>
      </c>
      <c r="D160" s="268">
        <f t="shared" si="43"/>
        <v>369632.35777308769</v>
      </c>
      <c r="E160" s="268">
        <f t="shared" si="43"/>
        <v>349905.45388257038</v>
      </c>
      <c r="F160" s="268">
        <f t="shared" si="43"/>
        <v>313253.91508747573</v>
      </c>
      <c r="G160" s="268">
        <f t="shared" si="43"/>
        <v>165778.96875653329</v>
      </c>
      <c r="H160" s="268">
        <f t="shared" si="43"/>
        <v>353102.67667803355</v>
      </c>
      <c r="I160" s="268">
        <f t="shared" si="43"/>
        <v>328167.14815799345</v>
      </c>
      <c r="J160" s="268">
        <f t="shared" si="43"/>
        <v>313165.60509204009</v>
      </c>
    </row>
    <row r="161" spans="1:10" x14ac:dyDescent="0.25">
      <c r="A161" s="4" t="s">
        <v>464</v>
      </c>
      <c r="B161" s="268">
        <f t="shared" si="44"/>
        <v>435365.63595473359</v>
      </c>
      <c r="C161" s="268">
        <f t="shared" si="43"/>
        <v>445977.59844890388</v>
      </c>
      <c r="D161" s="268">
        <f t="shared" si="43"/>
        <v>445862.45595055388</v>
      </c>
      <c r="E161" s="268">
        <f t="shared" si="43"/>
        <v>420973.71279046859</v>
      </c>
      <c r="F161" s="268">
        <f t="shared" si="43"/>
        <v>372587.19938377442</v>
      </c>
      <c r="G161" s="268">
        <f t="shared" si="43"/>
        <v>162237.42042806413</v>
      </c>
      <c r="H161" s="268">
        <f t="shared" si="43"/>
        <v>415763.01043335226</v>
      </c>
      <c r="I161" s="268">
        <f t="shared" si="43"/>
        <v>382928.16969260218</v>
      </c>
      <c r="J161" s="268">
        <f t="shared" si="43"/>
        <v>373293.24599700549</v>
      </c>
    </row>
    <row r="162" spans="1:10" x14ac:dyDescent="0.25">
      <c r="A162" s="4" t="s">
        <v>465</v>
      </c>
      <c r="B162" s="268">
        <f t="shared" si="44"/>
        <v>512011.2904400024</v>
      </c>
      <c r="C162" s="268">
        <f t="shared" si="43"/>
        <v>524689.10758673085</v>
      </c>
      <c r="D162" s="268">
        <f t="shared" si="43"/>
        <v>524549.25232763297</v>
      </c>
      <c r="E162" s="268">
        <f t="shared" si="43"/>
        <v>494402.18039626395</v>
      </c>
      <c r="F162" s="268">
        <f t="shared" si="43"/>
        <v>433623.82435906114</v>
      </c>
      <c r="G162" s="268">
        <f t="shared" si="43"/>
        <v>160068.05139423598</v>
      </c>
      <c r="H162" s="268">
        <f t="shared" si="43"/>
        <v>479922.07947422238</v>
      </c>
      <c r="I162" s="268">
        <f t="shared" si="43"/>
        <v>439169.95318895677</v>
      </c>
      <c r="J162" s="268">
        <f t="shared" si="43"/>
        <v>435376.24141422613</v>
      </c>
    </row>
    <row r="163" spans="1:10" x14ac:dyDescent="0.25">
      <c r="A163" s="4" t="s">
        <v>466</v>
      </c>
      <c r="B163" s="268">
        <f t="shared" si="44"/>
        <v>591196.8198018996</v>
      </c>
      <c r="C163" s="268">
        <f t="shared" si="43"/>
        <v>605920.5820094503</v>
      </c>
      <c r="D163" s="268">
        <f t="shared" si="43"/>
        <v>605755.42088334658</v>
      </c>
      <c r="E163" s="268">
        <f t="shared" si="43"/>
        <v>570251.21493093681</v>
      </c>
      <c r="F163" s="268">
        <f t="shared" si="43"/>
        <v>496772.10700348701</v>
      </c>
      <c r="G163" s="268">
        <f t="shared" si="43"/>
        <v>159266.62214262146</v>
      </c>
      <c r="H163" s="268">
        <f t="shared" si="43"/>
        <v>545534.11179919203</v>
      </c>
      <c r="I163" s="268">
        <f t="shared" si="43"/>
        <v>496846.29528583406</v>
      </c>
      <c r="J163" s="268">
        <f t="shared" si="43"/>
        <v>499971.47290730494</v>
      </c>
    </row>
    <row r="164" spans="1:10" x14ac:dyDescent="0.25">
      <c r="A164" s="4" t="s">
        <v>467</v>
      </c>
      <c r="B164" s="268">
        <f t="shared" si="44"/>
        <v>673027.08281366201</v>
      </c>
      <c r="C164" s="268">
        <f t="shared" si="43"/>
        <v>689776.40266009723</v>
      </c>
      <c r="D164" s="268">
        <f t="shared" si="43"/>
        <v>689585.32832617953</v>
      </c>
      <c r="E164" s="268">
        <f t="shared" si="43"/>
        <v>648622.81177697796</v>
      </c>
      <c r="F164" s="268">
        <f t="shared" si="43"/>
        <v>561762.13157888618</v>
      </c>
      <c r="G164" s="268">
        <f t="shared" si="43"/>
        <v>159876.61331860989</v>
      </c>
      <c r="H164" s="268">
        <f t="shared" si="43"/>
        <v>612668.00054826599</v>
      </c>
      <c r="I164" s="268">
        <f t="shared" si="43"/>
        <v>556025.64741083293</v>
      </c>
      <c r="J164" s="268">
        <f t="shared" si="43"/>
        <v>566887.47638208664</v>
      </c>
    </row>
    <row r="165" spans="1:10" x14ac:dyDescent="0.25">
      <c r="A165" s="4" t="s">
        <v>468</v>
      </c>
      <c r="B165" s="268">
        <f t="shared" si="44"/>
        <v>757329.16389901319</v>
      </c>
      <c r="C165" s="268">
        <f t="shared" si="43"/>
        <v>776083.16466426896</v>
      </c>
      <c r="D165" s="268">
        <f t="shared" si="43"/>
        <v>775865.5552055497</v>
      </c>
      <c r="E165" s="268">
        <f t="shared" si="43"/>
        <v>729341.12324598723</v>
      </c>
      <c r="F165" s="268">
        <f t="shared" si="43"/>
        <v>629528.83544384735</v>
      </c>
      <c r="G165" s="268">
        <f t="shared" si="43"/>
        <v>161957.4355532089</v>
      </c>
      <c r="H165" s="268">
        <f t="shared" si="43"/>
        <v>681364.35682223307</v>
      </c>
      <c r="I165" s="268">
        <f t="shared" si="43"/>
        <v>616748.16835123859</v>
      </c>
      <c r="J165" s="268">
        <f t="shared" si="43"/>
        <v>637358.43727867899</v>
      </c>
    </row>
    <row r="166" spans="1:10" x14ac:dyDescent="0.25">
      <c r="A166" s="4" t="s">
        <v>469</v>
      </c>
      <c r="B166" s="268">
        <f t="shared" si="44"/>
        <v>845064.87751179072</v>
      </c>
      <c r="C166" s="268">
        <f t="shared" si="43"/>
        <v>865802.18143452134</v>
      </c>
      <c r="D166" s="268">
        <f t="shared" si="43"/>
        <v>865557.40000800532</v>
      </c>
      <c r="E166" s="268">
        <f t="shared" si="43"/>
        <v>813364.96130898711</v>
      </c>
      <c r="F166" s="268">
        <f t="shared" si="43"/>
        <v>699228.57031406101</v>
      </c>
      <c r="G166" s="268">
        <f t="shared" si="43"/>
        <v>165427.74848684209</v>
      </c>
      <c r="H166" s="268">
        <f t="shared" si="43"/>
        <v>752947.93790524988</v>
      </c>
      <c r="I166" s="268">
        <f t="shared" si="43"/>
        <v>680338.15222218016</v>
      </c>
      <c r="J166" s="268">
        <f t="shared" si="43"/>
        <v>709832.56592066376</v>
      </c>
    </row>
    <row r="167" spans="1:10" x14ac:dyDescent="0.25">
      <c r="A167" s="4" t="s">
        <v>470</v>
      </c>
      <c r="B167" s="268">
        <f t="shared" si="44"/>
        <v>935437.81972596329</v>
      </c>
      <c r="C167" s="268">
        <f t="shared" si="43"/>
        <v>958136.53597855079</v>
      </c>
      <c r="D167" s="268">
        <f t="shared" si="43"/>
        <v>957863.93045701087</v>
      </c>
      <c r="E167" s="268">
        <f t="shared" si="43"/>
        <v>899894.8474975439</v>
      </c>
      <c r="F167" s="268">
        <f t="shared" si="43"/>
        <v>771134.20790050772</v>
      </c>
      <c r="G167" s="268">
        <f t="shared" si="43"/>
        <v>170425.02659910911</v>
      </c>
      <c r="H167" s="268">
        <f t="shared" si="43"/>
        <v>825985.17759527604</v>
      </c>
      <c r="I167" s="268">
        <f t="shared" si="43"/>
        <v>745361.5585365328</v>
      </c>
      <c r="J167" s="268">
        <f t="shared" si="43"/>
        <v>784990.54484735639</v>
      </c>
    </row>
    <row r="168" spans="1:10" x14ac:dyDescent="0.25">
      <c r="A168" s="4" t="s">
        <v>471</v>
      </c>
      <c r="B168" s="268">
        <f t="shared" si="44"/>
        <v>1028565.8351921313</v>
      </c>
      <c r="C168" s="268">
        <f t="shared" si="43"/>
        <v>1053203.5475670949</v>
      </c>
      <c r="D168" s="268">
        <f t="shared" si="43"/>
        <v>1052902.4501722506</v>
      </c>
      <c r="E168" s="268">
        <f t="shared" si="43"/>
        <v>989045.4781308379</v>
      </c>
      <c r="F168" s="268">
        <f t="shared" si="43"/>
        <v>845001.15034499636</v>
      </c>
      <c r="G168" s="268">
        <f t="shared" si="43"/>
        <v>176880.69505995716</v>
      </c>
      <c r="H168" s="268">
        <f t="shared" si="43"/>
        <v>900866.95053786284</v>
      </c>
      <c r="I168" s="268">
        <f t="shared" si="43"/>
        <v>812208.77627192135</v>
      </c>
      <c r="J168" s="268">
        <f t="shared" si="43"/>
        <v>862345.74891999899</v>
      </c>
    </row>
    <row r="169" spans="1:10" x14ac:dyDescent="0.25">
      <c r="A169" s="4" t="s">
        <v>472</v>
      </c>
      <c r="B169" s="268">
        <f t="shared" si="44"/>
        <v>1124189.5296957707</v>
      </c>
      <c r="C169" s="268">
        <f t="shared" si="43"/>
        <v>1150743.28399665</v>
      </c>
      <c r="D169" s="268">
        <f t="shared" si="43"/>
        <v>1150413.0109235421</v>
      </c>
      <c r="E169" s="268">
        <f t="shared" si="43"/>
        <v>1080554.2351029706</v>
      </c>
      <c r="F169" s="268">
        <f t="shared" si="43"/>
        <v>920766.56910558161</v>
      </c>
      <c r="G169" s="268">
        <f t="shared" si="43"/>
        <v>184948.75953700507</v>
      </c>
      <c r="H169" s="268">
        <f t="shared" si="43"/>
        <v>977512.11453530903</v>
      </c>
      <c r="I169" s="268">
        <f t="shared" si="43"/>
        <v>880798.16590668808</v>
      </c>
      <c r="J169" s="268">
        <f t="shared" si="43"/>
        <v>942176.95341963484</v>
      </c>
    </row>
    <row r="170" spans="1:10" x14ac:dyDescent="0.25">
      <c r="A170" s="4" t="s">
        <v>473</v>
      </c>
      <c r="B170" s="268">
        <f t="shared" si="44"/>
        <v>1222272.9880164948</v>
      </c>
      <c r="C170" s="268">
        <f t="shared" si="43"/>
        <v>1250719.2791461144</v>
      </c>
      <c r="D170" s="268">
        <f t="shared" si="43"/>
        <v>1250359.1301784646</v>
      </c>
      <c r="E170" s="268">
        <f t="shared" si="43"/>
        <v>1174381.9019287885</v>
      </c>
      <c r="F170" s="268">
        <f t="shared" si="43"/>
        <v>998465.02515442297</v>
      </c>
      <c r="G170" s="268">
        <f t="shared" si="43"/>
        <v>194560.92002122229</v>
      </c>
      <c r="H170" s="268">
        <f t="shared" si="43"/>
        <v>1055905.6862441176</v>
      </c>
      <c r="I170" s="268">
        <f t="shared" si="43"/>
        <v>951114.23483760445</v>
      </c>
      <c r="J170" s="268">
        <f t="shared" si="43"/>
        <v>1024281.8328053883</v>
      </c>
    </row>
    <row r="171" spans="1:10" x14ac:dyDescent="0.25">
      <c r="A171" s="4" t="s">
        <v>474</v>
      </c>
      <c r="B171" s="268">
        <f t="shared" si="44"/>
        <v>1322913.2560491683</v>
      </c>
      <c r="C171" s="268">
        <f t="shared" si="43"/>
        <v>1353228.0147880206</v>
      </c>
      <c r="D171" s="268">
        <f t="shared" si="43"/>
        <v>1352837.27290436</v>
      </c>
      <c r="E171" s="268">
        <f t="shared" si="43"/>
        <v>1270622.1440080346</v>
      </c>
      <c r="F171" s="268">
        <f t="shared" si="43"/>
        <v>1078206.0406131714</v>
      </c>
      <c r="G171" s="268">
        <f t="shared" si="43"/>
        <v>205650.35884001025</v>
      </c>
      <c r="H171" s="268">
        <f t="shared" si="43"/>
        <v>1136085.6862883444</v>
      </c>
      <c r="I171" s="268">
        <f t="shared" si="43"/>
        <v>1023194.4822067611</v>
      </c>
      <c r="J171" s="268">
        <f t="shared" si="43"/>
        <v>1108941.9101793144</v>
      </c>
    </row>
    <row r="172" spans="1:10" x14ac:dyDescent="0.25">
      <c r="A172" s="4"/>
      <c r="B172" s="268"/>
      <c r="C172" s="268"/>
      <c r="D172" s="268"/>
      <c r="E172" s="268"/>
      <c r="F172" s="268"/>
      <c r="G172" s="268"/>
      <c r="H172" s="268"/>
      <c r="I172" s="268"/>
      <c r="J172" s="26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3446-F709-4249-8B7A-022B7CDDCF16}">
  <sheetPr codeName="Sheet7"/>
  <dimension ref="A1:AK120"/>
  <sheetViews>
    <sheetView workbookViewId="0">
      <selection activeCell="L32" sqref="L32"/>
    </sheetView>
  </sheetViews>
  <sheetFormatPr defaultRowHeight="15" x14ac:dyDescent="0.25"/>
  <cols>
    <col min="1" max="1" width="23.5703125" customWidth="1"/>
    <col min="2" max="2" width="9.85546875" bestFit="1" customWidth="1"/>
    <col min="5" max="5" width="21.28515625" customWidth="1"/>
    <col min="6" max="6" width="6.42578125" customWidth="1"/>
    <col min="7" max="7" width="6.85546875" customWidth="1"/>
    <col min="9" max="9" width="10" bestFit="1" customWidth="1"/>
    <col min="10" max="10" width="10.42578125" customWidth="1"/>
    <col min="12" max="12" width="11.140625" customWidth="1"/>
    <col min="15" max="15" width="11.85546875" customWidth="1"/>
    <col min="16" max="16" width="12.42578125" customWidth="1"/>
    <col min="17" max="18" width="10.5703125" customWidth="1"/>
    <col min="21" max="21" width="10.28515625" customWidth="1"/>
    <col min="23" max="23" width="13.140625" customWidth="1"/>
    <col min="26" max="26" width="9" bestFit="1" customWidth="1"/>
    <col min="27" max="27" width="9" customWidth="1"/>
    <col min="28" max="28" width="10.42578125" customWidth="1"/>
    <col min="29" max="29" width="10.85546875" customWidth="1"/>
    <col min="30" max="30" width="10.28515625" customWidth="1"/>
    <col min="33" max="33" width="13.7109375" customWidth="1"/>
    <col min="34" max="34" width="12.7109375" customWidth="1"/>
    <col min="35" max="35" width="13.140625" customWidth="1"/>
  </cols>
  <sheetData>
    <row r="1" spans="1:36" s="88" customFormat="1" ht="63.75" x14ac:dyDescent="0.25">
      <c r="A1" s="84" t="s">
        <v>125</v>
      </c>
      <c r="B1" s="85" t="s">
        <v>126</v>
      </c>
      <c r="C1" s="85" t="s">
        <v>729</v>
      </c>
      <c r="D1" s="85" t="s">
        <v>127</v>
      </c>
      <c r="E1" s="86" t="s">
        <v>128</v>
      </c>
      <c r="F1" s="86" t="s">
        <v>129</v>
      </c>
      <c r="G1" s="85" t="s">
        <v>749</v>
      </c>
      <c r="H1" s="86" t="s">
        <v>130</v>
      </c>
      <c r="I1" s="86" t="s">
        <v>730</v>
      </c>
      <c r="J1" s="86" t="s">
        <v>731</v>
      </c>
      <c r="K1" s="86" t="s">
        <v>131</v>
      </c>
      <c r="L1" s="86" t="s">
        <v>682</v>
      </c>
      <c r="M1" s="86" t="s">
        <v>8</v>
      </c>
      <c r="N1" s="86" t="s">
        <v>132</v>
      </c>
      <c r="O1" s="87" t="s">
        <v>683</v>
      </c>
      <c r="P1" s="87" t="s">
        <v>684</v>
      </c>
      <c r="Q1" s="87" t="s">
        <v>590</v>
      </c>
      <c r="R1" s="87" t="s">
        <v>133</v>
      </c>
      <c r="S1" s="88" t="s">
        <v>134</v>
      </c>
      <c r="T1" s="88" t="s">
        <v>135</v>
      </c>
      <c r="U1" s="88" t="s">
        <v>136</v>
      </c>
      <c r="V1" s="88" t="s">
        <v>137</v>
      </c>
      <c r="W1" s="88" t="s">
        <v>138</v>
      </c>
      <c r="X1" s="88" t="s">
        <v>139</v>
      </c>
      <c r="Y1" s="88" t="s">
        <v>140</v>
      </c>
      <c r="Z1" s="88" t="s">
        <v>625</v>
      </c>
      <c r="AA1" s="88" t="s">
        <v>626</v>
      </c>
      <c r="AB1" s="88" t="s">
        <v>508</v>
      </c>
      <c r="AC1" s="88" t="s">
        <v>141</v>
      </c>
      <c r="AD1" s="88" t="s">
        <v>142</v>
      </c>
      <c r="AE1" s="88" t="s">
        <v>143</v>
      </c>
      <c r="AF1" s="88" t="s">
        <v>144</v>
      </c>
      <c r="AG1" s="89" t="s">
        <v>145</v>
      </c>
      <c r="AH1" s="88" t="s">
        <v>146</v>
      </c>
      <c r="AI1" s="88" t="s">
        <v>147</v>
      </c>
    </row>
    <row r="2" spans="1:36" s="108" customFormat="1" ht="12.75" customHeight="1" x14ac:dyDescent="0.2">
      <c r="A2" s="90" t="s">
        <v>1</v>
      </c>
      <c r="B2" s="91">
        <f>'Bus Price-Infrastructure'!$B$7</f>
        <v>91250</v>
      </c>
      <c r="C2" s="392">
        <f>Inputs!$B$14</f>
        <v>5</v>
      </c>
      <c r="D2" s="92">
        <v>15</v>
      </c>
      <c r="E2" s="93" t="s">
        <v>1</v>
      </c>
      <c r="F2" s="94">
        <v>72</v>
      </c>
      <c r="G2" s="95">
        <f>ROUND('School Bus Table'!F16,2)</f>
        <v>2.2000000000000002</v>
      </c>
      <c r="H2" s="96">
        <f>'School Bus Table'!G4</f>
        <v>6.77</v>
      </c>
      <c r="I2" s="97">
        <f>'School Bus Table'!E19</f>
        <v>11078.286558345642</v>
      </c>
      <c r="J2" s="97">
        <f>I2*C2</f>
        <v>55391.432791728213</v>
      </c>
      <c r="K2" s="98">
        <f>'School Bus Table'!F17</f>
        <v>0.32429003797429834</v>
      </c>
      <c r="L2" s="99">
        <f>ROUND('School Bus Table'!$F$21/'School Bus Table'!$D$10,5)</f>
        <v>7.5599999999999999E-3</v>
      </c>
      <c r="M2" s="100">
        <f>'School Bus Table'!G11</f>
        <v>0.47751442307692304</v>
      </c>
      <c r="N2" s="100">
        <f>K2+L2+M2+O2</f>
        <v>0.82936446105122141</v>
      </c>
      <c r="O2" s="364">
        <f>'Bus Price-Infrastructure'!$E$52</f>
        <v>0.02</v>
      </c>
      <c r="P2" s="101">
        <f>O2*'School Bus Table'!F19</f>
        <v>221.56573116691285</v>
      </c>
      <c r="Q2" s="102">
        <v>0</v>
      </c>
      <c r="R2" s="101">
        <f>(B2*C2)+Q2</f>
        <v>456250</v>
      </c>
      <c r="S2" s="103">
        <f>'Criteria Polutant Data'!C10</f>
        <v>1.9396624413828317E-3</v>
      </c>
      <c r="T2" s="104">
        <f>'Criteria Polutant Data'!D10</f>
        <v>8.1465822538078936E-2</v>
      </c>
      <c r="U2" s="105">
        <f>'Criteria Polutant Data'!$C$8</f>
        <v>8.4872273276624147E-7</v>
      </c>
      <c r="V2" s="277">
        <f>'Criteria Polutant Data'!$D$8</f>
        <v>8.4789115093538911E-3</v>
      </c>
      <c r="W2" s="107">
        <f>'Criteria Polutant Data'!$C$9</f>
        <v>1.3910182556026285E-7</v>
      </c>
      <c r="X2" s="388">
        <f>'Criteria Polutant Data'!$D$9</f>
        <v>6.6971341229478704E-2</v>
      </c>
      <c r="Y2" s="104">
        <f t="shared" ref="Y2:Y10" si="0">T2+V2+X2</f>
        <v>0.15691607527691154</v>
      </c>
      <c r="Z2" s="101">
        <f>(T2+V2+X2)*Inputs!$B$24</f>
        <v>11768.705645768365</v>
      </c>
      <c r="AA2" s="101">
        <f>Z2*15</f>
        <v>176530.58468652546</v>
      </c>
      <c r="AB2" s="101">
        <f>(B2*C2)+Q2</f>
        <v>456250</v>
      </c>
      <c r="AC2" s="101">
        <f>'Bus 1 Calc'!B86</f>
        <v>1189761.9866050838</v>
      </c>
      <c r="AD2" s="101">
        <f>AC2+R2</f>
        <v>1646011.9866050838</v>
      </c>
      <c r="AE2" s="108">
        <v>0</v>
      </c>
      <c r="AF2" s="108">
        <v>0</v>
      </c>
      <c r="AG2" s="109">
        <f>-(AE2*AF2)</f>
        <v>0</v>
      </c>
      <c r="AH2" s="110">
        <f>R2+AA2+AC2</f>
        <v>1822542.5712916092</v>
      </c>
      <c r="AI2" s="109">
        <f t="shared" ref="AI2:AI7" si="1">AH2-AG2</f>
        <v>1822542.5712916092</v>
      </c>
    </row>
    <row r="3" spans="1:36" s="108" customFormat="1" ht="12.75" customHeight="1" x14ac:dyDescent="0.2">
      <c r="A3" s="108" t="s">
        <v>149</v>
      </c>
      <c r="B3" s="91">
        <f>'Bus Price-Infrastructure'!$B$7</f>
        <v>91250</v>
      </c>
      <c r="C3" s="392">
        <f>Inputs!$B$14</f>
        <v>5</v>
      </c>
      <c r="D3" s="92">
        <v>15</v>
      </c>
      <c r="E3" s="93" t="s">
        <v>149</v>
      </c>
      <c r="F3" s="94">
        <v>72</v>
      </c>
      <c r="G3" s="95">
        <f>ROUND('School Bus Table'!F26,2)</f>
        <v>2.46</v>
      </c>
      <c r="H3" s="96">
        <f>'School Bus Table'!G4</f>
        <v>6.77</v>
      </c>
      <c r="I3" s="97">
        <f>'School Bus Table'!E29</f>
        <v>11078.286558345642</v>
      </c>
      <c r="J3" s="97">
        <f t="shared" ref="J3:J10" si="2">I3*C3</f>
        <v>55391.432791728213</v>
      </c>
      <c r="K3" s="98">
        <f>'School Bus Table'!F27</f>
        <v>0.36289565097282128</v>
      </c>
      <c r="L3" s="99">
        <f>ROUND('School Bus Table'!$F$31/'School Bus Table'!$D$10,5)</f>
        <v>6.8100000000000001E-3</v>
      </c>
      <c r="M3" s="100">
        <f>'School Bus Table'!G12</f>
        <v>0.47</v>
      </c>
      <c r="N3" s="100">
        <f t="shared" ref="N3:N11" si="3">K3+L3+M3+O3</f>
        <v>0.85970565097282126</v>
      </c>
      <c r="O3" s="364">
        <f>'Bus Price-Infrastructure'!$E$52</f>
        <v>0.02</v>
      </c>
      <c r="P3" s="101">
        <f>O3*'School Bus Table'!F29</f>
        <v>221.56573116691285</v>
      </c>
      <c r="Q3" s="102">
        <v>0</v>
      </c>
      <c r="R3" s="101">
        <f t="shared" ref="R3:R11" si="4">(B3*C3)+Q3</f>
        <v>456250</v>
      </c>
      <c r="S3" s="103">
        <f>'Criteria Polutant Data'!C11</f>
        <v>1.7547412552613598E-3</v>
      </c>
      <c r="T3" s="104">
        <f>'Criteria Polutant Data'!D11</f>
        <v>7.3699132720977112E-2</v>
      </c>
      <c r="U3" s="105">
        <f>'Criteria Polutant Data'!$C$8</f>
        <v>8.4872273276624147E-7</v>
      </c>
      <c r="V3" s="277">
        <f>'Criteria Polutant Data'!$D$8</f>
        <v>8.4789115093538911E-3</v>
      </c>
      <c r="W3" s="107">
        <f>'Criteria Polutant Data'!$C$9</f>
        <v>1.3910182556026285E-7</v>
      </c>
      <c r="X3" s="388">
        <f>'Criteria Polutant Data'!$D$9</f>
        <v>6.6971341229478704E-2</v>
      </c>
      <c r="Y3" s="104">
        <f t="shared" si="0"/>
        <v>0.14914938545980971</v>
      </c>
      <c r="Z3" s="101">
        <f>(T3+V3+X3)*Inputs!$B$24</f>
        <v>11186.203909485728</v>
      </c>
      <c r="AA3" s="101">
        <f t="shared" ref="AA3:AA10" si="5">Z3*15</f>
        <v>167793.05864228593</v>
      </c>
      <c r="AB3" s="101">
        <f t="shared" ref="AB3:AB10" si="6">(B3*C3)+Q3</f>
        <v>456250</v>
      </c>
      <c r="AC3" s="101">
        <f>'Bus 1 Calc'!C86</f>
        <v>1222150.683034136</v>
      </c>
      <c r="AD3" s="101">
        <f t="shared" ref="AD3:AD9" si="7">AC3+R3</f>
        <v>1678400.683034136</v>
      </c>
      <c r="AE3" s="108">
        <v>0</v>
      </c>
      <c r="AF3" s="108">
        <v>0</v>
      </c>
      <c r="AG3" s="109">
        <f t="shared" ref="AG3:AG10" si="8">-(AE3*AF3)</f>
        <v>0</v>
      </c>
      <c r="AH3" s="110">
        <f t="shared" ref="AH3:AH10" si="9">R3+AA3+AC3</f>
        <v>1846193.7416764218</v>
      </c>
      <c r="AI3" s="109">
        <f t="shared" si="1"/>
        <v>1846193.7416764218</v>
      </c>
    </row>
    <row r="4" spans="1:36" s="108" customFormat="1" ht="15" customHeight="1" x14ac:dyDescent="0.2">
      <c r="A4" s="90" t="s">
        <v>150</v>
      </c>
      <c r="B4" s="91">
        <f>'Bus Price-Infrastructure'!$B$7</f>
        <v>91250</v>
      </c>
      <c r="C4" s="392">
        <f>Inputs!$B$14</f>
        <v>5</v>
      </c>
      <c r="D4" s="92">
        <v>15</v>
      </c>
      <c r="E4" s="94" t="s">
        <v>150</v>
      </c>
      <c r="F4" s="94">
        <v>72</v>
      </c>
      <c r="G4" s="95">
        <f>ROUND('School Bus Table'!F39,2)</f>
        <v>2.46</v>
      </c>
      <c r="H4" s="96">
        <f>'School Bus Table'!G4</f>
        <v>6.77</v>
      </c>
      <c r="I4" s="97">
        <f>'School Bus Table'!E42</f>
        <v>11078.286558345642</v>
      </c>
      <c r="J4" s="97">
        <f t="shared" si="2"/>
        <v>55391.432791728213</v>
      </c>
      <c r="K4" s="98">
        <f>'School Bus Table'!F40</f>
        <v>0.36289565097282128</v>
      </c>
      <c r="L4" s="99">
        <f>ROUND('School Bus Table'!$F$44/'School Bus Table'!$D$10,5)</f>
        <v>6.8100000000000001E-3</v>
      </c>
      <c r="M4" s="100">
        <f>'School Bus Table'!G12</f>
        <v>0.47</v>
      </c>
      <c r="N4" s="100">
        <f t="shared" si="3"/>
        <v>0.85970565097282126</v>
      </c>
      <c r="O4" s="364">
        <f>'Bus Price-Infrastructure'!$E$52</f>
        <v>0.02</v>
      </c>
      <c r="P4" s="101">
        <f>O4*'School Bus Table'!F42</f>
        <v>221.56573116691285</v>
      </c>
      <c r="Q4" s="102">
        <v>0</v>
      </c>
      <c r="R4" s="101">
        <f t="shared" si="4"/>
        <v>456250</v>
      </c>
      <c r="S4" s="103">
        <f>'Criteria Polutant Data'!C12</f>
        <v>1.7199010317891983E-3</v>
      </c>
      <c r="T4" s="104">
        <f>'Criteria Polutant Data'!D12</f>
        <v>7.2235843335146321E-2</v>
      </c>
      <c r="U4" s="105">
        <f>'Criteria Polutant Data'!$C$8</f>
        <v>8.4872273276624147E-7</v>
      </c>
      <c r="V4" s="277">
        <f>'Criteria Polutant Data'!$D$8</f>
        <v>8.4789115093538911E-3</v>
      </c>
      <c r="W4" s="107">
        <f>'Criteria Polutant Data'!$C$9</f>
        <v>1.3910182556026285E-7</v>
      </c>
      <c r="X4" s="388">
        <f>'Criteria Polutant Data'!$D$9</f>
        <v>6.6971341229478704E-2</v>
      </c>
      <c r="Y4" s="104">
        <f t="shared" si="0"/>
        <v>0.14768609607397892</v>
      </c>
      <c r="Z4" s="101">
        <f>(T4+V4+X4)*Inputs!$B$24</f>
        <v>11076.457205548419</v>
      </c>
      <c r="AA4" s="101">
        <f t="shared" si="5"/>
        <v>166146.85808322628</v>
      </c>
      <c r="AB4" s="101">
        <f t="shared" si="6"/>
        <v>456250</v>
      </c>
      <c r="AC4" s="101">
        <f>'Bus 1 Calc'!D86</f>
        <v>1222150.683034136</v>
      </c>
      <c r="AD4" s="101">
        <f t="shared" si="7"/>
        <v>1678400.683034136</v>
      </c>
      <c r="AE4" s="108">
        <v>0</v>
      </c>
      <c r="AF4" s="108">
        <v>0</v>
      </c>
      <c r="AG4" s="109">
        <f t="shared" si="8"/>
        <v>0</v>
      </c>
      <c r="AH4" s="110">
        <f t="shared" si="9"/>
        <v>1844547.5411173622</v>
      </c>
      <c r="AI4" s="109">
        <f t="shared" si="1"/>
        <v>1844547.5411173622</v>
      </c>
    </row>
    <row r="5" spans="1:36" s="108" customFormat="1" ht="15.75" customHeight="1" x14ac:dyDescent="0.25">
      <c r="A5" s="108" t="s">
        <v>151</v>
      </c>
      <c r="B5" s="91">
        <f>'Bus Price-Infrastructure'!$B$7</f>
        <v>91250</v>
      </c>
      <c r="C5" s="392">
        <f>Inputs!$B$14</f>
        <v>5</v>
      </c>
      <c r="D5" s="92">
        <v>15</v>
      </c>
      <c r="E5" s="94" t="s">
        <v>151</v>
      </c>
      <c r="F5" s="94">
        <v>72</v>
      </c>
      <c r="G5" s="95">
        <f>ROUND('School Bus Table'!F52,2)</f>
        <v>2.35</v>
      </c>
      <c r="H5" s="96">
        <f>'School Bus Table'!G4</f>
        <v>6.77</v>
      </c>
      <c r="I5" s="97">
        <f>'School Bus Table'!E55</f>
        <v>11078.286558345642</v>
      </c>
      <c r="J5" s="97">
        <f t="shared" si="2"/>
        <v>55391.432791728213</v>
      </c>
      <c r="K5" s="98">
        <f>'School Bus Table'!F53</f>
        <v>0.34767640610956646</v>
      </c>
      <c r="L5" s="99">
        <f>ROUND('School Bus Table'!$F$57/'School Bus Table'!$D$10,5)</f>
        <v>6.0499999999999998E-3</v>
      </c>
      <c r="M5" s="100">
        <f>'School Bus Table'!I11</f>
        <v>0.43</v>
      </c>
      <c r="N5" s="100">
        <f t="shared" si="3"/>
        <v>0.80372640610956647</v>
      </c>
      <c r="O5" s="364">
        <f>'Bus Price-Infrastructure'!$E$52</f>
        <v>0.02</v>
      </c>
      <c r="P5" s="101">
        <f>O5*'School Bus Table'!F55</f>
        <v>221.56573116691285</v>
      </c>
      <c r="Q5" s="102">
        <v>0</v>
      </c>
      <c r="R5" s="101">
        <f t="shared" si="4"/>
        <v>456250</v>
      </c>
      <c r="S5" s="103">
        <f>'Criteria Polutant Data'!C13</f>
        <v>7.6782492498263396E-4</v>
      </c>
      <c r="T5" s="104">
        <f>'Criteria Polutant Data'!D13</f>
        <v>3.2248646849270625E-2</v>
      </c>
      <c r="U5" s="105">
        <f>'Criteria Polutant Data'!$C$8</f>
        <v>8.4872273276624147E-7</v>
      </c>
      <c r="V5" s="277">
        <f>'Criteria Polutant Data'!$D$8</f>
        <v>8.4789115093538911E-3</v>
      </c>
      <c r="W5" s="107">
        <f>'Criteria Polutant Data'!$C$9</f>
        <v>1.3910182556026285E-7</v>
      </c>
      <c r="X5" s="388">
        <f>'Criteria Polutant Data'!$D$9</f>
        <v>6.6971341229478704E-2</v>
      </c>
      <c r="Y5" s="104">
        <f t="shared" si="0"/>
        <v>0.10769889958810322</v>
      </c>
      <c r="Z5" s="101">
        <f>(T5+V5+X5)*Inputs!$B$24</f>
        <v>8077.4174691077415</v>
      </c>
      <c r="AA5" s="101">
        <f t="shared" si="5"/>
        <v>121161.26203661613</v>
      </c>
      <c r="AB5" s="101">
        <f t="shared" si="6"/>
        <v>456250</v>
      </c>
      <c r="AC5" s="101">
        <f>'Bus 1 Calc'!E86</f>
        <v>1150613.3275355422</v>
      </c>
      <c r="AD5" s="101">
        <f t="shared" si="7"/>
        <v>1606863.3275355422</v>
      </c>
      <c r="AE5" s="112">
        <v>0</v>
      </c>
      <c r="AF5" s="108">
        <v>0</v>
      </c>
      <c r="AG5" s="109">
        <f t="shared" si="8"/>
        <v>0</v>
      </c>
      <c r="AH5" s="110">
        <f t="shared" si="9"/>
        <v>1728024.5895721582</v>
      </c>
      <c r="AI5" s="109">
        <f t="shared" si="1"/>
        <v>1728024.5895721582</v>
      </c>
      <c r="AJ5"/>
    </row>
    <row r="6" spans="1:36" s="108" customFormat="1" ht="15" customHeight="1" x14ac:dyDescent="0.25">
      <c r="A6" s="90" t="s">
        <v>152</v>
      </c>
      <c r="B6" s="91">
        <f>'Bus Price-Infrastructure'!$D$7</f>
        <v>98000</v>
      </c>
      <c r="C6" s="392">
        <f>Inputs!$B$14</f>
        <v>5</v>
      </c>
      <c r="D6" s="92">
        <v>15</v>
      </c>
      <c r="E6" s="93" t="s">
        <v>152</v>
      </c>
      <c r="F6" s="94">
        <v>72</v>
      </c>
      <c r="G6" s="95">
        <f>ROUND('School Bus Table'!F67,2)</f>
        <v>1.34</v>
      </c>
      <c r="H6" s="96">
        <f>'School Bus Table'!G6</f>
        <v>4.22</v>
      </c>
      <c r="I6" s="97">
        <f>'School Bus Table'!E70</f>
        <v>17772.511848341233</v>
      </c>
      <c r="J6" s="97">
        <f t="shared" si="2"/>
        <v>88862.559241706171</v>
      </c>
      <c r="K6" s="98">
        <f>'School Bus Table'!F68</f>
        <v>0.31659822092845186</v>
      </c>
      <c r="L6" s="99">
        <f>0</f>
        <v>0</v>
      </c>
      <c r="M6" s="113">
        <f>'School Bus Table'!K11</f>
        <v>0.35680000000000006</v>
      </c>
      <c r="N6" s="100">
        <f t="shared" si="3"/>
        <v>0.67339822092845192</v>
      </c>
      <c r="O6" s="101">
        <v>0</v>
      </c>
      <c r="P6" s="101">
        <v>0</v>
      </c>
      <c r="Q6" s="102">
        <f>IF(Inputs!B14&lt;25,10500,32500)</f>
        <v>10500</v>
      </c>
      <c r="R6" s="101">
        <f t="shared" si="4"/>
        <v>500500</v>
      </c>
      <c r="S6" s="103">
        <f>'Criteria Polutant Data'!C22</f>
        <v>1.7176338134553373E-3</v>
      </c>
      <c r="T6" s="104">
        <f>'Criteria Polutant Data'!D22</f>
        <v>7.2140620165124167E-2</v>
      </c>
      <c r="U6" s="111">
        <f>'Criteria Polutant Data'!C20</f>
        <v>1.9554894317892023E-7</v>
      </c>
      <c r="V6" s="278">
        <f>'Criteria Polutant Data'!D20</f>
        <v>1.9535734356468585E-3</v>
      </c>
      <c r="W6" s="107">
        <f>'Criteria Polutant Data'!C21</f>
        <v>1.4716569950578532E-7</v>
      </c>
      <c r="X6" s="388">
        <f>'Criteria Polutant Data'!D21</f>
        <v>7.085373782249195E-2</v>
      </c>
      <c r="Y6" s="104">
        <f t="shared" si="0"/>
        <v>0.14494793142326295</v>
      </c>
      <c r="Z6" s="101">
        <f>(T6+V6+X6)*Inputs!$B$24</f>
        <v>10871.094856744721</v>
      </c>
      <c r="AA6" s="101">
        <f t="shared" si="5"/>
        <v>163066.42285117082</v>
      </c>
      <c r="AB6" s="101">
        <f t="shared" si="6"/>
        <v>500500</v>
      </c>
      <c r="AC6" s="101">
        <f>'Bus 1 Calc'!F86</f>
        <v>946198.91155166388</v>
      </c>
      <c r="AD6" s="101">
        <f t="shared" si="7"/>
        <v>1446698.9115516639</v>
      </c>
      <c r="AE6" s="112">
        <f>IF(Inputs!$B$34="Yes",'CFP Credit Estimator'!$L$78,0)</f>
        <v>0</v>
      </c>
      <c r="AF6" s="108">
        <v>128.08000000000001</v>
      </c>
      <c r="AG6" s="109">
        <f>(AE6*AF6)</f>
        <v>0</v>
      </c>
      <c r="AH6" s="110">
        <f t="shared" si="9"/>
        <v>1609765.3344028348</v>
      </c>
      <c r="AI6" s="109">
        <f t="shared" si="1"/>
        <v>1609765.3344028348</v>
      </c>
      <c r="AJ6"/>
    </row>
    <row r="7" spans="1:36" s="108" customFormat="1" ht="15.75" customHeight="1" x14ac:dyDescent="0.25">
      <c r="A7" s="108" t="s">
        <v>154</v>
      </c>
      <c r="B7" s="91">
        <f>'Bus Price-Infrastructure'!$C$7</f>
        <v>330000</v>
      </c>
      <c r="C7" s="392">
        <f>Inputs!$B$14</f>
        <v>5</v>
      </c>
      <c r="D7" s="92">
        <v>15</v>
      </c>
      <c r="E7" s="93" t="s">
        <v>642</v>
      </c>
      <c r="F7" s="94">
        <v>72</v>
      </c>
      <c r="G7" s="95">
        <f>ROUND('School Bus Table'!F93,2)</f>
        <v>0.23</v>
      </c>
      <c r="H7" s="96">
        <f>'School Bus Table'!G8</f>
        <v>1.86</v>
      </c>
      <c r="I7" s="97">
        <f>'School Bus Table'!B11*12</f>
        <v>139500</v>
      </c>
      <c r="J7" s="97">
        <f t="shared" si="2"/>
        <v>697500</v>
      </c>
      <c r="K7" s="98">
        <f>'School Bus Table'!F93</f>
        <v>0.23160871843174269</v>
      </c>
      <c r="L7" s="99">
        <v>0</v>
      </c>
      <c r="M7" s="113">
        <f>'School Bus Table'!I12</f>
        <v>0.43</v>
      </c>
      <c r="N7" s="100">
        <f t="shared" si="3"/>
        <v>0.662144115648168</v>
      </c>
      <c r="O7" s="364">
        <f>'Bus Price-Infrastructure'!E56</f>
        <v>5.3539721642528748E-4</v>
      </c>
      <c r="P7" s="101">
        <f>O7*('School Bus Table'!B11*12)</f>
        <v>74.687911691327599</v>
      </c>
      <c r="Q7" s="102">
        <f>'Bus Price-Infrastructure'!G40*Inputs!B14</f>
        <v>111250</v>
      </c>
      <c r="R7" s="101">
        <f t="shared" si="4"/>
        <v>1761250</v>
      </c>
      <c r="S7" s="103">
        <f>'Criteria Polutant Data'!C26</f>
        <v>7.3173199237647934E-6</v>
      </c>
      <c r="T7" s="351">
        <f>'Criteria Polutant Data'!D26</f>
        <v>3.0732743679812131E-4</v>
      </c>
      <c r="U7" s="111">
        <f>'Criteria Polutant Data'!C24</f>
        <v>9.8782455832650434E-8</v>
      </c>
      <c r="V7" s="278">
        <f>'Criteria Polutant Data'!D24</f>
        <v>9.8685668398655743E-4</v>
      </c>
      <c r="W7" s="107">
        <f>'Criteria Polutant Data'!C25</f>
        <v>1.2095810918283726E-8</v>
      </c>
      <c r="X7" s="388">
        <f>'Criteria Polutant Data'!D25</f>
        <v>5.8235948895198871E-3</v>
      </c>
      <c r="Y7" s="104">
        <f t="shared" si="0"/>
        <v>7.1177790103045657E-3</v>
      </c>
      <c r="Z7" s="101">
        <f>(T7+V7+X7)*Inputs!$B$24</f>
        <v>533.83342577284247</v>
      </c>
      <c r="AA7" s="101">
        <f t="shared" si="5"/>
        <v>8007.5013865926376</v>
      </c>
      <c r="AB7" s="101">
        <f t="shared" si="6"/>
        <v>1761250</v>
      </c>
      <c r="AC7" s="101">
        <f>'Bus 1 Calc'!G86</f>
        <v>864689.04612011986</v>
      </c>
      <c r="AD7" s="101">
        <f t="shared" si="7"/>
        <v>2625939.0461201197</v>
      </c>
      <c r="AE7" s="112">
        <f>IF(Inputs!$B$34="Yes",'CFP Credit Estimator'!$L$36,0)</f>
        <v>0</v>
      </c>
      <c r="AF7" s="108">
        <v>128.08000000000001</v>
      </c>
      <c r="AG7" s="109">
        <f>(AE7*AF7)</f>
        <v>0</v>
      </c>
      <c r="AH7" s="110">
        <f t="shared" si="9"/>
        <v>2633946.5475067124</v>
      </c>
      <c r="AI7" s="109">
        <f t="shared" si="1"/>
        <v>2633946.5475067124</v>
      </c>
      <c r="AJ7"/>
    </row>
    <row r="8" spans="1:36" s="108" customFormat="1" ht="15.75" customHeight="1" x14ac:dyDescent="0.25">
      <c r="A8" s="90" t="s">
        <v>155</v>
      </c>
      <c r="B8" s="91">
        <f>'Bus Price-Infrastructure'!$E$7</f>
        <v>120000</v>
      </c>
      <c r="C8" s="392">
        <f>Inputs!$B$14</f>
        <v>5</v>
      </c>
      <c r="D8" s="92">
        <v>15</v>
      </c>
      <c r="E8" s="94" t="s">
        <v>155</v>
      </c>
      <c r="F8" s="94">
        <v>72</v>
      </c>
      <c r="G8" s="95">
        <f>ROUND('School Bus Table'!F104,2)</f>
        <v>0.73</v>
      </c>
      <c r="H8" s="96">
        <f>'School Bus Table'!G7</f>
        <v>4.72</v>
      </c>
      <c r="I8" s="97">
        <f>'School Bus Table'!E111</f>
        <v>15889.830508474577</v>
      </c>
      <c r="J8" s="97">
        <f t="shared" si="2"/>
        <v>79449.152542372889</v>
      </c>
      <c r="K8" s="98">
        <f>'School Bus Table'!F105</f>
        <v>0.1545080084745763</v>
      </c>
      <c r="L8" s="99">
        <f>ROUND('School Bus Table'!$F$108/'School Bus Table'!$D$10,4)</f>
        <v>4.5600000000000002E-2</v>
      </c>
      <c r="M8" s="113">
        <f>'School Bus Table'!K12</f>
        <v>0.48</v>
      </c>
      <c r="N8" s="100">
        <f t="shared" si="3"/>
        <v>0.96010800847457634</v>
      </c>
      <c r="O8" s="104">
        <f>'School Bus Table'!O10</f>
        <v>0.28000000000000003</v>
      </c>
      <c r="P8" s="101">
        <f>O8*'School Bus Table'!F111</f>
        <v>4449.1525423728817</v>
      </c>
      <c r="Q8" s="102">
        <f>IF(Inputs!B14&lt;10,50000*Inputs!B14,IF(Inputs!B14&gt;20,1200000,800000))</f>
        <v>250000</v>
      </c>
      <c r="R8" s="101">
        <f t="shared" si="4"/>
        <v>850000</v>
      </c>
      <c r="S8" s="103">
        <f>'Criteria Polutant Data'!C17</f>
        <v>1.7874635837929872E-3</v>
      </c>
      <c r="T8" s="104">
        <f>'Criteria Polutant Data'!D17</f>
        <v>7.5073470519305463E-2</v>
      </c>
      <c r="U8" s="111">
        <f>'Criteria Polutant Data'!C15</f>
        <v>4.233533821399304E-7</v>
      </c>
      <c r="V8" s="278">
        <f>'Criteria Polutant Data'!D15</f>
        <v>4.2293857885138172E-3</v>
      </c>
      <c r="W8" s="107">
        <f>'Criteria Polutant Data'!C16</f>
        <v>1.3910182556026285E-7</v>
      </c>
      <c r="X8" s="388">
        <f>'Criteria Polutant Data'!D16</f>
        <v>6.6971341229478704E-2</v>
      </c>
      <c r="Y8" s="104">
        <f t="shared" si="0"/>
        <v>0.14627419753729798</v>
      </c>
      <c r="Z8" s="101">
        <f>(T8+V8+X8)*Inputs!$B$24</f>
        <v>10970.564815297348</v>
      </c>
      <c r="AA8" s="101">
        <f t="shared" si="5"/>
        <v>164558.47222946023</v>
      </c>
      <c r="AB8" s="101">
        <f t="shared" si="6"/>
        <v>850000</v>
      </c>
      <c r="AC8" s="101">
        <f>'Bus 1 Calc'!H86</f>
        <v>983516.38082083</v>
      </c>
      <c r="AD8" s="101">
        <f t="shared" si="7"/>
        <v>1833516.3808208299</v>
      </c>
      <c r="AE8" s="112">
        <f>IF(Inputs!$B$34="Yes",'CFP Credit Estimator'!L197,0)</f>
        <v>0</v>
      </c>
      <c r="AF8" s="108">
        <v>128.08000000000001</v>
      </c>
      <c r="AG8" s="109">
        <f>(AE8*AF8)</f>
        <v>0</v>
      </c>
      <c r="AH8" s="110">
        <f t="shared" si="9"/>
        <v>1998074.8530502901</v>
      </c>
      <c r="AI8" s="109">
        <f>AH8-AG8</f>
        <v>1998074.8530502901</v>
      </c>
      <c r="AJ8"/>
    </row>
    <row r="9" spans="1:36" s="108" customFormat="1" ht="15.75" customHeight="1" x14ac:dyDescent="0.25">
      <c r="A9" s="108" t="s">
        <v>156</v>
      </c>
      <c r="B9" s="91">
        <f>'Bus Price-Infrastructure'!$E$7</f>
        <v>120000</v>
      </c>
      <c r="C9" s="392">
        <f>Inputs!$B$14</f>
        <v>5</v>
      </c>
      <c r="D9" s="92">
        <v>15</v>
      </c>
      <c r="E9" s="94" t="s">
        <v>643</v>
      </c>
      <c r="F9" s="94">
        <v>72</v>
      </c>
      <c r="G9" s="95">
        <f>ROUND('School Bus Table'!F115,2)</f>
        <v>0.28000000000000003</v>
      </c>
      <c r="H9" s="96">
        <f>'School Bus Table'!G7</f>
        <v>4.72</v>
      </c>
      <c r="I9" s="97">
        <f>'School Bus Table'!E122</f>
        <v>15889.830508474577</v>
      </c>
      <c r="J9" s="97">
        <f t="shared" si="2"/>
        <v>79449.152542372889</v>
      </c>
      <c r="K9" s="98">
        <f>'School Bus Table'!F116</f>
        <v>5.9169025423728823E-2</v>
      </c>
      <c r="L9" s="99">
        <f>ROUND('School Bus Table'!$F$119/'School Bus Table'!$D$10,4)</f>
        <v>4.6699999999999998E-2</v>
      </c>
      <c r="M9" s="113">
        <f>'School Bus Table'!K12</f>
        <v>0.48</v>
      </c>
      <c r="N9" s="100">
        <f t="shared" si="3"/>
        <v>0.86586902542372879</v>
      </c>
      <c r="O9" s="104">
        <f>'School Bus Table'!O10</f>
        <v>0.28000000000000003</v>
      </c>
      <c r="P9" s="101">
        <f>O9*'School Bus Table'!F122</f>
        <v>4449.1525423728817</v>
      </c>
      <c r="Q9" s="102">
        <f>IF(Inputs!B14&lt;10,50000*Inputs!B14,IF(Inputs!B14&gt;20,1200000,800000))</f>
        <v>250000</v>
      </c>
      <c r="R9" s="101">
        <f t="shared" si="4"/>
        <v>850000</v>
      </c>
      <c r="S9" s="103">
        <f>'Criteria Polutant Data'!C18</f>
        <v>7.06336416176261E-4</v>
      </c>
      <c r="T9" s="104">
        <f>'Criteria Polutant Data'!D18</f>
        <v>2.9666129479402961E-2</v>
      </c>
      <c r="U9" s="111">
        <f>'Criteria Polutant Data'!C15</f>
        <v>4.233533821399304E-7</v>
      </c>
      <c r="V9" s="106">
        <f>'Criteria Polutant Data'!D15</f>
        <v>4.2293857885138172E-3</v>
      </c>
      <c r="W9" s="107">
        <f>'Criteria Polutant Data'!C16</f>
        <v>1.3910182556026285E-7</v>
      </c>
      <c r="X9" s="388">
        <f>'Criteria Polutant Data'!D16</f>
        <v>6.6971341229478704E-2</v>
      </c>
      <c r="Y9" s="104">
        <f t="shared" si="0"/>
        <v>0.10086685649739549</v>
      </c>
      <c r="Z9" s="101">
        <f>(T9+V9+X9)*Inputs!$B$24</f>
        <v>7565.0142373046619</v>
      </c>
      <c r="AA9" s="101">
        <f t="shared" si="5"/>
        <v>113475.21355956994</v>
      </c>
      <c r="AB9" s="101">
        <f t="shared" si="6"/>
        <v>850000</v>
      </c>
      <c r="AC9" s="101">
        <f>'Bus 1 Calc'!I86</f>
        <v>877719.90853014356</v>
      </c>
      <c r="AD9" s="101">
        <f t="shared" si="7"/>
        <v>1727719.9085301436</v>
      </c>
      <c r="AE9" s="112">
        <v>0</v>
      </c>
      <c r="AF9" s="108">
        <v>0</v>
      </c>
      <c r="AG9" s="109">
        <f>(AE9*AF9)</f>
        <v>0</v>
      </c>
      <c r="AH9" s="110">
        <f t="shared" si="9"/>
        <v>1841195.1220897133</v>
      </c>
      <c r="AI9" s="109">
        <f>AH9-AG9</f>
        <v>1841195.1220897133</v>
      </c>
      <c r="AJ9"/>
    </row>
    <row r="10" spans="1:36" s="108" customFormat="1" x14ac:dyDescent="0.25">
      <c r="A10" s="114" t="s">
        <v>124</v>
      </c>
      <c r="B10" s="91">
        <f>'Bus Price-Infrastructure'!F7</f>
        <v>89750</v>
      </c>
      <c r="C10" s="392">
        <f>Inputs!$B$14</f>
        <v>5</v>
      </c>
      <c r="D10" s="92">
        <v>15</v>
      </c>
      <c r="E10" s="93" t="s">
        <v>124</v>
      </c>
      <c r="F10" s="94">
        <v>72</v>
      </c>
      <c r="G10" s="95">
        <f>ROUND('School Bus Table'!F128,2)</f>
        <v>2.0299999999999998</v>
      </c>
      <c r="H10" s="96">
        <f>'School Bus Table'!G5</f>
        <v>6.38</v>
      </c>
      <c r="I10" s="97">
        <f>'School Bus Table'!E131</f>
        <v>11755.485893416928</v>
      </c>
      <c r="J10" s="97">
        <f t="shared" si="2"/>
        <v>58777.429467084643</v>
      </c>
      <c r="K10" s="98">
        <f>'School Bus Table'!F129</f>
        <v>0.31792701095935222</v>
      </c>
      <c r="L10" s="99">
        <v>0</v>
      </c>
      <c r="M10" s="113">
        <f>'School Bus Table'!M11</f>
        <v>0.36</v>
      </c>
      <c r="N10" s="100">
        <f t="shared" si="3"/>
        <v>0.69792701095935228</v>
      </c>
      <c r="O10" s="364">
        <f>'Bus Price-Infrastructure'!E52</f>
        <v>0.02</v>
      </c>
      <c r="P10" s="101">
        <f>O10*'School Bus Table'!F131</f>
        <v>235.10971786833855</v>
      </c>
      <c r="Q10" s="102">
        <v>0</v>
      </c>
      <c r="R10" s="101">
        <f t="shared" si="4"/>
        <v>448750</v>
      </c>
      <c r="S10" s="103">
        <f>'Criteria Polutant Data'!C30</f>
        <v>1.8414048482838818E-3</v>
      </c>
      <c r="T10" s="104">
        <f>'Criteria Polutant Data'!D30</f>
        <v>7.7339003627923036E-2</v>
      </c>
      <c r="U10" s="111">
        <f>'Criteria Polutant Data'!C28</f>
        <v>4.8786437370411028E-7</v>
      </c>
      <c r="V10" s="115">
        <f>'Criteria Polutant Data'!D28</f>
        <v>4.8738636229540182E-3</v>
      </c>
      <c r="W10" s="108">
        <f>'Criteria Polutant Data'!C29</f>
        <v>1.4716569950578532E-7</v>
      </c>
      <c r="X10" s="388">
        <f>'Criteria Polutant Data'!D29</f>
        <v>7.085373782249195E-2</v>
      </c>
      <c r="Y10" s="104">
        <f t="shared" si="0"/>
        <v>0.153066605073369</v>
      </c>
      <c r="Z10" s="101">
        <f>(T10+V10+X10)*Inputs!$B$24</f>
        <v>11479.995380502674</v>
      </c>
      <c r="AA10" s="101">
        <f t="shared" si="5"/>
        <v>172199.93070754013</v>
      </c>
      <c r="AB10" s="101">
        <f t="shared" si="6"/>
        <v>448750</v>
      </c>
      <c r="AC10" s="101">
        <f>'Bus 1 Calc'!J86</f>
        <v>978318.56402435724</v>
      </c>
      <c r="AD10" s="101">
        <f>AC10+R10</f>
        <v>1427068.5640243571</v>
      </c>
      <c r="AE10" s="112">
        <f>'[1]CFP Credit Estimator'!L169</f>
        <v>0</v>
      </c>
      <c r="AF10" s="108">
        <v>0</v>
      </c>
      <c r="AG10" s="109">
        <f t="shared" si="8"/>
        <v>0</v>
      </c>
      <c r="AH10" s="110">
        <f t="shared" si="9"/>
        <v>1599268.4947318975</v>
      </c>
      <c r="AI10" s="109">
        <f>AH10-AG10</f>
        <v>1599268.4947318975</v>
      </c>
      <c r="AJ10"/>
    </row>
    <row r="11" spans="1:36" s="108" customFormat="1" ht="12.75" x14ac:dyDescent="0.2">
      <c r="A11" s="108" t="s">
        <v>735</v>
      </c>
      <c r="B11" s="414">
        <f>B6</f>
        <v>98000</v>
      </c>
      <c r="C11" s="392">
        <f>Inputs!$B$14</f>
        <v>5</v>
      </c>
      <c r="D11" s="92">
        <v>15</v>
      </c>
      <c r="E11" s="4" t="s">
        <v>739</v>
      </c>
      <c r="F11" s="94">
        <v>72</v>
      </c>
      <c r="G11" s="116"/>
      <c r="H11" s="411">
        <f>'School Bus Table'!G6</f>
        <v>4.22</v>
      </c>
      <c r="I11" s="412">
        <f>'School Bus Table'!F81</f>
        <v>17772.511848341233</v>
      </c>
      <c r="J11" s="413">
        <f>I11*C11</f>
        <v>88862.559241706171</v>
      </c>
      <c r="L11" s="277">
        <f>0</f>
        <v>0</v>
      </c>
      <c r="M11" s="415">
        <f>'School Bus Table'!K11</f>
        <v>0.35680000000000006</v>
      </c>
      <c r="N11" s="100">
        <f t="shared" si="3"/>
        <v>0.35680000000000006</v>
      </c>
      <c r="O11" s="416">
        <v>0</v>
      </c>
      <c r="P11" s="416">
        <v>0</v>
      </c>
      <c r="Q11" s="417">
        <f>IF(Inputs!B14&lt;25,10500,32500)</f>
        <v>10500</v>
      </c>
      <c r="R11" s="101">
        <f t="shared" si="4"/>
        <v>500500</v>
      </c>
      <c r="AD11" s="101"/>
    </row>
    <row r="12" spans="1:36" s="108" customFormat="1" ht="12.75" x14ac:dyDescent="0.2">
      <c r="B12" s="104" t="s">
        <v>157</v>
      </c>
      <c r="C12" s="104"/>
      <c r="D12" s="104"/>
      <c r="G12" s="116"/>
    </row>
    <row r="13" spans="1:36" s="108" customFormat="1" ht="12.75" x14ac:dyDescent="0.2">
      <c r="A13" s="356"/>
      <c r="B13" s="104"/>
      <c r="C13" s="104"/>
      <c r="D13" s="104"/>
      <c r="G13" s="116"/>
    </row>
    <row r="14" spans="1:36" s="108" customFormat="1" ht="12.75" x14ac:dyDescent="0.2">
      <c r="B14" s="104"/>
      <c r="C14" s="104"/>
      <c r="D14" s="104"/>
      <c r="G14" s="116"/>
    </row>
    <row r="15" spans="1:36" s="108" customFormat="1" ht="12.75" x14ac:dyDescent="0.2">
      <c r="B15" s="104"/>
      <c r="C15" s="104"/>
      <c r="D15" s="104"/>
      <c r="G15" s="116"/>
    </row>
    <row r="16" spans="1:36" s="108" customFormat="1" ht="12.75" x14ac:dyDescent="0.2">
      <c r="B16" s="104"/>
      <c r="C16" s="104"/>
      <c r="D16" s="104"/>
      <c r="G16" s="116"/>
    </row>
    <row r="17" spans="1:37" s="108" customFormat="1" ht="12.75" x14ac:dyDescent="0.2">
      <c r="B17" s="104"/>
      <c r="C17" s="104"/>
      <c r="D17" s="104"/>
      <c r="G17" s="116"/>
    </row>
    <row r="18" spans="1:37" s="108" customFormat="1" x14ac:dyDescent="0.25">
      <c r="B18" s="104"/>
      <c r="C18" s="104"/>
      <c r="D18" s="104"/>
      <c r="F18" s="117"/>
      <c r="G18" s="116"/>
      <c r="X18"/>
      <c r="Y18"/>
      <c r="Z18"/>
      <c r="AA18"/>
      <c r="AB18"/>
      <c r="AC18"/>
      <c r="AD18"/>
      <c r="AE18"/>
      <c r="AF18"/>
      <c r="AG18"/>
      <c r="AH18"/>
      <c r="AI18"/>
      <c r="AJ18"/>
      <c r="AK18"/>
    </row>
    <row r="19" spans="1:37" s="108" customFormat="1" x14ac:dyDescent="0.25">
      <c r="A19" s="452"/>
      <c r="B19" s="453"/>
      <c r="C19" s="453"/>
      <c r="D19" s="454"/>
      <c r="E19" s="455"/>
      <c r="F19" s="456"/>
      <c r="G19" s="457"/>
      <c r="H19" s="456"/>
      <c r="I19" s="458"/>
      <c r="J19" s="458"/>
      <c r="K19" s="458"/>
      <c r="L19" s="458"/>
      <c r="X19"/>
      <c r="Y19"/>
      <c r="Z19"/>
      <c r="AA19"/>
      <c r="AB19"/>
      <c r="AC19"/>
      <c r="AD19"/>
      <c r="AE19"/>
      <c r="AF19"/>
      <c r="AG19"/>
      <c r="AH19"/>
      <c r="AI19"/>
      <c r="AJ19"/>
      <c r="AK19"/>
    </row>
    <row r="20" spans="1:37" s="108" customFormat="1" ht="12.75" x14ac:dyDescent="0.2">
      <c r="A20" s="352"/>
      <c r="B20" s="129"/>
      <c r="C20" s="129"/>
      <c r="D20" s="118"/>
      <c r="F20" s="352"/>
      <c r="G20" s="450"/>
      <c r="H20" s="451"/>
      <c r="I20" s="119"/>
      <c r="J20" s="119"/>
      <c r="K20" s="119"/>
      <c r="L20" s="119"/>
    </row>
    <row r="21" spans="1:37" s="108" customFormat="1" ht="12.75" x14ac:dyDescent="0.2">
      <c r="A21" s="352"/>
      <c r="B21" s="130"/>
      <c r="C21" s="130"/>
      <c r="D21" s="118"/>
      <c r="F21" s="352"/>
      <c r="G21" s="450"/>
      <c r="H21" s="451"/>
      <c r="I21" s="119"/>
      <c r="J21" s="119"/>
      <c r="K21" s="119"/>
      <c r="L21" s="119"/>
    </row>
    <row r="22" spans="1:37" s="108" customFormat="1" ht="12.75" x14ac:dyDescent="0.2">
      <c r="A22" s="449"/>
      <c r="B22" s="352"/>
      <c r="D22" s="121"/>
      <c r="F22" s="352"/>
      <c r="G22" s="450"/>
      <c r="H22" s="451"/>
      <c r="I22" s="119"/>
      <c r="J22" s="119"/>
      <c r="K22" s="119"/>
      <c r="L22" s="119"/>
    </row>
    <row r="23" spans="1:37" s="108" customFormat="1" ht="12.75" x14ac:dyDescent="0.2">
      <c r="A23" s="122"/>
      <c r="D23" s="116"/>
      <c r="F23" s="352"/>
      <c r="G23" s="450"/>
      <c r="H23" s="451"/>
      <c r="I23" s="119"/>
      <c r="J23" s="119"/>
      <c r="K23" s="119"/>
      <c r="L23" s="119"/>
    </row>
    <row r="24" spans="1:37" s="108" customFormat="1" ht="12.75" x14ac:dyDescent="0.2">
      <c r="B24" s="104"/>
      <c r="C24" s="104"/>
      <c r="D24" s="123"/>
      <c r="F24" s="124"/>
      <c r="G24" s="116"/>
    </row>
    <row r="25" spans="1:37" s="108" customFormat="1" ht="16.5" customHeight="1" x14ac:dyDescent="0.2">
      <c r="B25" s="104"/>
      <c r="C25" s="104"/>
      <c r="D25" s="124"/>
      <c r="E25" s="90"/>
      <c r="F25" s="125"/>
      <c r="G25" s="125"/>
      <c r="K25" s="90"/>
      <c r="L25" s="126"/>
      <c r="M25" s="126"/>
    </row>
    <row r="26" spans="1:37" s="108" customFormat="1" ht="12.75" x14ac:dyDescent="0.2">
      <c r="A26" s="126"/>
      <c r="B26" s="126"/>
      <c r="C26" s="126"/>
      <c r="D26" s="124"/>
      <c r="F26" s="125"/>
      <c r="G26" s="125"/>
    </row>
    <row r="27" spans="1:37" s="108" customFormat="1" ht="12.75" x14ac:dyDescent="0.2">
      <c r="D27" s="101"/>
      <c r="F27" s="127"/>
      <c r="G27" s="90"/>
      <c r="H27" s="125"/>
      <c r="I27" s="125"/>
      <c r="J27" s="125"/>
      <c r="M27" s="90"/>
      <c r="N27" s="126"/>
    </row>
    <row r="28" spans="1:37" s="108" customFormat="1" ht="12.75" x14ac:dyDescent="0.2">
      <c r="D28" s="104"/>
      <c r="H28" s="125"/>
      <c r="I28" s="125"/>
      <c r="J28" s="125"/>
    </row>
    <row r="29" spans="1:37" s="108" customFormat="1" ht="12.75" x14ac:dyDescent="0.2">
      <c r="D29" s="104"/>
      <c r="F29" s="126"/>
      <c r="G29" s="116"/>
      <c r="M29" s="90"/>
      <c r="N29" s="126"/>
    </row>
    <row r="30" spans="1:37" s="126" customFormat="1" ht="12.75" x14ac:dyDescent="0.2">
      <c r="A30" s="108"/>
      <c r="B30" s="108"/>
      <c r="C30" s="108"/>
      <c r="G30" s="128"/>
      <c r="M30" s="108"/>
      <c r="N30" s="108"/>
    </row>
    <row r="31" spans="1:37" s="108" customFormat="1" ht="12.75" x14ac:dyDescent="0.2">
      <c r="A31" s="108" t="s">
        <v>759</v>
      </c>
      <c r="B31" s="104"/>
      <c r="C31" s="104"/>
      <c r="E31" s="108" t="s">
        <v>760</v>
      </c>
      <c r="G31" s="116"/>
      <c r="M31" s="90"/>
      <c r="N31" s="126"/>
    </row>
    <row r="32" spans="1:37" s="108" customFormat="1" ht="12.75" x14ac:dyDescent="0.2">
      <c r="A32" s="90" t="s">
        <v>1</v>
      </c>
      <c r="B32" s="104"/>
      <c r="C32" s="104"/>
      <c r="E32" s="90" t="s">
        <v>1</v>
      </c>
      <c r="G32" s="116"/>
    </row>
    <row r="33" spans="1:7" s="108" customFormat="1" ht="12.75" x14ac:dyDescent="0.2">
      <c r="A33" s="108" t="s">
        <v>149</v>
      </c>
      <c r="B33" s="104"/>
      <c r="C33" s="104"/>
      <c r="E33" s="108" t="s">
        <v>149</v>
      </c>
      <c r="G33" s="116"/>
    </row>
    <row r="34" spans="1:7" s="108" customFormat="1" ht="12.75" x14ac:dyDescent="0.2">
      <c r="A34" s="90" t="s">
        <v>150</v>
      </c>
      <c r="B34" s="104"/>
      <c r="C34" s="104"/>
      <c r="E34" s="90" t="s">
        <v>150</v>
      </c>
      <c r="G34" s="116"/>
    </row>
    <row r="35" spans="1:7" s="108" customFormat="1" ht="12.75" x14ac:dyDescent="0.2">
      <c r="A35" s="108" t="s">
        <v>151</v>
      </c>
      <c r="B35" s="104"/>
      <c r="C35" s="104"/>
      <c r="D35" s="104"/>
      <c r="E35" s="108" t="s">
        <v>151</v>
      </c>
      <c r="G35" s="116"/>
    </row>
    <row r="36" spans="1:7" s="108" customFormat="1" ht="12.75" x14ac:dyDescent="0.2">
      <c r="A36" s="114" t="s">
        <v>124</v>
      </c>
      <c r="B36" s="104"/>
      <c r="C36" s="104"/>
      <c r="D36" s="104"/>
      <c r="E36" s="90" t="s">
        <v>152</v>
      </c>
      <c r="G36" s="116"/>
    </row>
    <row r="37" spans="1:7" s="108" customFormat="1" ht="12.75" x14ac:dyDescent="0.2">
      <c r="B37" s="104"/>
      <c r="C37" s="104"/>
      <c r="D37" s="104"/>
      <c r="E37" s="108" t="s">
        <v>154</v>
      </c>
      <c r="G37" s="116"/>
    </row>
    <row r="38" spans="1:7" s="108" customFormat="1" ht="12.75" x14ac:dyDescent="0.2">
      <c r="B38" s="104"/>
      <c r="C38" s="104"/>
      <c r="D38" s="104"/>
      <c r="E38" s="90" t="s">
        <v>155</v>
      </c>
      <c r="G38" s="116"/>
    </row>
    <row r="39" spans="1:7" s="108" customFormat="1" ht="12.75" x14ac:dyDescent="0.2">
      <c r="B39" s="104"/>
      <c r="C39" s="104"/>
      <c r="D39" s="104"/>
      <c r="E39" s="108" t="s">
        <v>156</v>
      </c>
      <c r="G39" s="116"/>
    </row>
    <row r="40" spans="1:7" s="108" customFormat="1" ht="12.75" x14ac:dyDescent="0.2">
      <c r="B40" s="104"/>
      <c r="C40" s="104"/>
      <c r="D40" s="104"/>
      <c r="E40" s="114" t="s">
        <v>124</v>
      </c>
      <c r="G40" s="116"/>
    </row>
    <row r="41" spans="1:7" s="108" customFormat="1" ht="12.75" x14ac:dyDescent="0.2">
      <c r="B41" s="104"/>
      <c r="C41" s="104"/>
      <c r="D41" s="104"/>
      <c r="G41" s="116"/>
    </row>
    <row r="42" spans="1:7" s="108" customFormat="1" ht="12.75" x14ac:dyDescent="0.2">
      <c r="B42" s="104"/>
      <c r="C42" s="104"/>
      <c r="D42" s="104"/>
      <c r="G42" s="116"/>
    </row>
    <row r="43" spans="1:7" s="108" customFormat="1" ht="12.75" x14ac:dyDescent="0.2">
      <c r="B43" s="104"/>
      <c r="C43" s="104"/>
      <c r="D43" s="104"/>
      <c r="G43" s="116"/>
    </row>
    <row r="44" spans="1:7" s="108" customFormat="1" ht="12.75" x14ac:dyDescent="0.2">
      <c r="B44" s="104"/>
      <c r="C44" s="104"/>
      <c r="D44" s="104"/>
      <c r="G44" s="116"/>
    </row>
    <row r="45" spans="1:7" s="108" customFormat="1" ht="12.75" x14ac:dyDescent="0.2">
      <c r="B45" s="104"/>
      <c r="C45" s="104"/>
      <c r="D45" s="104"/>
      <c r="G45" s="116"/>
    </row>
    <row r="46" spans="1:7" s="108" customFormat="1" ht="12.75" x14ac:dyDescent="0.2">
      <c r="B46" s="104"/>
      <c r="C46" s="104"/>
      <c r="D46" s="104"/>
      <c r="G46" s="116"/>
    </row>
    <row r="47" spans="1:7" s="108" customFormat="1" ht="12.75" x14ac:dyDescent="0.2">
      <c r="B47" s="104"/>
      <c r="C47" s="104"/>
      <c r="D47" s="104"/>
      <c r="G47" s="116"/>
    </row>
    <row r="48" spans="1:7" s="108" customFormat="1" ht="12.75" x14ac:dyDescent="0.2">
      <c r="B48" s="104"/>
      <c r="C48" s="104"/>
      <c r="D48" s="104"/>
      <c r="G48" s="116"/>
    </row>
    <row r="49" spans="2:7" s="108" customFormat="1" ht="12.75" x14ac:dyDescent="0.2">
      <c r="B49" s="104"/>
      <c r="C49" s="104"/>
      <c r="D49" s="104"/>
      <c r="G49" s="116"/>
    </row>
    <row r="50" spans="2:7" s="108" customFormat="1" ht="12.75" x14ac:dyDescent="0.2">
      <c r="B50" s="104"/>
      <c r="C50" s="104"/>
      <c r="D50" s="104"/>
      <c r="G50" s="116"/>
    </row>
    <row r="51" spans="2:7" s="108" customFormat="1" ht="12.75" x14ac:dyDescent="0.2">
      <c r="B51" s="104"/>
      <c r="C51" s="104"/>
      <c r="D51" s="104"/>
      <c r="G51" s="116"/>
    </row>
    <row r="52" spans="2:7" s="108" customFormat="1" ht="12.75" x14ac:dyDescent="0.2">
      <c r="B52" s="104"/>
      <c r="C52" s="104"/>
      <c r="D52" s="104"/>
      <c r="G52" s="116"/>
    </row>
    <row r="53" spans="2:7" s="108" customFormat="1" ht="12.75" x14ac:dyDescent="0.2">
      <c r="B53" s="104"/>
      <c r="C53" s="104"/>
      <c r="D53" s="104"/>
      <c r="G53" s="116"/>
    </row>
    <row r="54" spans="2:7" s="108" customFormat="1" ht="12.75" x14ac:dyDescent="0.2">
      <c r="B54" s="104"/>
      <c r="C54" s="104"/>
      <c r="D54" s="104"/>
      <c r="G54" s="116"/>
    </row>
    <row r="55" spans="2:7" s="108" customFormat="1" ht="12.75" x14ac:dyDescent="0.2">
      <c r="B55" s="104"/>
      <c r="C55" s="104"/>
      <c r="D55" s="104"/>
      <c r="G55" s="116"/>
    </row>
    <row r="56" spans="2:7" s="108" customFormat="1" ht="12.75" x14ac:dyDescent="0.2">
      <c r="B56" s="104"/>
      <c r="C56" s="104"/>
      <c r="D56" s="104"/>
      <c r="G56" s="116"/>
    </row>
    <row r="57" spans="2:7" s="108" customFormat="1" ht="12.75" x14ac:dyDescent="0.2">
      <c r="B57" s="104"/>
      <c r="C57" s="104"/>
      <c r="D57" s="104"/>
      <c r="G57" s="116"/>
    </row>
    <row r="58" spans="2:7" s="108" customFormat="1" ht="12.75" x14ac:dyDescent="0.2">
      <c r="B58" s="104"/>
      <c r="C58" s="104"/>
      <c r="D58" s="104"/>
      <c r="G58" s="116"/>
    </row>
    <row r="59" spans="2:7" s="108" customFormat="1" ht="12.75" x14ac:dyDescent="0.2">
      <c r="B59" s="104"/>
      <c r="C59" s="104"/>
      <c r="D59" s="104"/>
      <c r="G59" s="116"/>
    </row>
    <row r="60" spans="2:7" s="108" customFormat="1" ht="12.75" x14ac:dyDescent="0.2">
      <c r="B60" s="104"/>
      <c r="C60" s="104"/>
      <c r="D60" s="104"/>
      <c r="G60" s="116"/>
    </row>
    <row r="61" spans="2:7" s="108" customFormat="1" ht="12.75" x14ac:dyDescent="0.2">
      <c r="B61" s="104"/>
      <c r="C61" s="104"/>
      <c r="D61" s="104"/>
      <c r="G61" s="116"/>
    </row>
    <row r="62" spans="2:7" s="108" customFormat="1" ht="12.75" x14ac:dyDescent="0.2">
      <c r="B62" s="104"/>
      <c r="C62" s="104"/>
      <c r="D62" s="104"/>
      <c r="G62" s="116"/>
    </row>
    <row r="63" spans="2:7" s="108" customFormat="1" ht="12.75" x14ac:dyDescent="0.2">
      <c r="B63" s="104"/>
      <c r="C63" s="104"/>
      <c r="D63" s="104"/>
      <c r="G63" s="116"/>
    </row>
    <row r="64" spans="2:7" s="108" customFormat="1" ht="12.75" x14ac:dyDescent="0.2">
      <c r="B64" s="104"/>
      <c r="C64" s="104"/>
      <c r="D64" s="104"/>
      <c r="G64" s="116"/>
    </row>
    <row r="65" spans="2:7" s="108" customFormat="1" ht="12.75" x14ac:dyDescent="0.2">
      <c r="B65" s="104"/>
      <c r="C65" s="104"/>
      <c r="D65" s="104"/>
      <c r="G65" s="116"/>
    </row>
    <row r="66" spans="2:7" s="108" customFormat="1" ht="12.75" x14ac:dyDescent="0.2">
      <c r="B66" s="104"/>
      <c r="C66" s="104"/>
      <c r="D66" s="104"/>
      <c r="G66" s="116"/>
    </row>
    <row r="67" spans="2:7" s="108" customFormat="1" ht="12.75" x14ac:dyDescent="0.2">
      <c r="B67" s="104"/>
      <c r="C67" s="104"/>
      <c r="D67" s="104"/>
      <c r="G67" s="116"/>
    </row>
    <row r="68" spans="2:7" s="108" customFormat="1" ht="12.75" x14ac:dyDescent="0.2">
      <c r="B68" s="104"/>
      <c r="C68" s="104"/>
      <c r="D68" s="104"/>
      <c r="G68" s="116"/>
    </row>
    <row r="69" spans="2:7" s="108" customFormat="1" ht="12.75" x14ac:dyDescent="0.2">
      <c r="B69" s="104"/>
      <c r="C69" s="104"/>
      <c r="D69" s="104"/>
      <c r="G69" s="116"/>
    </row>
    <row r="70" spans="2:7" s="108" customFormat="1" ht="12.75" x14ac:dyDescent="0.2">
      <c r="B70" s="104"/>
      <c r="C70" s="104"/>
      <c r="D70" s="104"/>
      <c r="G70" s="116"/>
    </row>
    <row r="71" spans="2:7" s="108" customFormat="1" ht="12.75" x14ac:dyDescent="0.2">
      <c r="B71" s="104"/>
      <c r="C71" s="104"/>
      <c r="D71" s="104"/>
      <c r="G71" s="116"/>
    </row>
    <row r="72" spans="2:7" s="108" customFormat="1" ht="12.75" x14ac:dyDescent="0.2">
      <c r="B72" s="104"/>
      <c r="C72" s="104"/>
      <c r="D72" s="104"/>
      <c r="G72" s="116"/>
    </row>
    <row r="73" spans="2:7" s="108" customFormat="1" ht="12.75" x14ac:dyDescent="0.2">
      <c r="B73" s="104"/>
      <c r="C73" s="104"/>
      <c r="D73" s="104"/>
      <c r="G73" s="116"/>
    </row>
    <row r="74" spans="2:7" s="108" customFormat="1" ht="12.75" x14ac:dyDescent="0.2">
      <c r="B74" s="104"/>
      <c r="C74" s="104"/>
      <c r="D74" s="104"/>
      <c r="G74" s="116"/>
    </row>
    <row r="75" spans="2:7" s="108" customFormat="1" ht="12.75" x14ac:dyDescent="0.2">
      <c r="B75" s="104"/>
      <c r="C75" s="104"/>
      <c r="D75" s="104"/>
      <c r="G75" s="116"/>
    </row>
    <row r="76" spans="2:7" s="108" customFormat="1" ht="12.75" x14ac:dyDescent="0.2">
      <c r="B76" s="104"/>
      <c r="C76" s="104"/>
      <c r="D76" s="104"/>
      <c r="G76" s="116"/>
    </row>
    <row r="77" spans="2:7" s="108" customFormat="1" ht="12.75" x14ac:dyDescent="0.2">
      <c r="B77" s="104"/>
      <c r="C77" s="104"/>
      <c r="D77" s="104"/>
      <c r="G77" s="116"/>
    </row>
    <row r="78" spans="2:7" s="108" customFormat="1" ht="12.75" x14ac:dyDescent="0.2">
      <c r="B78" s="104"/>
      <c r="C78" s="104"/>
      <c r="D78" s="104"/>
      <c r="G78" s="116"/>
    </row>
    <row r="79" spans="2:7" s="108" customFormat="1" ht="12.75" x14ac:dyDescent="0.2">
      <c r="B79" s="104"/>
      <c r="C79" s="104"/>
      <c r="D79" s="104"/>
      <c r="G79" s="116"/>
    </row>
    <row r="80" spans="2:7" s="108" customFormat="1" ht="12.75" x14ac:dyDescent="0.2">
      <c r="B80" s="104"/>
      <c r="C80" s="104"/>
      <c r="D80" s="104"/>
      <c r="G80" s="116"/>
    </row>
    <row r="81" spans="2:7" s="108" customFormat="1" ht="12.75" x14ac:dyDescent="0.2">
      <c r="B81" s="104"/>
      <c r="C81" s="104"/>
      <c r="D81" s="104"/>
      <c r="G81" s="116"/>
    </row>
    <row r="82" spans="2:7" s="108" customFormat="1" ht="12.75" x14ac:dyDescent="0.2">
      <c r="B82" s="104"/>
      <c r="C82" s="104"/>
      <c r="D82" s="104"/>
      <c r="G82" s="116"/>
    </row>
    <row r="83" spans="2:7" s="108" customFormat="1" ht="12.75" x14ac:dyDescent="0.2">
      <c r="B83" s="104"/>
      <c r="C83" s="104"/>
      <c r="D83" s="104"/>
      <c r="G83" s="116"/>
    </row>
    <row r="84" spans="2:7" s="108" customFormat="1" ht="12.75" x14ac:dyDescent="0.2">
      <c r="B84" s="104"/>
      <c r="C84" s="104"/>
      <c r="D84" s="104"/>
      <c r="G84" s="116"/>
    </row>
    <row r="85" spans="2:7" s="108" customFormat="1" ht="12.75" x14ac:dyDescent="0.2">
      <c r="B85" s="104"/>
      <c r="C85" s="104"/>
      <c r="D85" s="104"/>
      <c r="G85" s="116"/>
    </row>
    <row r="86" spans="2:7" s="108" customFormat="1" ht="12.75" x14ac:dyDescent="0.2">
      <c r="B86" s="104"/>
      <c r="C86" s="104"/>
      <c r="D86" s="104"/>
      <c r="G86" s="116"/>
    </row>
    <row r="87" spans="2:7" s="108" customFormat="1" ht="12.75" x14ac:dyDescent="0.2">
      <c r="B87" s="104"/>
      <c r="C87" s="104"/>
      <c r="D87" s="104"/>
      <c r="G87" s="116"/>
    </row>
    <row r="88" spans="2:7" s="108" customFormat="1" ht="12.75" x14ac:dyDescent="0.2">
      <c r="B88" s="104"/>
      <c r="C88" s="104"/>
      <c r="D88" s="104"/>
      <c r="G88" s="116"/>
    </row>
    <row r="89" spans="2:7" s="108" customFormat="1" ht="12.75" x14ac:dyDescent="0.2">
      <c r="B89" s="104"/>
      <c r="C89" s="104"/>
      <c r="D89" s="104"/>
      <c r="G89" s="116"/>
    </row>
    <row r="90" spans="2:7" s="108" customFormat="1" ht="12.75" x14ac:dyDescent="0.2">
      <c r="B90" s="104"/>
      <c r="C90" s="104"/>
      <c r="D90" s="104"/>
      <c r="G90" s="116"/>
    </row>
    <row r="91" spans="2:7" s="108" customFormat="1" ht="12.75" x14ac:dyDescent="0.2">
      <c r="B91" s="104"/>
      <c r="C91" s="104"/>
      <c r="D91" s="104"/>
      <c r="G91" s="116"/>
    </row>
    <row r="92" spans="2:7" s="108" customFormat="1" ht="12.75" x14ac:dyDescent="0.2">
      <c r="B92" s="104"/>
      <c r="C92" s="104"/>
      <c r="D92" s="104"/>
      <c r="G92" s="116"/>
    </row>
    <row r="93" spans="2:7" s="108" customFormat="1" ht="12.75" x14ac:dyDescent="0.2">
      <c r="B93" s="104"/>
      <c r="C93" s="104"/>
      <c r="D93" s="104"/>
      <c r="G93" s="116"/>
    </row>
    <row r="94" spans="2:7" s="108" customFormat="1" ht="12.75" x14ac:dyDescent="0.2">
      <c r="B94" s="104"/>
      <c r="C94" s="104"/>
      <c r="D94" s="104"/>
      <c r="G94" s="116"/>
    </row>
    <row r="95" spans="2:7" s="108" customFormat="1" ht="12.75" x14ac:dyDescent="0.2">
      <c r="B95" s="104"/>
      <c r="C95" s="104"/>
      <c r="D95" s="104"/>
      <c r="G95" s="116"/>
    </row>
    <row r="96" spans="2:7" s="108" customFormat="1" ht="12.75" x14ac:dyDescent="0.2">
      <c r="B96" s="104"/>
      <c r="C96" s="104"/>
      <c r="D96" s="104"/>
      <c r="G96" s="116"/>
    </row>
    <row r="97" spans="2:7" s="108" customFormat="1" ht="12.75" x14ac:dyDescent="0.2">
      <c r="B97" s="104"/>
      <c r="C97" s="104"/>
      <c r="D97" s="104"/>
      <c r="G97" s="116"/>
    </row>
    <row r="98" spans="2:7" s="108" customFormat="1" ht="12.75" x14ac:dyDescent="0.2">
      <c r="B98" s="104"/>
      <c r="C98" s="104"/>
      <c r="D98" s="104"/>
      <c r="G98" s="116"/>
    </row>
    <row r="99" spans="2:7" s="108" customFormat="1" ht="12.75" x14ac:dyDescent="0.2">
      <c r="B99" s="104"/>
      <c r="C99" s="104"/>
      <c r="D99" s="104"/>
      <c r="G99" s="116"/>
    </row>
    <row r="100" spans="2:7" s="108" customFormat="1" ht="12.75" x14ac:dyDescent="0.2">
      <c r="B100" s="104"/>
      <c r="C100" s="104"/>
      <c r="D100" s="104"/>
      <c r="G100" s="116"/>
    </row>
    <row r="101" spans="2:7" s="108" customFormat="1" ht="12.75" x14ac:dyDescent="0.2">
      <c r="B101" s="104"/>
      <c r="C101" s="104"/>
      <c r="D101" s="104"/>
      <c r="G101" s="116"/>
    </row>
    <row r="102" spans="2:7" s="108" customFormat="1" ht="12.75" x14ac:dyDescent="0.2">
      <c r="B102" s="104"/>
      <c r="C102" s="104"/>
      <c r="D102" s="104"/>
      <c r="G102" s="116"/>
    </row>
    <row r="103" spans="2:7" s="108" customFormat="1" ht="12.75" x14ac:dyDescent="0.2">
      <c r="B103" s="104"/>
      <c r="C103" s="104"/>
      <c r="D103" s="104"/>
      <c r="G103" s="116"/>
    </row>
    <row r="104" spans="2:7" s="108" customFormat="1" ht="12.75" x14ac:dyDescent="0.2">
      <c r="B104" s="104"/>
      <c r="C104" s="104"/>
      <c r="D104" s="104"/>
      <c r="G104" s="116"/>
    </row>
    <row r="105" spans="2:7" s="108" customFormat="1" ht="12.75" x14ac:dyDescent="0.2">
      <c r="B105" s="104"/>
      <c r="C105" s="104"/>
      <c r="D105" s="104"/>
      <c r="G105" s="116"/>
    </row>
    <row r="106" spans="2:7" s="108" customFormat="1" ht="12.75" x14ac:dyDescent="0.2">
      <c r="B106" s="104"/>
      <c r="C106" s="104"/>
      <c r="D106" s="104"/>
      <c r="G106" s="116"/>
    </row>
    <row r="107" spans="2:7" s="108" customFormat="1" ht="12.75" x14ac:dyDescent="0.2">
      <c r="B107" s="104"/>
      <c r="C107" s="104"/>
      <c r="D107" s="104"/>
      <c r="G107" s="116"/>
    </row>
    <row r="108" spans="2:7" s="108" customFormat="1" ht="12.75" x14ac:dyDescent="0.2">
      <c r="B108" s="104"/>
      <c r="C108" s="104"/>
      <c r="D108" s="104"/>
      <c r="G108" s="116"/>
    </row>
    <row r="109" spans="2:7" s="108" customFormat="1" ht="12.75" x14ac:dyDescent="0.2">
      <c r="B109" s="104"/>
      <c r="C109" s="104"/>
      <c r="D109" s="104"/>
      <c r="G109" s="116"/>
    </row>
    <row r="110" spans="2:7" s="108" customFormat="1" ht="12.75" x14ac:dyDescent="0.2">
      <c r="B110" s="104"/>
      <c r="C110" s="104"/>
      <c r="D110" s="104"/>
      <c r="G110" s="116"/>
    </row>
    <row r="111" spans="2:7" s="108" customFormat="1" ht="12.75" x14ac:dyDescent="0.2">
      <c r="B111" s="104"/>
      <c r="C111" s="104"/>
      <c r="D111" s="104"/>
      <c r="G111" s="116"/>
    </row>
    <row r="112" spans="2:7" s="108" customFormat="1" ht="12.75" x14ac:dyDescent="0.2">
      <c r="B112" s="104"/>
      <c r="C112" s="104"/>
      <c r="D112" s="104"/>
      <c r="G112" s="116"/>
    </row>
    <row r="113" spans="2:7" s="108" customFormat="1" ht="12.75" x14ac:dyDescent="0.2">
      <c r="B113" s="104"/>
      <c r="C113" s="104"/>
      <c r="D113" s="104"/>
      <c r="G113" s="116"/>
    </row>
    <row r="114" spans="2:7" s="108" customFormat="1" ht="12.75" x14ac:dyDescent="0.2">
      <c r="B114" s="104"/>
      <c r="C114" s="104"/>
      <c r="D114" s="104"/>
      <c r="G114" s="116"/>
    </row>
    <row r="115" spans="2:7" s="108" customFormat="1" ht="12.75" x14ac:dyDescent="0.2">
      <c r="B115" s="104"/>
      <c r="C115" s="104"/>
      <c r="D115" s="104"/>
      <c r="G115" s="116"/>
    </row>
    <row r="116" spans="2:7" s="108" customFormat="1" ht="12.75" x14ac:dyDescent="0.2">
      <c r="B116" s="104"/>
      <c r="C116" s="104"/>
      <c r="D116" s="104"/>
      <c r="G116" s="116"/>
    </row>
    <row r="117" spans="2:7" s="108" customFormat="1" ht="12.75" x14ac:dyDescent="0.2">
      <c r="B117" s="104"/>
      <c r="C117" s="104"/>
      <c r="D117" s="104"/>
      <c r="G117" s="116"/>
    </row>
    <row r="118" spans="2:7" s="108" customFormat="1" ht="12.75" x14ac:dyDescent="0.2">
      <c r="B118" s="104"/>
      <c r="C118" s="104"/>
      <c r="D118" s="104"/>
      <c r="G118" s="116"/>
    </row>
    <row r="119" spans="2:7" s="108" customFormat="1" ht="12.75" x14ac:dyDescent="0.2">
      <c r="B119" s="104"/>
      <c r="C119" s="104"/>
      <c r="D119" s="104"/>
      <c r="G119" s="116"/>
    </row>
    <row r="120" spans="2:7" s="108" customFormat="1" ht="12.75" x14ac:dyDescent="0.2">
      <c r="B120" s="104"/>
      <c r="C120" s="104"/>
      <c r="D120" s="104"/>
      <c r="G120" s="11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FDF6-7318-4C6B-8F47-3421AC3938F1}">
  <sheetPr codeName="Sheet8"/>
  <dimension ref="A1:BB166"/>
  <sheetViews>
    <sheetView workbookViewId="0">
      <selection activeCell="L32" sqref="L32"/>
    </sheetView>
  </sheetViews>
  <sheetFormatPr defaultRowHeight="15" x14ac:dyDescent="0.25"/>
  <cols>
    <col min="1" max="1" width="29.140625" customWidth="1"/>
    <col min="2" max="2" width="23" customWidth="1"/>
    <col min="3" max="3" width="19.42578125" customWidth="1"/>
    <col min="4" max="4" width="13.7109375" customWidth="1"/>
    <col min="5" max="5" width="11.5703125" customWidth="1"/>
    <col min="6" max="6" width="10.7109375" customWidth="1"/>
    <col min="7" max="7" width="12" customWidth="1"/>
    <col min="8" max="8" width="11.42578125" customWidth="1"/>
    <col min="9" max="9" width="9.85546875" customWidth="1"/>
    <col min="10" max="11" width="10.5703125" customWidth="1"/>
    <col min="12" max="12" width="11.140625" customWidth="1"/>
    <col min="13" max="13" width="10.28515625" customWidth="1"/>
    <col min="14" max="14" width="10.140625" customWidth="1"/>
    <col min="15" max="15" width="10.7109375" customWidth="1"/>
    <col min="16" max="16" width="9.85546875" customWidth="1"/>
    <col min="17" max="17" width="10.140625" customWidth="1"/>
    <col min="18" max="18" width="10.7109375" customWidth="1"/>
    <col min="19" max="19" width="10.5703125" customWidth="1"/>
    <col min="20" max="21" width="10.42578125" customWidth="1"/>
    <col min="22" max="22" width="11.85546875" customWidth="1"/>
    <col min="23" max="23" width="11.5703125" customWidth="1"/>
    <col min="24" max="24" width="9.85546875" customWidth="1"/>
    <col min="25" max="25" width="9.7109375" customWidth="1"/>
    <col min="26" max="26" width="10.140625" customWidth="1"/>
    <col min="27" max="27" width="10.85546875" customWidth="1"/>
    <col min="28" max="28" width="9.85546875" customWidth="1"/>
    <col min="29" max="29" width="10.140625" customWidth="1"/>
    <col min="30" max="30" width="10" customWidth="1"/>
    <col min="31" max="31" width="11.85546875" customWidth="1"/>
    <col min="32" max="32" width="11" customWidth="1"/>
    <col min="33" max="33" width="10.5703125" customWidth="1"/>
    <col min="34" max="35" width="9.85546875" customWidth="1"/>
  </cols>
  <sheetData>
    <row r="1" spans="1:36" x14ac:dyDescent="0.25">
      <c r="A1" s="5" t="s">
        <v>10</v>
      </c>
      <c r="F1" s="6"/>
      <c r="S1" s="3" t="s">
        <v>11</v>
      </c>
      <c r="T1" s="7">
        <v>2204.62</v>
      </c>
      <c r="U1" t="s">
        <v>12</v>
      </c>
    </row>
    <row r="2" spans="1:36" x14ac:dyDescent="0.25">
      <c r="A2" s="8" t="s">
        <v>13</v>
      </c>
      <c r="B2" s="382" t="str">
        <f>IF(Inputs!E34="Pacific Power (PacifiCorp)","IOU",IF(Inputs!E34="Portland General Electric (PGE)","IOU",IF(Inputs!E34&lt;&gt;"Idaho Power Company","IOU","COU")))</f>
        <v>IOU</v>
      </c>
      <c r="C2" s="8" t="s">
        <v>14</v>
      </c>
      <c r="F2" s="6" t="s">
        <v>745</v>
      </c>
      <c r="I2" s="5"/>
      <c r="J2" s="429" t="s">
        <v>746</v>
      </c>
      <c r="K2" s="137">
        <f>Inputs!B30</f>
        <v>6.77</v>
      </c>
      <c r="M2" s="5" t="s">
        <v>15</v>
      </c>
      <c r="S2" s="5" t="s">
        <v>16</v>
      </c>
      <c r="W2" t="s">
        <v>505</v>
      </c>
      <c r="Y2" t="s">
        <v>717</v>
      </c>
    </row>
    <row r="3" spans="1:36" x14ac:dyDescent="0.25">
      <c r="A3" s="3" t="s">
        <v>17</v>
      </c>
      <c r="B3">
        <v>19.2</v>
      </c>
      <c r="C3" s="3" t="s">
        <v>18</v>
      </c>
      <c r="D3" s="9">
        <v>127462</v>
      </c>
      <c r="F3" s="3" t="s">
        <v>19</v>
      </c>
      <c r="G3" s="9">
        <f>Inputs!B23</f>
        <v>15000</v>
      </c>
      <c r="I3" s="3"/>
      <c r="J3" s="3" t="s">
        <v>20</v>
      </c>
      <c r="K3" s="9">
        <v>15000</v>
      </c>
      <c r="M3" s="3" t="s">
        <v>21</v>
      </c>
      <c r="N3" s="10">
        <v>2</v>
      </c>
      <c r="O3" t="s">
        <v>22</v>
      </c>
      <c r="P3" t="s">
        <v>23</v>
      </c>
      <c r="S3" s="3" t="s">
        <v>24</v>
      </c>
      <c r="T3">
        <v>28.95</v>
      </c>
      <c r="U3" t="s">
        <v>25</v>
      </c>
      <c r="W3" s="137">
        <f>T3/$G$4</f>
        <v>4.2762186115214185</v>
      </c>
      <c r="X3" t="s">
        <v>506</v>
      </c>
      <c r="Y3" t="s">
        <v>718</v>
      </c>
    </row>
    <row r="4" spans="1:36" x14ac:dyDescent="0.25">
      <c r="A4" s="3" t="s">
        <v>26</v>
      </c>
      <c r="B4" s="391">
        <f t="shared" ref="B4:B10" si="0">IF($B$2="IOU",E147,F147)</f>
        <v>31.83</v>
      </c>
      <c r="C4" s="11" t="s">
        <v>27</v>
      </c>
      <c r="D4" s="12">
        <f>1000000/D3</f>
        <v>7.8454755142709196</v>
      </c>
      <c r="F4" s="3" t="s">
        <v>28</v>
      </c>
      <c r="G4" s="137">
        <f>'Maint-Fuel mpg'!E34</f>
        <v>6.77</v>
      </c>
      <c r="I4" s="3"/>
      <c r="J4" s="3" t="s">
        <v>28</v>
      </c>
      <c r="K4" s="137"/>
      <c r="M4" s="3" t="s">
        <v>24</v>
      </c>
      <c r="N4">
        <v>2.5</v>
      </c>
      <c r="O4" t="s">
        <v>29</v>
      </c>
      <c r="P4">
        <v>100</v>
      </c>
      <c r="Q4" t="s">
        <v>30</v>
      </c>
      <c r="S4" s="3" t="s">
        <v>31</v>
      </c>
      <c r="T4">
        <v>26.19</v>
      </c>
      <c r="U4" t="s">
        <v>25</v>
      </c>
      <c r="W4" s="137">
        <f>T4/$G$4</f>
        <v>3.8685376661742987</v>
      </c>
      <c r="X4" t="s">
        <v>506</v>
      </c>
      <c r="Y4" t="s">
        <v>719</v>
      </c>
      <c r="AC4">
        <f>40000000/450000</f>
        <v>88.888888888888886</v>
      </c>
    </row>
    <row r="5" spans="1:36" x14ac:dyDescent="0.25">
      <c r="A5" s="3" t="s">
        <v>32</v>
      </c>
      <c r="B5" s="138">
        <f t="shared" si="0"/>
        <v>7.69</v>
      </c>
      <c r="C5" s="11" t="s">
        <v>33</v>
      </c>
      <c r="D5" s="9">
        <v>116089</v>
      </c>
      <c r="F5" s="3" t="s">
        <v>34</v>
      </c>
      <c r="G5" s="137">
        <f>'Maint-Fuel mpg'!K34</f>
        <v>6.38</v>
      </c>
      <c r="I5" s="3"/>
      <c r="J5" s="3" t="s">
        <v>34</v>
      </c>
      <c r="M5" s="3" t="s">
        <v>35</v>
      </c>
      <c r="N5">
        <v>2.25</v>
      </c>
      <c r="O5" t="s">
        <v>29</v>
      </c>
      <c r="P5">
        <v>100</v>
      </c>
      <c r="Q5" t="s">
        <v>30</v>
      </c>
      <c r="S5" s="3" t="s">
        <v>36</v>
      </c>
      <c r="T5">
        <v>25.67</v>
      </c>
      <c r="U5" t="s">
        <v>25</v>
      </c>
      <c r="W5" s="137">
        <f>T5/$G$4</f>
        <v>3.7917282127031022</v>
      </c>
      <c r="X5" t="s">
        <v>506</v>
      </c>
    </row>
    <row r="6" spans="1:36" x14ac:dyDescent="0.25">
      <c r="A6" s="3" t="s">
        <v>37</v>
      </c>
      <c r="B6" s="138">
        <f t="shared" si="0"/>
        <v>7.69</v>
      </c>
      <c r="C6" s="11" t="s">
        <v>38</v>
      </c>
      <c r="D6" s="12">
        <f>1000000/D5</f>
        <v>8.6140805761097088</v>
      </c>
      <c r="F6" s="3" t="s">
        <v>39</v>
      </c>
      <c r="G6" s="137">
        <f>'Maint-Fuel mpg'!G34</f>
        <v>4.22</v>
      </c>
      <c r="I6" s="3"/>
      <c r="J6" s="3" t="s">
        <v>39</v>
      </c>
      <c r="M6" s="3" t="s">
        <v>40</v>
      </c>
      <c r="N6">
        <v>2</v>
      </c>
      <c r="O6" t="s">
        <v>29</v>
      </c>
      <c r="P6">
        <v>100</v>
      </c>
      <c r="Q6" t="s">
        <v>30</v>
      </c>
      <c r="S6" s="3" t="s">
        <v>40</v>
      </c>
      <c r="T6">
        <v>11.46</v>
      </c>
      <c r="U6" t="s">
        <v>25</v>
      </c>
      <c r="W6" s="137">
        <f>T6/$G$4</f>
        <v>1.6927621861152145</v>
      </c>
      <c r="X6" t="s">
        <v>506</v>
      </c>
      <c r="Z6" t="s">
        <v>742</v>
      </c>
    </row>
    <row r="7" spans="1:36" x14ac:dyDescent="0.25">
      <c r="A7" s="3" t="s">
        <v>41</v>
      </c>
      <c r="B7" s="138">
        <f t="shared" si="0"/>
        <v>0</v>
      </c>
      <c r="C7" s="13" t="s">
        <v>42</v>
      </c>
      <c r="D7" s="14">
        <f>89.63*947.817</f>
        <v>84952.837709999993</v>
      </c>
      <c r="F7" s="3" t="s">
        <v>43</v>
      </c>
      <c r="G7" s="137">
        <f>'Maint-Fuel mpg'!I35</f>
        <v>4.72</v>
      </c>
      <c r="I7" s="3"/>
      <c r="J7" s="3" t="s">
        <v>44</v>
      </c>
      <c r="M7" s="15"/>
      <c r="S7" s="3" t="s">
        <v>45</v>
      </c>
      <c r="T7">
        <v>15.98</v>
      </c>
      <c r="U7" t="s">
        <v>46</v>
      </c>
      <c r="W7" s="137">
        <f>T7/G6</f>
        <v>3.7867298578199056</v>
      </c>
      <c r="X7" t="s">
        <v>506</v>
      </c>
      <c r="Y7" s="3" t="s">
        <v>741</v>
      </c>
      <c r="Z7">
        <v>7.76</v>
      </c>
      <c r="AA7" t="s">
        <v>46</v>
      </c>
    </row>
    <row r="8" spans="1:36" x14ac:dyDescent="0.25">
      <c r="A8" s="3" t="s">
        <v>47</v>
      </c>
      <c r="B8" s="14">
        <f t="shared" si="0"/>
        <v>8333.3333333333339</v>
      </c>
      <c r="C8" s="16" t="s">
        <v>48</v>
      </c>
      <c r="D8" s="17">
        <f>1000000/D7</f>
        <v>11.771237158829924</v>
      </c>
      <c r="F8" s="3" t="s">
        <v>49</v>
      </c>
      <c r="G8" s="137">
        <f>'Maint-Fuel mpg'!C34</f>
        <v>1.86</v>
      </c>
      <c r="J8" s="3" t="s">
        <v>49</v>
      </c>
      <c r="M8" s="3"/>
      <c r="S8" s="3" t="s">
        <v>50</v>
      </c>
      <c r="T8">
        <v>18.600000000000001</v>
      </c>
      <c r="U8" t="s">
        <v>51</v>
      </c>
      <c r="W8" s="137">
        <f>T8/G7</f>
        <v>3.9406779661016955</v>
      </c>
      <c r="X8" t="s">
        <v>506</v>
      </c>
      <c r="Z8" t="s">
        <v>743</v>
      </c>
    </row>
    <row r="9" spans="1:36" x14ac:dyDescent="0.25">
      <c r="A9" s="3" t="s">
        <v>52</v>
      </c>
      <c r="B9" s="384">
        <f t="shared" si="0"/>
        <v>5.4800000000000001E-2</v>
      </c>
      <c r="C9" s="16" t="s">
        <v>677</v>
      </c>
      <c r="D9" s="17">
        <v>34.020000000000003</v>
      </c>
      <c r="E9" t="s">
        <v>675</v>
      </c>
      <c r="F9" s="3" t="s">
        <v>676</v>
      </c>
      <c r="G9">
        <f>Inputs!B14</f>
        <v>5</v>
      </c>
      <c r="J9" s="3" t="s">
        <v>53</v>
      </c>
      <c r="M9" s="3"/>
      <c r="S9" s="3" t="s">
        <v>54</v>
      </c>
      <c r="T9">
        <v>7.35</v>
      </c>
      <c r="U9" t="s">
        <v>51</v>
      </c>
      <c r="W9" s="137">
        <f>T9/G7</f>
        <v>1.5572033898305084</v>
      </c>
      <c r="X9" t="s">
        <v>506</v>
      </c>
      <c r="Y9" s="3" t="s">
        <v>744</v>
      </c>
      <c r="Z9" s="137">
        <f>Z7/G6</f>
        <v>1.8388625592417063</v>
      </c>
      <c r="AA9" t="s">
        <v>506</v>
      </c>
    </row>
    <row r="10" spans="1:36" x14ac:dyDescent="0.25">
      <c r="A10" s="3" t="s">
        <v>55</v>
      </c>
      <c r="B10" s="384">
        <f t="shared" si="0"/>
        <v>5.4800000000000001E-2</v>
      </c>
      <c r="C10" s="16" t="s">
        <v>56</v>
      </c>
      <c r="D10" s="14">
        <f>G3*G9</f>
        <v>75000</v>
      </c>
      <c r="F10" s="15" t="s">
        <v>57</v>
      </c>
      <c r="K10" s="3" t="s">
        <v>680</v>
      </c>
      <c r="L10" s="10">
        <v>0.21</v>
      </c>
      <c r="M10" s="3"/>
      <c r="N10" s="3" t="s">
        <v>681</v>
      </c>
      <c r="O10" s="10">
        <v>0.28000000000000003</v>
      </c>
      <c r="S10" s="3" t="s">
        <v>58</v>
      </c>
      <c r="T10" s="137">
        <f>VLOOKUP(Inputs!$E$34,'CIs for 2020'!$A:AT,45,FALSE)</f>
        <v>3.7806183184373787</v>
      </c>
      <c r="U10" t="s">
        <v>690</v>
      </c>
      <c r="W10" s="137">
        <f>T11/G8</f>
        <v>1.6131909850330337E-2</v>
      </c>
      <c r="X10" t="s">
        <v>506</v>
      </c>
    </row>
    <row r="11" spans="1:36" x14ac:dyDescent="0.25">
      <c r="A11" s="3" t="s">
        <v>60</v>
      </c>
      <c r="B11" s="14">
        <f>IF(Inputs!B5='Bus 1 Calc'!G49,IF(Inputs!B30=Inputs!C30,D11*G8,D11*Inputs!B30),D11*G8)</f>
        <v>11625</v>
      </c>
      <c r="C11" s="19" t="s">
        <v>61</v>
      </c>
      <c r="D11" s="20">
        <f>D10/12</f>
        <v>6250</v>
      </c>
      <c r="F11" s="3" t="s">
        <v>62</v>
      </c>
      <c r="G11" s="10">
        <f>'Maint-Fuel mpg'!E70</f>
        <v>0.47751442307692304</v>
      </c>
      <c r="H11" s="3" t="s">
        <v>40</v>
      </c>
      <c r="I11" s="10">
        <v>0.43</v>
      </c>
      <c r="J11" s="3" t="s">
        <v>45</v>
      </c>
      <c r="K11" s="10">
        <f>'Maint-Fuel mpg'!G70</f>
        <v>0.35680000000000006</v>
      </c>
      <c r="L11" t="s">
        <v>618</v>
      </c>
      <c r="M11" s="11">
        <v>0.36</v>
      </c>
      <c r="T11" s="12">
        <f>T10*0.00220462/0.277778</f>
        <v>3.0005352321614429E-2</v>
      </c>
      <c r="U11" t="s">
        <v>59</v>
      </c>
      <c r="W11" s="137"/>
    </row>
    <row r="12" spans="1:36" ht="15.75" thickBot="1" x14ac:dyDescent="0.3">
      <c r="A12" s="3" t="s">
        <v>63</v>
      </c>
      <c r="B12" s="21">
        <f>G9*B3</f>
        <v>96</v>
      </c>
      <c r="C12" s="3" t="s">
        <v>64</v>
      </c>
      <c r="D12" s="22">
        <f>Inputs!B25</f>
        <v>2.4E-2</v>
      </c>
      <c r="F12" s="3" t="s">
        <v>35</v>
      </c>
      <c r="G12" s="10">
        <v>0.47</v>
      </c>
      <c r="H12" s="3" t="s">
        <v>65</v>
      </c>
      <c r="I12" s="10">
        <v>0.43</v>
      </c>
      <c r="J12" s="3" t="s">
        <v>66</v>
      </c>
      <c r="K12" s="10">
        <v>0.48</v>
      </c>
      <c r="M12" s="3"/>
      <c r="S12" s="3" t="s">
        <v>621</v>
      </c>
      <c r="T12" s="137">
        <v>25.9</v>
      </c>
      <c r="U12" t="s">
        <v>622</v>
      </c>
      <c r="W12" s="137">
        <f>T12/G5</f>
        <v>4.0595611285266457</v>
      </c>
      <c r="X12" t="s">
        <v>506</v>
      </c>
    </row>
    <row r="13" spans="1:36" ht="15.75" thickBot="1" x14ac:dyDescent="0.3">
      <c r="A13" s="23" t="s">
        <v>794</v>
      </c>
      <c r="B13" s="463"/>
      <c r="C13" s="862" t="s">
        <v>67</v>
      </c>
      <c r="D13" s="509" t="s">
        <v>444</v>
      </c>
      <c r="E13" s="509">
        <v>2020</v>
      </c>
      <c r="F13" s="509">
        <v>2021</v>
      </c>
      <c r="G13" s="509">
        <v>2022</v>
      </c>
      <c r="H13" s="509">
        <v>2023</v>
      </c>
      <c r="I13" s="509">
        <v>2024</v>
      </c>
      <c r="J13" s="509">
        <v>2025</v>
      </c>
      <c r="K13" s="509">
        <v>2026</v>
      </c>
      <c r="L13" s="509">
        <v>2027</v>
      </c>
      <c r="M13" s="509">
        <v>2028</v>
      </c>
      <c r="N13" s="509">
        <v>2029</v>
      </c>
      <c r="O13" s="509">
        <v>2030</v>
      </c>
      <c r="P13" s="509">
        <v>2031</v>
      </c>
      <c r="Q13" s="509">
        <v>2032</v>
      </c>
      <c r="R13" s="509">
        <v>2033</v>
      </c>
      <c r="S13" s="509">
        <v>2034</v>
      </c>
      <c r="T13" s="509">
        <v>2035</v>
      </c>
      <c r="U13" s="509">
        <v>2036</v>
      </c>
      <c r="V13" s="509">
        <v>2037</v>
      </c>
      <c r="W13" s="509">
        <v>2038</v>
      </c>
      <c r="X13" s="509">
        <v>2039</v>
      </c>
      <c r="Y13" s="509">
        <v>2040</v>
      </c>
      <c r="Z13" s="509">
        <v>2041</v>
      </c>
      <c r="AA13" s="509">
        <v>2042</v>
      </c>
      <c r="AB13" s="509">
        <v>2043</v>
      </c>
      <c r="AC13" s="509">
        <v>2044</v>
      </c>
      <c r="AD13" s="509">
        <v>2045</v>
      </c>
      <c r="AE13" s="509">
        <v>2046</v>
      </c>
      <c r="AF13" s="509">
        <v>2047</v>
      </c>
      <c r="AG13" s="509">
        <v>2048</v>
      </c>
      <c r="AH13" s="509">
        <v>2049</v>
      </c>
      <c r="AI13" s="510">
        <v>2050</v>
      </c>
    </row>
    <row r="14" spans="1:36" x14ac:dyDescent="0.25">
      <c r="A14" s="857"/>
      <c r="B14" s="858"/>
      <c r="C14" s="863"/>
      <c r="D14" s="512"/>
      <c r="E14" s="513">
        <v>18.329231</v>
      </c>
      <c r="F14" s="513">
        <v>18.466083999999999</v>
      </c>
      <c r="G14" s="513">
        <v>19.472317</v>
      </c>
      <c r="H14" s="513">
        <v>21.371407999999999</v>
      </c>
      <c r="I14" s="513">
        <v>22.440401000000001</v>
      </c>
      <c r="J14" s="513">
        <v>23.433647000000001</v>
      </c>
      <c r="K14" s="513">
        <v>24.459620000000001</v>
      </c>
      <c r="L14" s="513">
        <v>25.512846</v>
      </c>
      <c r="M14" s="513">
        <v>26.622440000000001</v>
      </c>
      <c r="N14" s="513">
        <v>27.591256999999999</v>
      </c>
      <c r="O14" s="513">
        <v>29.222456000000001</v>
      </c>
      <c r="P14" s="513">
        <v>30.270443</v>
      </c>
      <c r="Q14" s="513">
        <v>31.382214000000001</v>
      </c>
      <c r="R14" s="513">
        <v>32.290142000000003</v>
      </c>
      <c r="S14" s="513">
        <v>33.152008000000002</v>
      </c>
      <c r="T14" s="513">
        <v>34.061478000000001</v>
      </c>
      <c r="U14" s="513">
        <v>34.870632000000001</v>
      </c>
      <c r="V14" s="513">
        <v>35.980522000000001</v>
      </c>
      <c r="W14" s="513">
        <v>37.015087000000001</v>
      </c>
      <c r="X14" s="513">
        <v>37.778297000000002</v>
      </c>
      <c r="Y14" s="513">
        <v>39.163040000000002</v>
      </c>
      <c r="Z14" s="513">
        <v>40.359797999999998</v>
      </c>
      <c r="AA14" s="513">
        <v>41.465755000000001</v>
      </c>
      <c r="AB14" s="513">
        <v>42.814827000000001</v>
      </c>
      <c r="AC14" s="513">
        <v>43.931683</v>
      </c>
      <c r="AD14" s="513">
        <v>44.939940999999997</v>
      </c>
      <c r="AE14" s="513">
        <v>46.637943</v>
      </c>
      <c r="AF14" s="513">
        <v>48.088585000000002</v>
      </c>
      <c r="AG14" s="513">
        <v>49.440437000000003</v>
      </c>
      <c r="AH14" s="513">
        <v>51.080295999999997</v>
      </c>
      <c r="AI14" s="514">
        <v>52.526328999999997</v>
      </c>
    </row>
    <row r="15" spans="1:36" ht="15.75" thickBot="1" x14ac:dyDescent="0.3">
      <c r="A15" s="859"/>
      <c r="B15" s="860"/>
      <c r="C15" s="511" t="s">
        <v>68</v>
      </c>
      <c r="D15" s="517"/>
      <c r="E15" s="24">
        <f>E14/$D$4</f>
        <v>2.3362804417220002</v>
      </c>
      <c r="F15" s="24">
        <f t="shared" ref="F15:AI15" si="1">F14/$D$4</f>
        <v>2.3537239988079999</v>
      </c>
      <c r="G15" s="24">
        <f t="shared" si="1"/>
        <v>2.4819804694540002</v>
      </c>
      <c r="H15" s="24">
        <f t="shared" si="1"/>
        <v>2.7240424064959998</v>
      </c>
      <c r="I15" s="24">
        <f t="shared" si="1"/>
        <v>2.8602983922620004</v>
      </c>
      <c r="J15" s="24">
        <f t="shared" si="1"/>
        <v>2.986899513914</v>
      </c>
      <c r="K15" s="24">
        <f t="shared" si="1"/>
        <v>3.1176720844400001</v>
      </c>
      <c r="L15" s="24">
        <f t="shared" si="1"/>
        <v>3.2519183768520001</v>
      </c>
      <c r="M15" s="24">
        <f t="shared" si="1"/>
        <v>3.3933494472800003</v>
      </c>
      <c r="N15" s="24">
        <f t="shared" si="1"/>
        <v>3.516836799734</v>
      </c>
      <c r="O15" s="24">
        <f t="shared" si="1"/>
        <v>3.7247526866720002</v>
      </c>
      <c r="P15" s="24">
        <f t="shared" si="1"/>
        <v>3.8583312056660004</v>
      </c>
      <c r="Q15" s="24">
        <f t="shared" si="1"/>
        <v>4.0000397608680007</v>
      </c>
      <c r="R15" s="24">
        <f t="shared" si="1"/>
        <v>4.1157660796040005</v>
      </c>
      <c r="S15" s="24">
        <f t="shared" si="1"/>
        <v>4.2256212436960006</v>
      </c>
      <c r="T15" s="24">
        <f t="shared" si="1"/>
        <v>4.3415441088360005</v>
      </c>
      <c r="U15" s="24">
        <f t="shared" si="1"/>
        <v>4.4446804959840005</v>
      </c>
      <c r="V15" s="24">
        <f t="shared" si="1"/>
        <v>4.5861492951640006</v>
      </c>
      <c r="W15" s="24">
        <f t="shared" si="1"/>
        <v>4.7180170191940007</v>
      </c>
      <c r="X15" s="24">
        <f t="shared" si="1"/>
        <v>4.8152972922140007</v>
      </c>
      <c r="Y15" s="24">
        <f t="shared" si="1"/>
        <v>4.9917994044800009</v>
      </c>
      <c r="Z15" s="24">
        <f t="shared" si="1"/>
        <v>5.1443405726759996</v>
      </c>
      <c r="AA15" s="24">
        <f t="shared" si="1"/>
        <v>5.2853080638100005</v>
      </c>
      <c r="AB15" s="24">
        <f t="shared" si="1"/>
        <v>5.4572634790740002</v>
      </c>
      <c r="AC15" s="24">
        <f t="shared" si="1"/>
        <v>5.599620178546</v>
      </c>
      <c r="AD15" s="24">
        <f t="shared" si="1"/>
        <v>5.7281347597419998</v>
      </c>
      <c r="AE15" s="24">
        <f t="shared" si="1"/>
        <v>5.9445654906660002</v>
      </c>
      <c r="AF15" s="24">
        <f t="shared" si="1"/>
        <v>6.1294672212700005</v>
      </c>
      <c r="AG15" s="24">
        <f t="shared" si="1"/>
        <v>6.301776980894001</v>
      </c>
      <c r="AH15" s="24">
        <f t="shared" si="1"/>
        <v>6.5107966887520003</v>
      </c>
      <c r="AI15" s="518">
        <f t="shared" si="1"/>
        <v>6.6951109469979997</v>
      </c>
    </row>
    <row r="16" spans="1:36" x14ac:dyDescent="0.25">
      <c r="A16" s="464" t="s">
        <v>69</v>
      </c>
      <c r="B16" s="522">
        <f>'Fuel Factors'!I26</f>
        <v>0.15828044172200029</v>
      </c>
      <c r="C16" s="357" t="s">
        <v>70</v>
      </c>
      <c r="D16" s="31"/>
      <c r="E16" s="506">
        <f>E15-B16</f>
        <v>2.1779999999999999</v>
      </c>
      <c r="F16" s="506">
        <f>F15-B16</f>
        <v>2.1954435570859996</v>
      </c>
      <c r="G16" s="506">
        <f t="shared" ref="G16:AI16" si="2">G15-$B$16</f>
        <v>2.3237000277319999</v>
      </c>
      <c r="H16" s="506">
        <f t="shared" si="2"/>
        <v>2.5657619647739995</v>
      </c>
      <c r="I16" s="506">
        <f t="shared" si="2"/>
        <v>2.7020179505400002</v>
      </c>
      <c r="J16" s="506">
        <f t="shared" si="2"/>
        <v>2.8286190721919997</v>
      </c>
      <c r="K16" s="506">
        <f t="shared" si="2"/>
        <v>2.9593916427179998</v>
      </c>
      <c r="L16" s="506">
        <f t="shared" si="2"/>
        <v>3.0936379351299998</v>
      </c>
      <c r="M16" s="506">
        <f t="shared" si="2"/>
        <v>3.235069005558</v>
      </c>
      <c r="N16" s="506">
        <f t="shared" si="2"/>
        <v>3.3585563580119997</v>
      </c>
      <c r="O16" s="506">
        <f t="shared" si="2"/>
        <v>3.5664722449499999</v>
      </c>
      <c r="P16" s="506">
        <f t="shared" si="2"/>
        <v>3.7000507639440001</v>
      </c>
      <c r="Q16" s="506">
        <f t="shared" si="2"/>
        <v>3.8417593191460004</v>
      </c>
      <c r="R16" s="506">
        <f t="shared" si="2"/>
        <v>3.9574856378820003</v>
      </c>
      <c r="S16" s="506">
        <f t="shared" si="2"/>
        <v>4.0673408019739998</v>
      </c>
      <c r="T16" s="506">
        <f t="shared" si="2"/>
        <v>4.1832636671139998</v>
      </c>
      <c r="U16" s="506">
        <f t="shared" si="2"/>
        <v>4.2864000542619998</v>
      </c>
      <c r="V16" s="506">
        <f t="shared" si="2"/>
        <v>4.4278688534419999</v>
      </c>
      <c r="W16" s="506">
        <f t="shared" si="2"/>
        <v>4.559736577472</v>
      </c>
      <c r="X16" s="506">
        <f t="shared" si="2"/>
        <v>4.6570168504920009</v>
      </c>
      <c r="Y16" s="506">
        <f t="shared" si="2"/>
        <v>4.8335189627580011</v>
      </c>
      <c r="Z16" s="506">
        <f t="shared" si="2"/>
        <v>4.9860601309539998</v>
      </c>
      <c r="AA16" s="506">
        <f t="shared" si="2"/>
        <v>5.1270276220880007</v>
      </c>
      <c r="AB16" s="506">
        <f t="shared" si="2"/>
        <v>5.2989830373520004</v>
      </c>
      <c r="AC16" s="506">
        <f t="shared" si="2"/>
        <v>5.4413397368240002</v>
      </c>
      <c r="AD16" s="506">
        <f t="shared" si="2"/>
        <v>5.5698543180199991</v>
      </c>
      <c r="AE16" s="506">
        <f t="shared" si="2"/>
        <v>5.7862850489440003</v>
      </c>
      <c r="AF16" s="506">
        <f t="shared" si="2"/>
        <v>5.9711867795480007</v>
      </c>
      <c r="AG16" s="506">
        <f t="shared" si="2"/>
        <v>6.1434965391720002</v>
      </c>
      <c r="AH16" s="506">
        <f t="shared" si="2"/>
        <v>6.3525162470299996</v>
      </c>
      <c r="AI16" s="33">
        <f t="shared" si="2"/>
        <v>6.536830505275999</v>
      </c>
      <c r="AJ16" s="508">
        <f>1-(D16/AI16)</f>
        <v>1</v>
      </c>
    </row>
    <row r="17" spans="1:35" x14ac:dyDescent="0.25">
      <c r="A17" s="28" t="s">
        <v>71</v>
      </c>
      <c r="B17" s="29"/>
      <c r="C17" s="403" t="s">
        <v>72</v>
      </c>
      <c r="D17" s="31"/>
      <c r="E17" s="506">
        <f t="shared" ref="E17:AI17" si="3">E16/$G$4</f>
        <v>0.32171344165435745</v>
      </c>
      <c r="F17" s="507">
        <f t="shared" si="3"/>
        <v>0.32429003797429834</v>
      </c>
      <c r="G17" s="506">
        <f t="shared" si="3"/>
        <v>0.34323486377134416</v>
      </c>
      <c r="H17" s="506">
        <f t="shared" si="3"/>
        <v>0.37898995048360407</v>
      </c>
      <c r="I17" s="506">
        <f t="shared" si="3"/>
        <v>0.39911638855834569</v>
      </c>
      <c r="J17" s="506">
        <f t="shared" si="3"/>
        <v>0.41781670194859671</v>
      </c>
      <c r="K17" s="506">
        <f t="shared" si="3"/>
        <v>0.43713318208537666</v>
      </c>
      <c r="L17" s="506">
        <f t="shared" si="3"/>
        <v>0.45696276737518465</v>
      </c>
      <c r="M17" s="506">
        <f t="shared" si="3"/>
        <v>0.47785361972791734</v>
      </c>
      <c r="N17" s="506">
        <f t="shared" si="3"/>
        <v>0.49609399675214177</v>
      </c>
      <c r="O17" s="506">
        <f t="shared" si="3"/>
        <v>0.52680535375923188</v>
      </c>
      <c r="P17" s="506">
        <f t="shared" si="3"/>
        <v>0.54653630191196456</v>
      </c>
      <c r="Q17" s="506">
        <f t="shared" si="3"/>
        <v>0.5674681416759233</v>
      </c>
      <c r="R17" s="506">
        <f t="shared" si="3"/>
        <v>0.58456213262658796</v>
      </c>
      <c r="S17" s="506">
        <f t="shared" si="3"/>
        <v>0.60078889246292466</v>
      </c>
      <c r="T17" s="506">
        <f t="shared" si="3"/>
        <v>0.61791191537872969</v>
      </c>
      <c r="U17" s="506">
        <f t="shared" si="3"/>
        <v>0.63314624139763664</v>
      </c>
      <c r="V17" s="506">
        <f t="shared" si="3"/>
        <v>0.65404266668271793</v>
      </c>
      <c r="W17" s="506">
        <f t="shared" si="3"/>
        <v>0.67352091247740031</v>
      </c>
      <c r="X17" s="506">
        <f t="shared" si="3"/>
        <v>0.68789022902392927</v>
      </c>
      <c r="Y17" s="506">
        <f t="shared" si="3"/>
        <v>0.71396144206174317</v>
      </c>
      <c r="Z17" s="506">
        <f t="shared" si="3"/>
        <v>0.73649337237134416</v>
      </c>
      <c r="AA17" s="506">
        <f t="shared" si="3"/>
        <v>0.75731574920059097</v>
      </c>
      <c r="AB17" s="506">
        <f t="shared" si="3"/>
        <v>0.78271536740797643</v>
      </c>
      <c r="AC17" s="506">
        <f t="shared" si="3"/>
        <v>0.80374294487799125</v>
      </c>
      <c r="AD17" s="506">
        <f t="shared" si="3"/>
        <v>0.822725896310192</v>
      </c>
      <c r="AE17" s="506">
        <f t="shared" si="3"/>
        <v>0.85469498507296904</v>
      </c>
      <c r="AF17" s="506">
        <f t="shared" si="3"/>
        <v>0.88200690982983765</v>
      </c>
      <c r="AG17" s="506">
        <f t="shared" si="3"/>
        <v>0.90745886841536194</v>
      </c>
      <c r="AH17" s="506">
        <f t="shared" si="3"/>
        <v>0.93833327134859679</v>
      </c>
      <c r="AI17" s="33">
        <f t="shared" si="3"/>
        <v>0.96555842027710481</v>
      </c>
    </row>
    <row r="18" spans="1:35" x14ac:dyDescent="0.25">
      <c r="A18" s="28" t="s">
        <v>73</v>
      </c>
      <c r="B18" s="1"/>
      <c r="C18" s="404" t="s">
        <v>74</v>
      </c>
      <c r="D18" s="35"/>
      <c r="E18" s="402">
        <f>E19*E16</f>
        <v>24128.508124076809</v>
      </c>
      <c r="F18" s="402">
        <f t="shared" ref="F18:AI18" si="4">($G$3*F17)*$G$9</f>
        <v>24321.752848072374</v>
      </c>
      <c r="G18" s="402">
        <f t="shared" si="4"/>
        <v>25742.614782850811</v>
      </c>
      <c r="H18" s="402">
        <f t="shared" si="4"/>
        <v>28424.246286270303</v>
      </c>
      <c r="I18" s="402">
        <f t="shared" si="4"/>
        <v>29933.729141875927</v>
      </c>
      <c r="J18" s="402">
        <f t="shared" si="4"/>
        <v>31336.252646144752</v>
      </c>
      <c r="K18" s="402">
        <f t="shared" si="4"/>
        <v>32784.988656403249</v>
      </c>
      <c r="L18" s="402">
        <f t="shared" si="4"/>
        <v>34272.207553138855</v>
      </c>
      <c r="M18" s="402">
        <f t="shared" si="4"/>
        <v>35839.021479593801</v>
      </c>
      <c r="N18" s="402">
        <f t="shared" si="4"/>
        <v>37207.049756410634</v>
      </c>
      <c r="O18" s="402">
        <f t="shared" si="4"/>
        <v>39510.401531942392</v>
      </c>
      <c r="P18" s="402">
        <f t="shared" si="4"/>
        <v>40990.222643397348</v>
      </c>
      <c r="Q18" s="402">
        <f t="shared" si="4"/>
        <v>42560.110625694251</v>
      </c>
      <c r="R18" s="402">
        <f t="shared" si="4"/>
        <v>43842.159946994099</v>
      </c>
      <c r="S18" s="402">
        <f t="shared" si="4"/>
        <v>45059.166934719353</v>
      </c>
      <c r="T18" s="402">
        <f t="shared" si="4"/>
        <v>46343.393653404724</v>
      </c>
      <c r="U18" s="402">
        <f t="shared" si="4"/>
        <v>47485.96810482275</v>
      </c>
      <c r="V18" s="402">
        <f t="shared" si="4"/>
        <v>49053.200001203841</v>
      </c>
      <c r="W18" s="402">
        <f t="shared" si="4"/>
        <v>50514.06843580502</v>
      </c>
      <c r="X18" s="402">
        <f t="shared" si="4"/>
        <v>51591.767176794689</v>
      </c>
      <c r="Y18" s="402">
        <f t="shared" si="4"/>
        <v>53547.10815463074</v>
      </c>
      <c r="Z18" s="402">
        <f t="shared" si="4"/>
        <v>55237.002927850808</v>
      </c>
      <c r="AA18" s="402">
        <f t="shared" si="4"/>
        <v>56798.681190044328</v>
      </c>
      <c r="AB18" s="402">
        <f t="shared" si="4"/>
        <v>58703.65255559823</v>
      </c>
      <c r="AC18" s="402">
        <f t="shared" si="4"/>
        <v>60280.720865849347</v>
      </c>
      <c r="AD18" s="402">
        <f t="shared" si="4"/>
        <v>61704.442223264399</v>
      </c>
      <c r="AE18" s="402">
        <f t="shared" si="4"/>
        <v>64102.123880472682</v>
      </c>
      <c r="AF18" s="402">
        <f t="shared" si="4"/>
        <v>66150.518237237819</v>
      </c>
      <c r="AG18" s="402">
        <f t="shared" si="4"/>
        <v>68059.415131152142</v>
      </c>
      <c r="AH18" s="402">
        <f t="shared" si="4"/>
        <v>70374.995351144767</v>
      </c>
      <c r="AI18" s="37">
        <f t="shared" si="4"/>
        <v>72416.881520782859</v>
      </c>
    </row>
    <row r="19" spans="1:35" x14ac:dyDescent="0.25">
      <c r="A19" s="38"/>
      <c r="B19" s="1"/>
      <c r="C19" s="2" t="s">
        <v>75</v>
      </c>
      <c r="D19" s="515"/>
      <c r="E19" s="469">
        <f t="shared" ref="E19:AI19" si="5">$D$10/$G$4</f>
        <v>11078.286558345642</v>
      </c>
      <c r="F19" s="469">
        <f t="shared" si="5"/>
        <v>11078.286558345642</v>
      </c>
      <c r="G19" s="469">
        <f t="shared" si="5"/>
        <v>11078.286558345642</v>
      </c>
      <c r="H19" s="469">
        <f t="shared" si="5"/>
        <v>11078.286558345642</v>
      </c>
      <c r="I19" s="469">
        <f t="shared" si="5"/>
        <v>11078.286558345642</v>
      </c>
      <c r="J19" s="469">
        <f t="shared" si="5"/>
        <v>11078.286558345642</v>
      </c>
      <c r="K19" s="469">
        <f t="shared" si="5"/>
        <v>11078.286558345642</v>
      </c>
      <c r="L19" s="469">
        <f t="shared" si="5"/>
        <v>11078.286558345642</v>
      </c>
      <c r="M19" s="469">
        <f t="shared" si="5"/>
        <v>11078.286558345642</v>
      </c>
      <c r="N19" s="469">
        <f t="shared" si="5"/>
        <v>11078.286558345642</v>
      </c>
      <c r="O19" s="469">
        <f t="shared" si="5"/>
        <v>11078.286558345642</v>
      </c>
      <c r="P19" s="469">
        <f t="shared" si="5"/>
        <v>11078.286558345642</v>
      </c>
      <c r="Q19" s="469">
        <f t="shared" si="5"/>
        <v>11078.286558345642</v>
      </c>
      <c r="R19" s="469">
        <f t="shared" si="5"/>
        <v>11078.286558345642</v>
      </c>
      <c r="S19" s="469">
        <f t="shared" si="5"/>
        <v>11078.286558345642</v>
      </c>
      <c r="T19" s="469">
        <f t="shared" si="5"/>
        <v>11078.286558345642</v>
      </c>
      <c r="U19" s="469">
        <f t="shared" si="5"/>
        <v>11078.286558345642</v>
      </c>
      <c r="V19" s="469">
        <f t="shared" si="5"/>
        <v>11078.286558345642</v>
      </c>
      <c r="W19" s="469">
        <f t="shared" si="5"/>
        <v>11078.286558345642</v>
      </c>
      <c r="X19" s="469">
        <f t="shared" si="5"/>
        <v>11078.286558345642</v>
      </c>
      <c r="Y19" s="469">
        <f t="shared" si="5"/>
        <v>11078.286558345642</v>
      </c>
      <c r="Z19" s="469">
        <f t="shared" si="5"/>
        <v>11078.286558345642</v>
      </c>
      <c r="AA19" s="469">
        <f t="shared" si="5"/>
        <v>11078.286558345642</v>
      </c>
      <c r="AB19" s="469">
        <f t="shared" si="5"/>
        <v>11078.286558345642</v>
      </c>
      <c r="AC19" s="469">
        <f t="shared" si="5"/>
        <v>11078.286558345642</v>
      </c>
      <c r="AD19" s="469">
        <f t="shared" si="5"/>
        <v>11078.286558345642</v>
      </c>
      <c r="AE19" s="469">
        <f t="shared" si="5"/>
        <v>11078.286558345642</v>
      </c>
      <c r="AF19" s="469">
        <f t="shared" si="5"/>
        <v>11078.286558345642</v>
      </c>
      <c r="AG19" s="469">
        <f t="shared" si="5"/>
        <v>11078.286558345642</v>
      </c>
      <c r="AH19" s="469">
        <f t="shared" si="5"/>
        <v>11078.286558345642</v>
      </c>
      <c r="AI19" s="516">
        <f t="shared" si="5"/>
        <v>11078.286558345642</v>
      </c>
    </row>
    <row r="20" spans="1:35" x14ac:dyDescent="0.25">
      <c r="A20" s="38"/>
      <c r="B20" s="1"/>
      <c r="C20" s="404" t="s">
        <v>76</v>
      </c>
      <c r="D20" s="39"/>
      <c r="E20" s="475">
        <f>(E19/$P$4)*$N$4</f>
        <v>276.95716395864105</v>
      </c>
      <c r="F20" s="475">
        <f t="shared" ref="F20:AI20" si="6">(F19/$P$4)*$N$4</f>
        <v>276.95716395864105</v>
      </c>
      <c r="G20" s="475">
        <f t="shared" si="6"/>
        <v>276.95716395864105</v>
      </c>
      <c r="H20" s="475">
        <f t="shared" si="6"/>
        <v>276.95716395864105</v>
      </c>
      <c r="I20" s="475">
        <f t="shared" si="6"/>
        <v>276.95716395864105</v>
      </c>
      <c r="J20" s="475">
        <f t="shared" si="6"/>
        <v>276.95716395864105</v>
      </c>
      <c r="K20" s="475">
        <f t="shared" si="6"/>
        <v>276.95716395864105</v>
      </c>
      <c r="L20" s="475">
        <f t="shared" si="6"/>
        <v>276.95716395864105</v>
      </c>
      <c r="M20" s="475">
        <f t="shared" si="6"/>
        <v>276.95716395864105</v>
      </c>
      <c r="N20" s="475">
        <f t="shared" si="6"/>
        <v>276.95716395864105</v>
      </c>
      <c r="O20" s="475">
        <f t="shared" si="6"/>
        <v>276.95716395864105</v>
      </c>
      <c r="P20" s="475">
        <f t="shared" si="6"/>
        <v>276.95716395864105</v>
      </c>
      <c r="Q20" s="475">
        <f t="shared" si="6"/>
        <v>276.95716395864105</v>
      </c>
      <c r="R20" s="475">
        <f t="shared" si="6"/>
        <v>276.95716395864105</v>
      </c>
      <c r="S20" s="475">
        <f t="shared" si="6"/>
        <v>276.95716395864105</v>
      </c>
      <c r="T20" s="475">
        <f t="shared" si="6"/>
        <v>276.95716395864105</v>
      </c>
      <c r="U20" s="475">
        <f t="shared" si="6"/>
        <v>276.95716395864105</v>
      </c>
      <c r="V20" s="475">
        <f t="shared" si="6"/>
        <v>276.95716395864105</v>
      </c>
      <c r="W20" s="475">
        <f t="shared" si="6"/>
        <v>276.95716395864105</v>
      </c>
      <c r="X20" s="475">
        <f t="shared" si="6"/>
        <v>276.95716395864105</v>
      </c>
      <c r="Y20" s="475">
        <f t="shared" si="6"/>
        <v>276.95716395864105</v>
      </c>
      <c r="Z20" s="475">
        <f t="shared" si="6"/>
        <v>276.95716395864105</v>
      </c>
      <c r="AA20" s="475">
        <f t="shared" si="6"/>
        <v>276.95716395864105</v>
      </c>
      <c r="AB20" s="475">
        <f t="shared" si="6"/>
        <v>276.95716395864105</v>
      </c>
      <c r="AC20" s="475">
        <f t="shared" si="6"/>
        <v>276.95716395864105</v>
      </c>
      <c r="AD20" s="475">
        <f t="shared" si="6"/>
        <v>276.95716395864105</v>
      </c>
      <c r="AE20" s="475">
        <f t="shared" si="6"/>
        <v>276.95716395864105</v>
      </c>
      <c r="AF20" s="475">
        <f t="shared" si="6"/>
        <v>276.95716395864105</v>
      </c>
      <c r="AG20" s="475">
        <f t="shared" si="6"/>
        <v>276.95716395864105</v>
      </c>
      <c r="AH20" s="475">
        <f t="shared" si="6"/>
        <v>276.95716395864105</v>
      </c>
      <c r="AI20" s="55">
        <f t="shared" si="6"/>
        <v>276.95716395864105</v>
      </c>
    </row>
    <row r="21" spans="1:35" x14ac:dyDescent="0.25">
      <c r="A21" s="38"/>
      <c r="B21" s="41"/>
      <c r="C21" s="404" t="s">
        <v>77</v>
      </c>
      <c r="D21" s="35"/>
      <c r="E21" s="402">
        <f>(E20*$N$3)</f>
        <v>553.91432791728209</v>
      </c>
      <c r="F21" s="402">
        <f t="shared" ref="F21:AI21" si="7">E21*(1+$D$12)</f>
        <v>567.20827178729689</v>
      </c>
      <c r="G21" s="402">
        <f t="shared" si="7"/>
        <v>580.82127031019206</v>
      </c>
      <c r="H21" s="402">
        <f t="shared" si="7"/>
        <v>594.76098079763665</v>
      </c>
      <c r="I21" s="402">
        <f t="shared" si="7"/>
        <v>609.0352443367799</v>
      </c>
      <c r="J21" s="402">
        <f t="shared" si="7"/>
        <v>623.65209020086263</v>
      </c>
      <c r="K21" s="402">
        <f t="shared" si="7"/>
        <v>638.61974036568336</v>
      </c>
      <c r="L21" s="402">
        <f t="shared" si="7"/>
        <v>653.94661413445976</v>
      </c>
      <c r="M21" s="402">
        <f t="shared" si="7"/>
        <v>669.64133287368679</v>
      </c>
      <c r="N21" s="402">
        <f t="shared" si="7"/>
        <v>685.71272486265525</v>
      </c>
      <c r="O21" s="402">
        <f t="shared" si="7"/>
        <v>702.16983025935895</v>
      </c>
      <c r="P21" s="402">
        <f t="shared" si="7"/>
        <v>719.02190618558359</v>
      </c>
      <c r="Q21" s="402">
        <f t="shared" si="7"/>
        <v>736.2784319340376</v>
      </c>
      <c r="R21" s="402">
        <f t="shared" si="7"/>
        <v>753.94911430045454</v>
      </c>
      <c r="S21" s="402">
        <f t="shared" si="7"/>
        <v>772.04389304366543</v>
      </c>
      <c r="T21" s="402">
        <f t="shared" si="7"/>
        <v>790.57294647671347</v>
      </c>
      <c r="U21" s="402">
        <f t="shared" si="7"/>
        <v>809.54669719215462</v>
      </c>
      <c r="V21" s="402">
        <f t="shared" si="7"/>
        <v>828.97581792476637</v>
      </c>
      <c r="W21" s="402">
        <f t="shared" si="7"/>
        <v>848.87123755496077</v>
      </c>
      <c r="X21" s="402">
        <f t="shared" si="7"/>
        <v>869.2441472562798</v>
      </c>
      <c r="Y21" s="402">
        <f t="shared" si="7"/>
        <v>890.10600679043057</v>
      </c>
      <c r="Z21" s="402">
        <f t="shared" si="7"/>
        <v>911.46855095340095</v>
      </c>
      <c r="AA21" s="402">
        <f t="shared" si="7"/>
        <v>933.34379617628258</v>
      </c>
      <c r="AB21" s="402">
        <f t="shared" si="7"/>
        <v>955.74404728451339</v>
      </c>
      <c r="AC21" s="402">
        <f t="shared" si="7"/>
        <v>978.68190441934178</v>
      </c>
      <c r="AD21" s="402">
        <f t="shared" si="7"/>
        <v>1002.170270125406</v>
      </c>
      <c r="AE21" s="402">
        <f t="shared" si="7"/>
        <v>1026.2223566084158</v>
      </c>
      <c r="AF21" s="402">
        <f t="shared" si="7"/>
        <v>1050.8516931670179</v>
      </c>
      <c r="AG21" s="402">
        <f t="shared" si="7"/>
        <v>1076.0721338030264</v>
      </c>
      <c r="AH21" s="402">
        <f t="shared" si="7"/>
        <v>1101.897865014299</v>
      </c>
      <c r="AI21" s="37">
        <f t="shared" si="7"/>
        <v>1128.3434137746422</v>
      </c>
    </row>
    <row r="22" spans="1:35" x14ac:dyDescent="0.25">
      <c r="A22" s="38"/>
      <c r="B22" s="1"/>
      <c r="C22" s="404" t="s">
        <v>78</v>
      </c>
      <c r="D22" s="42"/>
      <c r="E22" s="408">
        <f t="shared" ref="E22:AI22" si="8">E18+E21</f>
        <v>24682.422451994091</v>
      </c>
      <c r="F22" s="408">
        <f t="shared" si="8"/>
        <v>24888.961119859672</v>
      </c>
      <c r="G22" s="408">
        <f t="shared" si="8"/>
        <v>26323.436053161004</v>
      </c>
      <c r="H22" s="408">
        <f t="shared" si="8"/>
        <v>29019.00726706794</v>
      </c>
      <c r="I22" s="408">
        <f t="shared" si="8"/>
        <v>30542.764386212708</v>
      </c>
      <c r="J22" s="408">
        <f t="shared" si="8"/>
        <v>31959.904736345616</v>
      </c>
      <c r="K22" s="408">
        <f t="shared" si="8"/>
        <v>33423.608396768934</v>
      </c>
      <c r="L22" s="408">
        <f t="shared" si="8"/>
        <v>34926.154167273315</v>
      </c>
      <c r="M22" s="408">
        <f t="shared" si="8"/>
        <v>36508.66281246749</v>
      </c>
      <c r="N22" s="408">
        <f t="shared" si="8"/>
        <v>37892.76248127329</v>
      </c>
      <c r="O22" s="408">
        <f t="shared" si="8"/>
        <v>40212.57136220175</v>
      </c>
      <c r="P22" s="408">
        <f t="shared" si="8"/>
        <v>41709.244549582931</v>
      </c>
      <c r="Q22" s="408">
        <f t="shared" si="8"/>
        <v>43296.389057628287</v>
      </c>
      <c r="R22" s="408">
        <f t="shared" si="8"/>
        <v>44596.109061294555</v>
      </c>
      <c r="S22" s="408">
        <f t="shared" si="8"/>
        <v>45831.210827763018</v>
      </c>
      <c r="T22" s="408">
        <f t="shared" si="8"/>
        <v>47133.966599881438</v>
      </c>
      <c r="U22" s="408">
        <f t="shared" si="8"/>
        <v>48295.514802014906</v>
      </c>
      <c r="V22" s="408">
        <f t="shared" si="8"/>
        <v>49882.175819128606</v>
      </c>
      <c r="W22" s="408">
        <f t="shared" si="8"/>
        <v>51362.939673359979</v>
      </c>
      <c r="X22" s="408">
        <f t="shared" si="8"/>
        <v>52461.011324050967</v>
      </c>
      <c r="Y22" s="408">
        <f t="shared" si="8"/>
        <v>54437.214161421172</v>
      </c>
      <c r="Z22" s="408">
        <f t="shared" si="8"/>
        <v>56148.471478804211</v>
      </c>
      <c r="AA22" s="408">
        <f t="shared" si="8"/>
        <v>57732.024986220611</v>
      </c>
      <c r="AB22" s="408">
        <f t="shared" si="8"/>
        <v>59659.396602882742</v>
      </c>
      <c r="AC22" s="408">
        <f t="shared" si="8"/>
        <v>61259.402770268687</v>
      </c>
      <c r="AD22" s="408">
        <f t="shared" si="8"/>
        <v>62706.612493389803</v>
      </c>
      <c r="AE22" s="408">
        <f t="shared" si="8"/>
        <v>65128.346237081096</v>
      </c>
      <c r="AF22" s="408">
        <f t="shared" si="8"/>
        <v>67201.369930404835</v>
      </c>
      <c r="AG22" s="408">
        <f t="shared" si="8"/>
        <v>69135.487264955169</v>
      </c>
      <c r="AH22" s="408">
        <f t="shared" si="8"/>
        <v>71476.893216159064</v>
      </c>
      <c r="AI22" s="44">
        <f t="shared" si="8"/>
        <v>73545.224934557496</v>
      </c>
    </row>
    <row r="23" spans="1:35" x14ac:dyDescent="0.25">
      <c r="A23" s="38"/>
      <c r="B23" s="1"/>
      <c r="C23" s="404" t="s">
        <v>79</v>
      </c>
      <c r="D23" s="35"/>
      <c r="E23" s="402">
        <f>D10*G11</f>
        <v>35813.581730769227</v>
      </c>
      <c r="F23" s="402">
        <f>D10*G11</f>
        <v>35813.581730769227</v>
      </c>
      <c r="G23" s="402">
        <f t="shared" ref="G23:AI23" si="9">F23*(1+$D$12)</f>
        <v>36673.107692307691</v>
      </c>
      <c r="H23" s="402">
        <f t="shared" si="9"/>
        <v>37553.262276923073</v>
      </c>
      <c r="I23" s="402">
        <f t="shared" si="9"/>
        <v>38454.540571569225</v>
      </c>
      <c r="J23" s="402">
        <f t="shared" si="9"/>
        <v>39377.449545286887</v>
      </c>
      <c r="K23" s="402">
        <f t="shared" si="9"/>
        <v>40322.508334373772</v>
      </c>
      <c r="L23" s="402">
        <f t="shared" si="9"/>
        <v>41290.248534398743</v>
      </c>
      <c r="M23" s="402">
        <f t="shared" si="9"/>
        <v>42281.214499224312</v>
      </c>
      <c r="N23" s="402">
        <f t="shared" si="9"/>
        <v>43295.963647205695</v>
      </c>
      <c r="O23" s="402">
        <f t="shared" si="9"/>
        <v>44335.066774738632</v>
      </c>
      <c r="P23" s="402">
        <f t="shared" si="9"/>
        <v>45399.108377332363</v>
      </c>
      <c r="Q23" s="402">
        <f t="shared" si="9"/>
        <v>46488.686978388338</v>
      </c>
      <c r="R23" s="402">
        <f t="shared" si="9"/>
        <v>47604.415465869657</v>
      </c>
      <c r="S23" s="402">
        <f t="shared" si="9"/>
        <v>48746.921437050529</v>
      </c>
      <c r="T23" s="402">
        <f t="shared" si="9"/>
        <v>49916.847551539744</v>
      </c>
      <c r="U23" s="402">
        <f t="shared" si="9"/>
        <v>51114.8518927767</v>
      </c>
      <c r="V23" s="402">
        <f t="shared" si="9"/>
        <v>52341.608338203339</v>
      </c>
      <c r="W23" s="402">
        <f t="shared" si="9"/>
        <v>53597.806938320224</v>
      </c>
      <c r="X23" s="402">
        <f t="shared" si="9"/>
        <v>54884.154304839911</v>
      </c>
      <c r="Y23" s="402">
        <f t="shared" si="9"/>
        <v>56201.374008156068</v>
      </c>
      <c r="Z23" s="402">
        <f t="shared" si="9"/>
        <v>57550.206984351818</v>
      </c>
      <c r="AA23" s="402">
        <f t="shared" si="9"/>
        <v>58931.411951976261</v>
      </c>
      <c r="AB23" s="402">
        <f t="shared" si="9"/>
        <v>60345.765838823689</v>
      </c>
      <c r="AC23" s="402">
        <f t="shared" si="9"/>
        <v>61794.064218955456</v>
      </c>
      <c r="AD23" s="402">
        <f t="shared" si="9"/>
        <v>63277.121760210386</v>
      </c>
      <c r="AE23" s="402">
        <f t="shared" si="9"/>
        <v>64795.772682455434</v>
      </c>
      <c r="AF23" s="402">
        <f t="shared" si="9"/>
        <v>66350.871226834366</v>
      </c>
      <c r="AG23" s="402">
        <f t="shared" si="9"/>
        <v>67943.292136278396</v>
      </c>
      <c r="AH23" s="402">
        <f t="shared" si="9"/>
        <v>69573.931147549083</v>
      </c>
      <c r="AI23" s="37">
        <f t="shared" si="9"/>
        <v>71243.705495090268</v>
      </c>
    </row>
    <row r="24" spans="1:35" x14ac:dyDescent="0.25">
      <c r="A24" s="38"/>
      <c r="B24" s="1"/>
      <c r="C24" s="404" t="s">
        <v>80</v>
      </c>
      <c r="D24" s="42"/>
      <c r="E24" s="408">
        <f t="shared" ref="E24:AI24" si="10">E22+E23</f>
        <v>60496.004182763318</v>
      </c>
      <c r="F24" s="408">
        <f t="shared" si="10"/>
        <v>60702.542850628903</v>
      </c>
      <c r="G24" s="408">
        <f t="shared" si="10"/>
        <v>62996.543745468691</v>
      </c>
      <c r="H24" s="408">
        <f t="shared" si="10"/>
        <v>66572.269543991017</v>
      </c>
      <c r="I24" s="408">
        <f t="shared" si="10"/>
        <v>68997.304957781933</v>
      </c>
      <c r="J24" s="408">
        <f t="shared" si="10"/>
        <v>71337.354281632506</v>
      </c>
      <c r="K24" s="408">
        <f t="shared" si="10"/>
        <v>73746.116731142713</v>
      </c>
      <c r="L24" s="408">
        <f t="shared" si="10"/>
        <v>76216.40270167205</v>
      </c>
      <c r="M24" s="408">
        <f t="shared" si="10"/>
        <v>78789.877311691802</v>
      </c>
      <c r="N24" s="408">
        <f t="shared" si="10"/>
        <v>81188.726128478986</v>
      </c>
      <c r="O24" s="408">
        <f t="shared" si="10"/>
        <v>84547.638136940383</v>
      </c>
      <c r="P24" s="408">
        <f t="shared" si="10"/>
        <v>87108.352926915293</v>
      </c>
      <c r="Q24" s="408">
        <f t="shared" si="10"/>
        <v>89785.076036016631</v>
      </c>
      <c r="R24" s="408">
        <f t="shared" si="10"/>
        <v>92200.524527164205</v>
      </c>
      <c r="S24" s="408">
        <f t="shared" si="10"/>
        <v>94578.132264813554</v>
      </c>
      <c r="T24" s="408">
        <f t="shared" si="10"/>
        <v>97050.814151421189</v>
      </c>
      <c r="U24" s="408">
        <f t="shared" si="10"/>
        <v>99410.366694791606</v>
      </c>
      <c r="V24" s="408">
        <f t="shared" si="10"/>
        <v>102223.78415733195</v>
      </c>
      <c r="W24" s="408">
        <f t="shared" si="10"/>
        <v>104960.7466116802</v>
      </c>
      <c r="X24" s="408">
        <f t="shared" si="10"/>
        <v>107345.16562889089</v>
      </c>
      <c r="Y24" s="408">
        <f t="shared" si="10"/>
        <v>110638.58816957724</v>
      </c>
      <c r="Z24" s="408">
        <f t="shared" si="10"/>
        <v>113698.67846315603</v>
      </c>
      <c r="AA24" s="408">
        <f t="shared" si="10"/>
        <v>116663.43693819687</v>
      </c>
      <c r="AB24" s="408">
        <f t="shared" si="10"/>
        <v>120005.16244170643</v>
      </c>
      <c r="AC24" s="408">
        <f t="shared" si="10"/>
        <v>123053.46698922414</v>
      </c>
      <c r="AD24" s="408">
        <f t="shared" si="10"/>
        <v>125983.73425360018</v>
      </c>
      <c r="AE24" s="408">
        <f t="shared" si="10"/>
        <v>129924.11891953653</v>
      </c>
      <c r="AF24" s="408">
        <f t="shared" si="10"/>
        <v>133552.24115723919</v>
      </c>
      <c r="AG24" s="408">
        <f t="shared" si="10"/>
        <v>137078.77940123357</v>
      </c>
      <c r="AH24" s="408">
        <f t="shared" si="10"/>
        <v>141050.82436370815</v>
      </c>
      <c r="AI24" s="44">
        <f t="shared" si="10"/>
        <v>144788.93042964776</v>
      </c>
    </row>
    <row r="25" spans="1:35" ht="15.75" thickBot="1" x14ac:dyDescent="0.3">
      <c r="A25" s="45"/>
      <c r="B25" s="46"/>
      <c r="C25" s="77" t="s">
        <v>81</v>
      </c>
      <c r="D25" s="53"/>
      <c r="E25" s="407">
        <f t="shared" ref="E25:AI25" si="11">(E19*$T$3)/$T$1</f>
        <v>145.47468310371238</v>
      </c>
      <c r="F25" s="407">
        <f t="shared" si="11"/>
        <v>145.47468310371238</v>
      </c>
      <c r="G25" s="407">
        <f t="shared" si="11"/>
        <v>145.47468310371238</v>
      </c>
      <c r="H25" s="407">
        <f t="shared" si="11"/>
        <v>145.47468310371238</v>
      </c>
      <c r="I25" s="407">
        <f t="shared" si="11"/>
        <v>145.47468310371238</v>
      </c>
      <c r="J25" s="407">
        <f t="shared" si="11"/>
        <v>145.47468310371238</v>
      </c>
      <c r="K25" s="407">
        <f t="shared" si="11"/>
        <v>145.47468310371238</v>
      </c>
      <c r="L25" s="407">
        <f t="shared" si="11"/>
        <v>145.47468310371238</v>
      </c>
      <c r="M25" s="407">
        <f t="shared" si="11"/>
        <v>145.47468310371238</v>
      </c>
      <c r="N25" s="407">
        <f t="shared" si="11"/>
        <v>145.47468310371238</v>
      </c>
      <c r="O25" s="407">
        <f t="shared" si="11"/>
        <v>145.47468310371238</v>
      </c>
      <c r="P25" s="407">
        <f t="shared" si="11"/>
        <v>145.47468310371238</v>
      </c>
      <c r="Q25" s="407">
        <f t="shared" si="11"/>
        <v>145.47468310371238</v>
      </c>
      <c r="R25" s="407">
        <f t="shared" si="11"/>
        <v>145.47468310371238</v>
      </c>
      <c r="S25" s="407">
        <f t="shared" si="11"/>
        <v>145.47468310371238</v>
      </c>
      <c r="T25" s="407">
        <f t="shared" si="11"/>
        <v>145.47468310371238</v>
      </c>
      <c r="U25" s="407">
        <f t="shared" si="11"/>
        <v>145.47468310371238</v>
      </c>
      <c r="V25" s="407">
        <f t="shared" si="11"/>
        <v>145.47468310371238</v>
      </c>
      <c r="W25" s="407">
        <f t="shared" si="11"/>
        <v>145.47468310371238</v>
      </c>
      <c r="X25" s="407">
        <f t="shared" si="11"/>
        <v>145.47468310371238</v>
      </c>
      <c r="Y25" s="407">
        <f t="shared" si="11"/>
        <v>145.47468310371238</v>
      </c>
      <c r="Z25" s="407">
        <f t="shared" si="11"/>
        <v>145.47468310371238</v>
      </c>
      <c r="AA25" s="407">
        <f t="shared" si="11"/>
        <v>145.47468310371238</v>
      </c>
      <c r="AB25" s="407">
        <f t="shared" si="11"/>
        <v>145.47468310371238</v>
      </c>
      <c r="AC25" s="407">
        <f t="shared" si="11"/>
        <v>145.47468310371238</v>
      </c>
      <c r="AD25" s="407">
        <f t="shared" si="11"/>
        <v>145.47468310371238</v>
      </c>
      <c r="AE25" s="407">
        <f t="shared" si="11"/>
        <v>145.47468310371238</v>
      </c>
      <c r="AF25" s="407">
        <f t="shared" si="11"/>
        <v>145.47468310371238</v>
      </c>
      <c r="AG25" s="407">
        <f t="shared" si="11"/>
        <v>145.47468310371238</v>
      </c>
      <c r="AH25" s="407">
        <f t="shared" si="11"/>
        <v>145.47468310371238</v>
      </c>
      <c r="AI25" s="54">
        <f t="shared" si="11"/>
        <v>145.47468310371238</v>
      </c>
    </row>
    <row r="26" spans="1:35" x14ac:dyDescent="0.25">
      <c r="A26" s="51" t="s">
        <v>82</v>
      </c>
      <c r="B26" s="855" t="s">
        <v>83</v>
      </c>
      <c r="C26" s="855"/>
      <c r="D26" s="25"/>
      <c r="E26" s="26">
        <f t="shared" ref="E26:AI26" si="12">E15-$B$27</f>
        <v>2.4393600000000002</v>
      </c>
      <c r="F26" s="26">
        <f t="shared" si="12"/>
        <v>2.4568035570859998</v>
      </c>
      <c r="G26" s="26">
        <f t="shared" si="12"/>
        <v>2.5850600277320002</v>
      </c>
      <c r="H26" s="26">
        <f t="shared" si="12"/>
        <v>2.8271219647739998</v>
      </c>
      <c r="I26" s="26">
        <f t="shared" si="12"/>
        <v>2.9633779505400004</v>
      </c>
      <c r="J26" s="26">
        <f t="shared" si="12"/>
        <v>3.089979072192</v>
      </c>
      <c r="K26" s="26">
        <f t="shared" si="12"/>
        <v>3.2207516427180001</v>
      </c>
      <c r="L26" s="26">
        <f t="shared" si="12"/>
        <v>3.3549979351300001</v>
      </c>
      <c r="M26" s="26">
        <f t="shared" si="12"/>
        <v>3.4964290055580003</v>
      </c>
      <c r="N26" s="26">
        <f t="shared" si="12"/>
        <v>3.619916358012</v>
      </c>
      <c r="O26" s="26">
        <f t="shared" si="12"/>
        <v>3.8278322449500002</v>
      </c>
      <c r="P26" s="26">
        <f t="shared" si="12"/>
        <v>3.9614107639440004</v>
      </c>
      <c r="Q26" s="26">
        <f t="shared" si="12"/>
        <v>4.1031193191460007</v>
      </c>
      <c r="R26" s="26">
        <f t="shared" si="12"/>
        <v>4.2188456378820005</v>
      </c>
      <c r="S26" s="26">
        <f t="shared" si="12"/>
        <v>4.3287008019740005</v>
      </c>
      <c r="T26" s="26">
        <f t="shared" si="12"/>
        <v>4.4446236671140005</v>
      </c>
      <c r="U26" s="26">
        <f t="shared" si="12"/>
        <v>4.5477600542620005</v>
      </c>
      <c r="V26" s="26">
        <f t="shared" si="12"/>
        <v>4.6892288534420006</v>
      </c>
      <c r="W26" s="26">
        <f t="shared" si="12"/>
        <v>4.8210965774720007</v>
      </c>
      <c r="X26" s="26">
        <f t="shared" si="12"/>
        <v>4.9183768504920007</v>
      </c>
      <c r="Y26" s="26">
        <f t="shared" si="12"/>
        <v>5.0948789627580009</v>
      </c>
      <c r="Z26" s="26">
        <f t="shared" si="12"/>
        <v>5.2474201309539996</v>
      </c>
      <c r="AA26" s="26">
        <f t="shared" si="12"/>
        <v>5.3883876220880005</v>
      </c>
      <c r="AB26" s="26">
        <f t="shared" si="12"/>
        <v>5.5603430373520002</v>
      </c>
      <c r="AC26" s="26">
        <f t="shared" si="12"/>
        <v>5.702699736824</v>
      </c>
      <c r="AD26" s="26">
        <f t="shared" si="12"/>
        <v>5.8312143180199998</v>
      </c>
      <c r="AE26" s="26">
        <f t="shared" si="12"/>
        <v>6.0476450489440001</v>
      </c>
      <c r="AF26" s="26">
        <f t="shared" si="12"/>
        <v>6.2325467795480005</v>
      </c>
      <c r="AG26" s="26">
        <f t="shared" si="12"/>
        <v>6.4048565391720009</v>
      </c>
      <c r="AH26" s="26">
        <f t="shared" si="12"/>
        <v>6.6138762470300003</v>
      </c>
      <c r="AI26" s="27">
        <f t="shared" si="12"/>
        <v>6.7981905052759997</v>
      </c>
    </row>
    <row r="27" spans="1:35" x14ac:dyDescent="0.25">
      <c r="A27" s="52" t="s">
        <v>84</v>
      </c>
      <c r="B27" s="240">
        <f>'Fuel Factors'!I36</f>
        <v>-0.10307955827799997</v>
      </c>
      <c r="C27" s="403" t="s">
        <v>85</v>
      </c>
      <c r="D27" s="31"/>
      <c r="E27" s="506">
        <f t="shared" ref="E27:AI27" si="13">E26/$G$4</f>
        <v>0.36031905465288039</v>
      </c>
      <c r="F27" s="507">
        <f t="shared" si="13"/>
        <v>0.36289565097282128</v>
      </c>
      <c r="G27" s="506">
        <f t="shared" si="13"/>
        <v>0.3818404767698671</v>
      </c>
      <c r="H27" s="506">
        <f t="shared" si="13"/>
        <v>0.41759556348212701</v>
      </c>
      <c r="I27" s="506">
        <f t="shared" si="13"/>
        <v>0.43772200155686863</v>
      </c>
      <c r="J27" s="506">
        <f t="shared" si="13"/>
        <v>0.45642231494711966</v>
      </c>
      <c r="K27" s="506">
        <f t="shared" si="13"/>
        <v>0.4757387950838996</v>
      </c>
      <c r="L27" s="506">
        <f t="shared" si="13"/>
        <v>0.4955683803737076</v>
      </c>
      <c r="M27" s="506">
        <f t="shared" si="13"/>
        <v>0.51645923272644023</v>
      </c>
      <c r="N27" s="506">
        <f t="shared" si="13"/>
        <v>0.53469960975066477</v>
      </c>
      <c r="O27" s="506">
        <f t="shared" si="13"/>
        <v>0.56541096675775482</v>
      </c>
      <c r="P27" s="506">
        <f t="shared" si="13"/>
        <v>0.5851419149104875</v>
      </c>
      <c r="Q27" s="506">
        <f t="shared" si="13"/>
        <v>0.60607375467444624</v>
      </c>
      <c r="R27" s="506">
        <f t="shared" si="13"/>
        <v>0.6231677456251109</v>
      </c>
      <c r="S27" s="506">
        <f t="shared" si="13"/>
        <v>0.63939450546144772</v>
      </c>
      <c r="T27" s="506">
        <f t="shared" si="13"/>
        <v>0.65651752837725275</v>
      </c>
      <c r="U27" s="506">
        <f t="shared" si="13"/>
        <v>0.67175185439615959</v>
      </c>
      <c r="V27" s="506">
        <f t="shared" si="13"/>
        <v>0.69264827968124087</v>
      </c>
      <c r="W27" s="506">
        <f t="shared" si="13"/>
        <v>0.71212652547592337</v>
      </c>
      <c r="X27" s="506">
        <f t="shared" si="13"/>
        <v>0.7264958420224521</v>
      </c>
      <c r="Y27" s="506">
        <f t="shared" si="13"/>
        <v>0.75256705506026611</v>
      </c>
      <c r="Z27" s="506">
        <f t="shared" si="13"/>
        <v>0.7750989853698671</v>
      </c>
      <c r="AA27" s="506">
        <f t="shared" si="13"/>
        <v>0.79592136219911391</v>
      </c>
      <c r="AB27" s="506">
        <f t="shared" si="13"/>
        <v>0.82132098040649937</v>
      </c>
      <c r="AC27" s="506">
        <f t="shared" si="13"/>
        <v>0.84234855787651408</v>
      </c>
      <c r="AD27" s="506">
        <f t="shared" si="13"/>
        <v>0.86133150930871494</v>
      </c>
      <c r="AE27" s="506">
        <f t="shared" si="13"/>
        <v>0.89330059807149198</v>
      </c>
      <c r="AF27" s="506">
        <f t="shared" si="13"/>
        <v>0.92061252282836059</v>
      </c>
      <c r="AG27" s="506">
        <f t="shared" si="13"/>
        <v>0.94606448141388499</v>
      </c>
      <c r="AH27" s="506">
        <f t="shared" si="13"/>
        <v>0.97693888434711973</v>
      </c>
      <c r="AI27" s="33">
        <f t="shared" si="13"/>
        <v>1.0041640332756279</v>
      </c>
    </row>
    <row r="28" spans="1:35" x14ac:dyDescent="0.25">
      <c r="A28" s="28" t="s">
        <v>71</v>
      </c>
      <c r="B28" s="29"/>
      <c r="C28" s="404" t="s">
        <v>74</v>
      </c>
      <c r="D28" s="35"/>
      <c r="E28" s="402">
        <f t="shared" ref="E28:AI28" si="14">E27*$D$10</f>
        <v>27023.929098966029</v>
      </c>
      <c r="F28" s="402">
        <f t="shared" si="14"/>
        <v>27217.173822961595</v>
      </c>
      <c r="G28" s="402">
        <f t="shared" si="14"/>
        <v>28638.035757740032</v>
      </c>
      <c r="H28" s="402">
        <f t="shared" si="14"/>
        <v>31319.667261159524</v>
      </c>
      <c r="I28" s="402">
        <f t="shared" si="14"/>
        <v>32829.150116765144</v>
      </c>
      <c r="J28" s="402">
        <f t="shared" si="14"/>
        <v>34231.673621033973</v>
      </c>
      <c r="K28" s="402">
        <f t="shared" si="14"/>
        <v>35680.409631292467</v>
      </c>
      <c r="L28" s="402">
        <f t="shared" si="14"/>
        <v>37167.628528028072</v>
      </c>
      <c r="M28" s="402">
        <f t="shared" si="14"/>
        <v>38734.442454483018</v>
      </c>
      <c r="N28" s="402">
        <f t="shared" si="14"/>
        <v>40102.470731299858</v>
      </c>
      <c r="O28" s="402">
        <f t="shared" si="14"/>
        <v>42405.82250683161</v>
      </c>
      <c r="P28" s="402">
        <f t="shared" si="14"/>
        <v>43885.643618286565</v>
      </c>
      <c r="Q28" s="402">
        <f t="shared" si="14"/>
        <v>45455.531600583468</v>
      </c>
      <c r="R28" s="402">
        <f t="shared" si="14"/>
        <v>46737.580921883316</v>
      </c>
      <c r="S28" s="402">
        <f t="shared" si="14"/>
        <v>47954.587909608577</v>
      </c>
      <c r="T28" s="402">
        <f t="shared" si="14"/>
        <v>49238.814628293956</v>
      </c>
      <c r="U28" s="402">
        <f t="shared" si="14"/>
        <v>50381.389079711967</v>
      </c>
      <c r="V28" s="402">
        <f t="shared" si="14"/>
        <v>51948.620976093065</v>
      </c>
      <c r="W28" s="402">
        <f t="shared" si="14"/>
        <v>53409.489410694252</v>
      </c>
      <c r="X28" s="402">
        <f t="shared" si="14"/>
        <v>54487.188151683906</v>
      </c>
      <c r="Y28" s="402">
        <f t="shared" si="14"/>
        <v>56442.529129519957</v>
      </c>
      <c r="Z28" s="402">
        <f t="shared" si="14"/>
        <v>58132.423902740033</v>
      </c>
      <c r="AA28" s="402">
        <f t="shared" si="14"/>
        <v>59694.102164933545</v>
      </c>
      <c r="AB28" s="402">
        <f t="shared" si="14"/>
        <v>61599.073530487454</v>
      </c>
      <c r="AC28" s="402">
        <f t="shared" si="14"/>
        <v>63176.141840738557</v>
      </c>
      <c r="AD28" s="402">
        <f t="shared" si="14"/>
        <v>64599.863198153624</v>
      </c>
      <c r="AE28" s="402">
        <f t="shared" si="14"/>
        <v>66997.544855361892</v>
      </c>
      <c r="AF28" s="402">
        <f t="shared" si="14"/>
        <v>69045.93921212705</v>
      </c>
      <c r="AG28" s="402">
        <f t="shared" si="14"/>
        <v>70954.836106041374</v>
      </c>
      <c r="AH28" s="402">
        <f t="shared" si="14"/>
        <v>73270.416326033985</v>
      </c>
      <c r="AI28" s="37">
        <f t="shared" si="14"/>
        <v>75312.302495672091</v>
      </c>
    </row>
    <row r="29" spans="1:35" x14ac:dyDescent="0.25">
      <c r="A29" s="28" t="s">
        <v>73</v>
      </c>
      <c r="B29" s="1"/>
      <c r="C29" s="404" t="s">
        <v>75</v>
      </c>
      <c r="D29" s="53"/>
      <c r="E29" s="407">
        <f t="shared" ref="E29:AI29" si="15">$D$10/$G$4</f>
        <v>11078.286558345642</v>
      </c>
      <c r="F29" s="407">
        <f t="shared" si="15"/>
        <v>11078.286558345642</v>
      </c>
      <c r="G29" s="407">
        <f t="shared" si="15"/>
        <v>11078.286558345642</v>
      </c>
      <c r="H29" s="407">
        <f t="shared" si="15"/>
        <v>11078.286558345642</v>
      </c>
      <c r="I29" s="407">
        <f t="shared" si="15"/>
        <v>11078.286558345642</v>
      </c>
      <c r="J29" s="407">
        <f t="shared" si="15"/>
        <v>11078.286558345642</v>
      </c>
      <c r="K29" s="407">
        <f t="shared" si="15"/>
        <v>11078.286558345642</v>
      </c>
      <c r="L29" s="407">
        <f t="shared" si="15"/>
        <v>11078.286558345642</v>
      </c>
      <c r="M29" s="407">
        <f t="shared" si="15"/>
        <v>11078.286558345642</v>
      </c>
      <c r="N29" s="407">
        <f t="shared" si="15"/>
        <v>11078.286558345642</v>
      </c>
      <c r="O29" s="407">
        <f t="shared" si="15"/>
        <v>11078.286558345642</v>
      </c>
      <c r="P29" s="407">
        <f t="shared" si="15"/>
        <v>11078.286558345642</v>
      </c>
      <c r="Q29" s="407">
        <f t="shared" si="15"/>
        <v>11078.286558345642</v>
      </c>
      <c r="R29" s="407">
        <f t="shared" si="15"/>
        <v>11078.286558345642</v>
      </c>
      <c r="S29" s="407">
        <f t="shared" si="15"/>
        <v>11078.286558345642</v>
      </c>
      <c r="T29" s="407">
        <f t="shared" si="15"/>
        <v>11078.286558345642</v>
      </c>
      <c r="U29" s="407">
        <f t="shared" si="15"/>
        <v>11078.286558345642</v>
      </c>
      <c r="V29" s="407">
        <f t="shared" si="15"/>
        <v>11078.286558345642</v>
      </c>
      <c r="W29" s="407">
        <f t="shared" si="15"/>
        <v>11078.286558345642</v>
      </c>
      <c r="X29" s="407">
        <f t="shared" si="15"/>
        <v>11078.286558345642</v>
      </c>
      <c r="Y29" s="407">
        <f t="shared" si="15"/>
        <v>11078.286558345642</v>
      </c>
      <c r="Z29" s="407">
        <f t="shared" si="15"/>
        <v>11078.286558345642</v>
      </c>
      <c r="AA29" s="407">
        <f t="shared" si="15"/>
        <v>11078.286558345642</v>
      </c>
      <c r="AB29" s="407">
        <f t="shared" si="15"/>
        <v>11078.286558345642</v>
      </c>
      <c r="AC29" s="407">
        <f t="shared" si="15"/>
        <v>11078.286558345642</v>
      </c>
      <c r="AD29" s="407">
        <f t="shared" si="15"/>
        <v>11078.286558345642</v>
      </c>
      <c r="AE29" s="407">
        <f t="shared" si="15"/>
        <v>11078.286558345642</v>
      </c>
      <c r="AF29" s="407">
        <f t="shared" si="15"/>
        <v>11078.286558345642</v>
      </c>
      <c r="AG29" s="407">
        <f t="shared" si="15"/>
        <v>11078.286558345642</v>
      </c>
      <c r="AH29" s="407">
        <f t="shared" si="15"/>
        <v>11078.286558345642</v>
      </c>
      <c r="AI29" s="54">
        <f t="shared" si="15"/>
        <v>11078.286558345642</v>
      </c>
    </row>
    <row r="30" spans="1:35" x14ac:dyDescent="0.25">
      <c r="A30" s="38"/>
      <c r="B30" s="1"/>
      <c r="C30" s="404" t="s">
        <v>76</v>
      </c>
      <c r="D30" s="39"/>
      <c r="E30" s="475">
        <f t="shared" ref="E30:AI30" si="16">(E29/$P$5)*$N$5</f>
        <v>249.26144756277697</v>
      </c>
      <c r="F30" s="475">
        <f t="shared" si="16"/>
        <v>249.26144756277697</v>
      </c>
      <c r="G30" s="475">
        <f t="shared" si="16"/>
        <v>249.26144756277697</v>
      </c>
      <c r="H30" s="475">
        <f t="shared" si="16"/>
        <v>249.26144756277697</v>
      </c>
      <c r="I30" s="475">
        <f t="shared" si="16"/>
        <v>249.26144756277697</v>
      </c>
      <c r="J30" s="475">
        <f t="shared" si="16"/>
        <v>249.26144756277697</v>
      </c>
      <c r="K30" s="475">
        <f t="shared" si="16"/>
        <v>249.26144756277697</v>
      </c>
      <c r="L30" s="475">
        <f t="shared" si="16"/>
        <v>249.26144756277697</v>
      </c>
      <c r="M30" s="475">
        <f t="shared" si="16"/>
        <v>249.26144756277697</v>
      </c>
      <c r="N30" s="475">
        <f t="shared" si="16"/>
        <v>249.26144756277697</v>
      </c>
      <c r="O30" s="475">
        <f t="shared" si="16"/>
        <v>249.26144756277697</v>
      </c>
      <c r="P30" s="475">
        <f t="shared" si="16"/>
        <v>249.26144756277697</v>
      </c>
      <c r="Q30" s="475">
        <f t="shared" si="16"/>
        <v>249.26144756277697</v>
      </c>
      <c r="R30" s="475">
        <f t="shared" si="16"/>
        <v>249.26144756277697</v>
      </c>
      <c r="S30" s="475">
        <f t="shared" si="16"/>
        <v>249.26144756277697</v>
      </c>
      <c r="T30" s="475">
        <f t="shared" si="16"/>
        <v>249.26144756277697</v>
      </c>
      <c r="U30" s="475">
        <f t="shared" si="16"/>
        <v>249.26144756277697</v>
      </c>
      <c r="V30" s="475">
        <f t="shared" si="16"/>
        <v>249.26144756277697</v>
      </c>
      <c r="W30" s="475">
        <f t="shared" si="16"/>
        <v>249.26144756277697</v>
      </c>
      <c r="X30" s="475">
        <f t="shared" si="16"/>
        <v>249.26144756277697</v>
      </c>
      <c r="Y30" s="475">
        <f t="shared" si="16"/>
        <v>249.26144756277697</v>
      </c>
      <c r="Z30" s="475">
        <f t="shared" si="16"/>
        <v>249.26144756277697</v>
      </c>
      <c r="AA30" s="475">
        <f t="shared" si="16"/>
        <v>249.26144756277697</v>
      </c>
      <c r="AB30" s="475">
        <f t="shared" si="16"/>
        <v>249.26144756277697</v>
      </c>
      <c r="AC30" s="475">
        <f t="shared" si="16"/>
        <v>249.26144756277697</v>
      </c>
      <c r="AD30" s="475">
        <f t="shared" si="16"/>
        <v>249.26144756277697</v>
      </c>
      <c r="AE30" s="475">
        <f t="shared" si="16"/>
        <v>249.26144756277697</v>
      </c>
      <c r="AF30" s="475">
        <f t="shared" si="16"/>
        <v>249.26144756277697</v>
      </c>
      <c r="AG30" s="475">
        <f t="shared" si="16"/>
        <v>249.26144756277697</v>
      </c>
      <c r="AH30" s="475">
        <f t="shared" si="16"/>
        <v>249.26144756277697</v>
      </c>
      <c r="AI30" s="55">
        <f t="shared" si="16"/>
        <v>249.26144756277697</v>
      </c>
    </row>
    <row r="31" spans="1:35" x14ac:dyDescent="0.25">
      <c r="A31" s="38"/>
      <c r="B31" s="1"/>
      <c r="C31" s="404" t="s">
        <v>77</v>
      </c>
      <c r="D31" s="35"/>
      <c r="E31" s="402">
        <f>E30*$N$3</f>
        <v>498.52289512555393</v>
      </c>
      <c r="F31" s="402">
        <f t="shared" ref="F31:AI31" si="17">E31*(1+$D$12)</f>
        <v>510.48744460856722</v>
      </c>
      <c r="G31" s="402">
        <f t="shared" si="17"/>
        <v>522.73914327917282</v>
      </c>
      <c r="H31" s="402">
        <f t="shared" si="17"/>
        <v>535.28488271787296</v>
      </c>
      <c r="I31" s="402">
        <f t="shared" si="17"/>
        <v>548.13171990310195</v>
      </c>
      <c r="J31" s="402">
        <f t="shared" si="17"/>
        <v>561.28688118077639</v>
      </c>
      <c r="K31" s="402">
        <f t="shared" si="17"/>
        <v>574.75776632911504</v>
      </c>
      <c r="L31" s="402">
        <f t="shared" si="17"/>
        <v>588.55195272101378</v>
      </c>
      <c r="M31" s="402">
        <f t="shared" si="17"/>
        <v>602.67719958631812</v>
      </c>
      <c r="N31" s="402">
        <f t="shared" si="17"/>
        <v>617.14145237638979</v>
      </c>
      <c r="O31" s="402">
        <f t="shared" si="17"/>
        <v>631.9528472334232</v>
      </c>
      <c r="P31" s="402">
        <f t="shared" si="17"/>
        <v>647.11971556702542</v>
      </c>
      <c r="Q31" s="402">
        <f t="shared" si="17"/>
        <v>662.65058874063402</v>
      </c>
      <c r="R31" s="402">
        <f t="shared" si="17"/>
        <v>678.5542028704092</v>
      </c>
      <c r="S31" s="402">
        <f t="shared" si="17"/>
        <v>694.83950373929906</v>
      </c>
      <c r="T31" s="402">
        <f t="shared" si="17"/>
        <v>711.51565182904221</v>
      </c>
      <c r="U31" s="402">
        <f t="shared" si="17"/>
        <v>728.59202747293921</v>
      </c>
      <c r="V31" s="402">
        <f t="shared" si="17"/>
        <v>746.07823613228982</v>
      </c>
      <c r="W31" s="402">
        <f t="shared" si="17"/>
        <v>763.98411379946481</v>
      </c>
      <c r="X31" s="402">
        <f t="shared" si="17"/>
        <v>782.319732530652</v>
      </c>
      <c r="Y31" s="402">
        <f t="shared" si="17"/>
        <v>801.09540611138766</v>
      </c>
      <c r="Z31" s="402">
        <f t="shared" si="17"/>
        <v>820.32169585806093</v>
      </c>
      <c r="AA31" s="402">
        <f t="shared" si="17"/>
        <v>840.00941655865438</v>
      </c>
      <c r="AB31" s="402">
        <f t="shared" si="17"/>
        <v>860.16964255606206</v>
      </c>
      <c r="AC31" s="402">
        <f t="shared" si="17"/>
        <v>880.81371397740759</v>
      </c>
      <c r="AD31" s="402">
        <f t="shared" si="17"/>
        <v>901.95324311286538</v>
      </c>
      <c r="AE31" s="402">
        <f t="shared" si="17"/>
        <v>923.60012094757417</v>
      </c>
      <c r="AF31" s="402">
        <f t="shared" si="17"/>
        <v>945.76652385031593</v>
      </c>
      <c r="AG31" s="402">
        <f t="shared" si="17"/>
        <v>968.46492042272348</v>
      </c>
      <c r="AH31" s="402">
        <f t="shared" si="17"/>
        <v>991.70807851286884</v>
      </c>
      <c r="AI31" s="37">
        <f t="shared" si="17"/>
        <v>1015.5090723971778</v>
      </c>
    </row>
    <row r="32" spans="1:35" x14ac:dyDescent="0.25">
      <c r="A32" s="38"/>
      <c r="B32" s="1"/>
      <c r="C32" s="404" t="s">
        <v>78</v>
      </c>
      <c r="D32" s="42"/>
      <c r="E32" s="408">
        <f t="shared" ref="E32:AI32" si="18">E28+E31</f>
        <v>27522.451994091582</v>
      </c>
      <c r="F32" s="408">
        <f t="shared" si="18"/>
        <v>27727.661267570162</v>
      </c>
      <c r="G32" s="408">
        <f t="shared" si="18"/>
        <v>29160.774901019206</v>
      </c>
      <c r="H32" s="408">
        <f t="shared" si="18"/>
        <v>31854.952143877395</v>
      </c>
      <c r="I32" s="408">
        <f t="shared" si="18"/>
        <v>33377.281836668248</v>
      </c>
      <c r="J32" s="408">
        <f t="shared" si="18"/>
        <v>34792.960502214752</v>
      </c>
      <c r="K32" s="408">
        <f t="shared" si="18"/>
        <v>36255.167397621582</v>
      </c>
      <c r="L32" s="408">
        <f t="shared" si="18"/>
        <v>37756.180480749084</v>
      </c>
      <c r="M32" s="408">
        <f t="shared" si="18"/>
        <v>39337.119654069335</v>
      </c>
      <c r="N32" s="408">
        <f t="shared" si="18"/>
        <v>40719.612183676247</v>
      </c>
      <c r="O32" s="408">
        <f t="shared" si="18"/>
        <v>43037.77535406503</v>
      </c>
      <c r="P32" s="408">
        <f t="shared" si="18"/>
        <v>44532.763333853589</v>
      </c>
      <c r="Q32" s="408">
        <f t="shared" si="18"/>
        <v>46118.182189324099</v>
      </c>
      <c r="R32" s="408">
        <f t="shared" si="18"/>
        <v>47416.135124753724</v>
      </c>
      <c r="S32" s="408">
        <f t="shared" si="18"/>
        <v>48649.427413347876</v>
      </c>
      <c r="T32" s="408">
        <f t="shared" si="18"/>
        <v>49950.330280122995</v>
      </c>
      <c r="U32" s="408">
        <f t="shared" si="18"/>
        <v>51109.981107184904</v>
      </c>
      <c r="V32" s="408">
        <f t="shared" si="18"/>
        <v>52694.699212225358</v>
      </c>
      <c r="W32" s="408">
        <f t="shared" si="18"/>
        <v>54173.473524493718</v>
      </c>
      <c r="X32" s="408">
        <f t="shared" si="18"/>
        <v>55269.507884214559</v>
      </c>
      <c r="Y32" s="408">
        <f t="shared" si="18"/>
        <v>57243.624535631345</v>
      </c>
      <c r="Z32" s="408">
        <f t="shared" si="18"/>
        <v>58952.745598598092</v>
      </c>
      <c r="AA32" s="408">
        <f t="shared" si="18"/>
        <v>60534.111581492201</v>
      </c>
      <c r="AB32" s="408">
        <f t="shared" si="18"/>
        <v>62459.243173043513</v>
      </c>
      <c r="AC32" s="408">
        <f t="shared" si="18"/>
        <v>64056.955554715962</v>
      </c>
      <c r="AD32" s="408">
        <f t="shared" si="18"/>
        <v>65501.816441266492</v>
      </c>
      <c r="AE32" s="408">
        <f t="shared" si="18"/>
        <v>67921.144976309472</v>
      </c>
      <c r="AF32" s="408">
        <f t="shared" si="18"/>
        <v>69991.705735977361</v>
      </c>
      <c r="AG32" s="408">
        <f t="shared" si="18"/>
        <v>71923.301026464091</v>
      </c>
      <c r="AH32" s="408">
        <f t="shared" si="18"/>
        <v>74262.124404546848</v>
      </c>
      <c r="AI32" s="44">
        <f t="shared" si="18"/>
        <v>76327.811568069272</v>
      </c>
    </row>
    <row r="33" spans="1:35" x14ac:dyDescent="0.25">
      <c r="A33" s="38"/>
      <c r="B33" s="1"/>
      <c r="C33" s="404" t="s">
        <v>79</v>
      </c>
      <c r="D33" s="35"/>
      <c r="E33" s="402">
        <f>$D$10*$G$12</f>
        <v>35250</v>
      </c>
      <c r="F33" s="402">
        <f t="shared" ref="F33:AI33" si="19">E33*(1+$D$12)</f>
        <v>36096</v>
      </c>
      <c r="G33" s="402">
        <f t="shared" si="19"/>
        <v>36962.304000000004</v>
      </c>
      <c r="H33" s="402">
        <f t="shared" si="19"/>
        <v>37849.399296000003</v>
      </c>
      <c r="I33" s="402">
        <f t="shared" si="19"/>
        <v>38757.784879104001</v>
      </c>
      <c r="J33" s="402">
        <f t="shared" si="19"/>
        <v>39687.971716202497</v>
      </c>
      <c r="K33" s="402">
        <f t="shared" si="19"/>
        <v>40640.483037391357</v>
      </c>
      <c r="L33" s="402">
        <f t="shared" si="19"/>
        <v>41615.854630288748</v>
      </c>
      <c r="M33" s="402">
        <f t="shared" si="19"/>
        <v>42614.635141415682</v>
      </c>
      <c r="N33" s="402">
        <f t="shared" si="19"/>
        <v>43637.386384809659</v>
      </c>
      <c r="O33" s="402">
        <f t="shared" si="19"/>
        <v>44684.683658045091</v>
      </c>
      <c r="P33" s="402">
        <f t="shared" si="19"/>
        <v>45757.11606583817</v>
      </c>
      <c r="Q33" s="402">
        <f t="shared" si="19"/>
        <v>46855.286851418285</v>
      </c>
      <c r="R33" s="402">
        <f t="shared" si="19"/>
        <v>47979.813735852324</v>
      </c>
      <c r="S33" s="402">
        <f t="shared" si="19"/>
        <v>49131.329265512781</v>
      </c>
      <c r="T33" s="402">
        <f t="shared" si="19"/>
        <v>50310.481167885089</v>
      </c>
      <c r="U33" s="402">
        <f t="shared" si="19"/>
        <v>51517.932715914336</v>
      </c>
      <c r="V33" s="402">
        <f t="shared" si="19"/>
        <v>52754.363101096278</v>
      </c>
      <c r="W33" s="402">
        <f t="shared" si="19"/>
        <v>54020.467815522592</v>
      </c>
      <c r="X33" s="402">
        <f t="shared" si="19"/>
        <v>55316.959043095136</v>
      </c>
      <c r="Y33" s="402">
        <f t="shared" si="19"/>
        <v>56644.566060129422</v>
      </c>
      <c r="Z33" s="402">
        <f t="shared" si="19"/>
        <v>58004.035645572527</v>
      </c>
      <c r="AA33" s="402">
        <f t="shared" si="19"/>
        <v>59396.132501066269</v>
      </c>
      <c r="AB33" s="402">
        <f t="shared" si="19"/>
        <v>60821.63968109186</v>
      </c>
      <c r="AC33" s="402">
        <f t="shared" si="19"/>
        <v>62281.359033438064</v>
      </c>
      <c r="AD33" s="402">
        <f t="shared" si="19"/>
        <v>63776.111650240578</v>
      </c>
      <c r="AE33" s="402">
        <f t="shared" si="19"/>
        <v>65306.738329846354</v>
      </c>
      <c r="AF33" s="402">
        <f t="shared" si="19"/>
        <v>66874.100049762666</v>
      </c>
      <c r="AG33" s="402">
        <f t="shared" si="19"/>
        <v>68479.078450956978</v>
      </c>
      <c r="AH33" s="402">
        <f t="shared" si="19"/>
        <v>70122.576333779944</v>
      </c>
      <c r="AI33" s="37">
        <f t="shared" si="19"/>
        <v>71805.518165790665</v>
      </c>
    </row>
    <row r="34" spans="1:35" x14ac:dyDescent="0.25">
      <c r="A34" s="38"/>
      <c r="B34" s="1"/>
      <c r="C34" s="404" t="s">
        <v>80</v>
      </c>
      <c r="D34" s="42"/>
      <c r="E34" s="408">
        <f t="shared" ref="E34:AI34" si="20">E28+E33</f>
        <v>62273.929098966029</v>
      </c>
      <c r="F34" s="408">
        <f t="shared" si="20"/>
        <v>63313.173822961595</v>
      </c>
      <c r="G34" s="408">
        <f t="shared" si="20"/>
        <v>65600.339757740032</v>
      </c>
      <c r="H34" s="408">
        <f t="shared" si="20"/>
        <v>69169.066557159531</v>
      </c>
      <c r="I34" s="408">
        <f t="shared" si="20"/>
        <v>71586.934995869145</v>
      </c>
      <c r="J34" s="408">
        <f t="shared" si="20"/>
        <v>73919.645337236463</v>
      </c>
      <c r="K34" s="408">
        <f t="shared" si="20"/>
        <v>76320.892668683824</v>
      </c>
      <c r="L34" s="408">
        <f t="shared" si="20"/>
        <v>78783.483158316812</v>
      </c>
      <c r="M34" s="408">
        <f t="shared" si="20"/>
        <v>81349.077595898707</v>
      </c>
      <c r="N34" s="408">
        <f t="shared" si="20"/>
        <v>83739.857116109517</v>
      </c>
      <c r="O34" s="408">
        <f t="shared" si="20"/>
        <v>87090.5061648767</v>
      </c>
      <c r="P34" s="408">
        <f t="shared" si="20"/>
        <v>89642.759684124729</v>
      </c>
      <c r="Q34" s="408">
        <f t="shared" si="20"/>
        <v>92310.818452001753</v>
      </c>
      <c r="R34" s="408">
        <f t="shared" si="20"/>
        <v>94717.39465773564</v>
      </c>
      <c r="S34" s="408">
        <f t="shared" si="20"/>
        <v>97085.917175121358</v>
      </c>
      <c r="T34" s="408">
        <f t="shared" si="20"/>
        <v>99549.295796179038</v>
      </c>
      <c r="U34" s="408">
        <f t="shared" si="20"/>
        <v>101899.32179562631</v>
      </c>
      <c r="V34" s="408">
        <f t="shared" si="20"/>
        <v>104702.98407718935</v>
      </c>
      <c r="W34" s="408">
        <f t="shared" si="20"/>
        <v>107429.95722621685</v>
      </c>
      <c r="X34" s="408">
        <f t="shared" si="20"/>
        <v>109804.14719477904</v>
      </c>
      <c r="Y34" s="408">
        <f t="shared" si="20"/>
        <v>113087.09518964938</v>
      </c>
      <c r="Z34" s="408">
        <f t="shared" si="20"/>
        <v>116136.45954831256</v>
      </c>
      <c r="AA34" s="408">
        <f t="shared" si="20"/>
        <v>119090.23466599981</v>
      </c>
      <c r="AB34" s="408">
        <f t="shared" si="20"/>
        <v>122420.71321157931</v>
      </c>
      <c r="AC34" s="408">
        <f t="shared" si="20"/>
        <v>125457.50087417662</v>
      </c>
      <c r="AD34" s="408">
        <f t="shared" si="20"/>
        <v>128375.97484839419</v>
      </c>
      <c r="AE34" s="408">
        <f t="shared" si="20"/>
        <v>132304.28318520825</v>
      </c>
      <c r="AF34" s="408">
        <f t="shared" si="20"/>
        <v>135920.0392618897</v>
      </c>
      <c r="AG34" s="408">
        <f t="shared" si="20"/>
        <v>139433.91455699835</v>
      </c>
      <c r="AH34" s="408">
        <f t="shared" si="20"/>
        <v>143392.99265981393</v>
      </c>
      <c r="AI34" s="44">
        <f t="shared" si="20"/>
        <v>147117.82066146276</v>
      </c>
    </row>
    <row r="35" spans="1:35" x14ac:dyDescent="0.25">
      <c r="A35" s="38"/>
      <c r="B35" s="1"/>
      <c r="C35" s="404" t="s">
        <v>86</v>
      </c>
      <c r="D35" s="42"/>
      <c r="E35" s="408">
        <f t="shared" ref="E35:AI35" si="21">E34-E24</f>
        <v>1777.9249162027118</v>
      </c>
      <c r="F35" s="408">
        <f t="shared" si="21"/>
        <v>2610.6309723326922</v>
      </c>
      <c r="G35" s="408">
        <f t="shared" si="21"/>
        <v>2603.7960122713412</v>
      </c>
      <c r="H35" s="408">
        <f t="shared" si="21"/>
        <v>2596.7970131685142</v>
      </c>
      <c r="I35" s="408">
        <f t="shared" si="21"/>
        <v>2589.6300380872126</v>
      </c>
      <c r="J35" s="408">
        <f t="shared" si="21"/>
        <v>2582.2910556039569</v>
      </c>
      <c r="K35" s="408">
        <f t="shared" si="21"/>
        <v>2574.7759375411115</v>
      </c>
      <c r="L35" s="408">
        <f t="shared" si="21"/>
        <v>2567.0804566447623</v>
      </c>
      <c r="M35" s="408">
        <f t="shared" si="21"/>
        <v>2559.2002842069051</v>
      </c>
      <c r="N35" s="408">
        <f t="shared" si="21"/>
        <v>2551.1309876305313</v>
      </c>
      <c r="O35" s="408">
        <f t="shared" si="21"/>
        <v>2542.868027936318</v>
      </c>
      <c r="P35" s="408">
        <f t="shared" si="21"/>
        <v>2534.4067572094355</v>
      </c>
      <c r="Q35" s="408">
        <f t="shared" si="21"/>
        <v>2525.7424159851216</v>
      </c>
      <c r="R35" s="408">
        <f t="shared" si="21"/>
        <v>2516.8701305714349</v>
      </c>
      <c r="S35" s="408">
        <f t="shared" si="21"/>
        <v>2507.7849103078042</v>
      </c>
      <c r="T35" s="408">
        <f t="shared" si="21"/>
        <v>2498.4816447578487</v>
      </c>
      <c r="U35" s="408">
        <f t="shared" si="21"/>
        <v>2488.9551008347044</v>
      </c>
      <c r="V35" s="408">
        <f t="shared" si="21"/>
        <v>2479.1999198574049</v>
      </c>
      <c r="W35" s="408">
        <f t="shared" si="21"/>
        <v>2469.2106145366561</v>
      </c>
      <c r="X35" s="408">
        <f t="shared" si="21"/>
        <v>2458.9815658881562</v>
      </c>
      <c r="Y35" s="408">
        <f t="shared" si="21"/>
        <v>2448.5070200721384</v>
      </c>
      <c r="Z35" s="408">
        <f t="shared" si="21"/>
        <v>2437.78108515653</v>
      </c>
      <c r="AA35" s="408">
        <f t="shared" si="21"/>
        <v>2426.797727802943</v>
      </c>
      <c r="AB35" s="408">
        <f t="shared" si="21"/>
        <v>2415.5507698728761</v>
      </c>
      <c r="AC35" s="408">
        <f t="shared" si="21"/>
        <v>2404.0338849524851</v>
      </c>
      <c r="AD35" s="408">
        <f t="shared" si="21"/>
        <v>2392.2405947940133</v>
      </c>
      <c r="AE35" s="408">
        <f t="shared" si="21"/>
        <v>2380.1642656717158</v>
      </c>
      <c r="AF35" s="408">
        <f t="shared" si="21"/>
        <v>2367.7981046505156</v>
      </c>
      <c r="AG35" s="408">
        <f t="shared" si="21"/>
        <v>2355.1351557647868</v>
      </c>
      <c r="AH35" s="408">
        <f t="shared" si="21"/>
        <v>2342.1682961057813</v>
      </c>
      <c r="AI35" s="44">
        <f t="shared" si="21"/>
        <v>2328.8902318149921</v>
      </c>
    </row>
    <row r="36" spans="1:35" x14ac:dyDescent="0.25">
      <c r="A36" s="38"/>
      <c r="B36" s="1"/>
      <c r="C36" s="404" t="s">
        <v>87</v>
      </c>
      <c r="D36" s="53"/>
      <c r="E36" s="407">
        <f t="shared" ref="E36:AI36" si="22">(E29*$T$4)/$T$1</f>
        <v>131.60559414460198</v>
      </c>
      <c r="F36" s="407">
        <f t="shared" si="22"/>
        <v>131.60559414460198</v>
      </c>
      <c r="G36" s="407">
        <f t="shared" si="22"/>
        <v>131.60559414460198</v>
      </c>
      <c r="H36" s="407">
        <f t="shared" si="22"/>
        <v>131.60559414460198</v>
      </c>
      <c r="I36" s="407">
        <f t="shared" si="22"/>
        <v>131.60559414460198</v>
      </c>
      <c r="J36" s="407">
        <f t="shared" si="22"/>
        <v>131.60559414460198</v>
      </c>
      <c r="K36" s="407">
        <f t="shared" si="22"/>
        <v>131.60559414460198</v>
      </c>
      <c r="L36" s="407">
        <f t="shared" si="22"/>
        <v>131.60559414460198</v>
      </c>
      <c r="M36" s="407">
        <f t="shared" si="22"/>
        <v>131.60559414460198</v>
      </c>
      <c r="N36" s="407">
        <f t="shared" si="22"/>
        <v>131.60559414460198</v>
      </c>
      <c r="O36" s="407">
        <f t="shared" si="22"/>
        <v>131.60559414460198</v>
      </c>
      <c r="P36" s="407">
        <f t="shared" si="22"/>
        <v>131.60559414460198</v>
      </c>
      <c r="Q36" s="407">
        <f t="shared" si="22"/>
        <v>131.60559414460198</v>
      </c>
      <c r="R36" s="407">
        <f t="shared" si="22"/>
        <v>131.60559414460198</v>
      </c>
      <c r="S36" s="407">
        <f t="shared" si="22"/>
        <v>131.60559414460198</v>
      </c>
      <c r="T36" s="407">
        <f t="shared" si="22"/>
        <v>131.60559414460198</v>
      </c>
      <c r="U36" s="407">
        <f t="shared" si="22"/>
        <v>131.60559414460198</v>
      </c>
      <c r="V36" s="407">
        <f t="shared" si="22"/>
        <v>131.60559414460198</v>
      </c>
      <c r="W36" s="407">
        <f t="shared" si="22"/>
        <v>131.60559414460198</v>
      </c>
      <c r="X36" s="407">
        <f t="shared" si="22"/>
        <v>131.60559414460198</v>
      </c>
      <c r="Y36" s="407">
        <f t="shared" si="22"/>
        <v>131.60559414460198</v>
      </c>
      <c r="Z36" s="407">
        <f t="shared" si="22"/>
        <v>131.60559414460198</v>
      </c>
      <c r="AA36" s="407">
        <f t="shared" si="22"/>
        <v>131.60559414460198</v>
      </c>
      <c r="AB36" s="407">
        <f t="shared" si="22"/>
        <v>131.60559414460198</v>
      </c>
      <c r="AC36" s="407">
        <f t="shared" si="22"/>
        <v>131.60559414460198</v>
      </c>
      <c r="AD36" s="407">
        <f t="shared" si="22"/>
        <v>131.60559414460198</v>
      </c>
      <c r="AE36" s="407">
        <f t="shared" si="22"/>
        <v>131.60559414460198</v>
      </c>
      <c r="AF36" s="407">
        <f t="shared" si="22"/>
        <v>131.60559414460198</v>
      </c>
      <c r="AG36" s="407">
        <f t="shared" si="22"/>
        <v>131.60559414460198</v>
      </c>
      <c r="AH36" s="407">
        <f t="shared" si="22"/>
        <v>131.60559414460198</v>
      </c>
      <c r="AI36" s="54">
        <f t="shared" si="22"/>
        <v>131.60559414460198</v>
      </c>
    </row>
    <row r="37" spans="1:35" x14ac:dyDescent="0.25">
      <c r="A37" s="38"/>
      <c r="B37" s="1"/>
      <c r="C37" s="404" t="s">
        <v>88</v>
      </c>
      <c r="D37" s="53"/>
      <c r="E37" s="407">
        <f t="shared" ref="E37:AI37" si="23">E25-E36</f>
        <v>13.8690889591104</v>
      </c>
      <c r="F37" s="407">
        <f t="shared" si="23"/>
        <v>13.8690889591104</v>
      </c>
      <c r="G37" s="407">
        <f t="shared" si="23"/>
        <v>13.8690889591104</v>
      </c>
      <c r="H37" s="407">
        <f t="shared" si="23"/>
        <v>13.8690889591104</v>
      </c>
      <c r="I37" s="407">
        <f t="shared" si="23"/>
        <v>13.8690889591104</v>
      </c>
      <c r="J37" s="407">
        <f t="shared" si="23"/>
        <v>13.8690889591104</v>
      </c>
      <c r="K37" s="407">
        <f t="shared" si="23"/>
        <v>13.8690889591104</v>
      </c>
      <c r="L37" s="407">
        <f t="shared" si="23"/>
        <v>13.8690889591104</v>
      </c>
      <c r="M37" s="407">
        <f t="shared" si="23"/>
        <v>13.8690889591104</v>
      </c>
      <c r="N37" s="407">
        <f t="shared" si="23"/>
        <v>13.8690889591104</v>
      </c>
      <c r="O37" s="407">
        <f t="shared" si="23"/>
        <v>13.8690889591104</v>
      </c>
      <c r="P37" s="407">
        <f t="shared" si="23"/>
        <v>13.8690889591104</v>
      </c>
      <c r="Q37" s="407">
        <f t="shared" si="23"/>
        <v>13.8690889591104</v>
      </c>
      <c r="R37" s="407">
        <f t="shared" si="23"/>
        <v>13.8690889591104</v>
      </c>
      <c r="S37" s="407">
        <f t="shared" si="23"/>
        <v>13.8690889591104</v>
      </c>
      <c r="T37" s="407">
        <f t="shared" si="23"/>
        <v>13.8690889591104</v>
      </c>
      <c r="U37" s="407">
        <f t="shared" si="23"/>
        <v>13.8690889591104</v>
      </c>
      <c r="V37" s="407">
        <f t="shared" si="23"/>
        <v>13.8690889591104</v>
      </c>
      <c r="W37" s="407">
        <f t="shared" si="23"/>
        <v>13.8690889591104</v>
      </c>
      <c r="X37" s="407">
        <f t="shared" si="23"/>
        <v>13.8690889591104</v>
      </c>
      <c r="Y37" s="407">
        <f t="shared" si="23"/>
        <v>13.8690889591104</v>
      </c>
      <c r="Z37" s="407">
        <f t="shared" si="23"/>
        <v>13.8690889591104</v>
      </c>
      <c r="AA37" s="407">
        <f t="shared" si="23"/>
        <v>13.8690889591104</v>
      </c>
      <c r="AB37" s="407">
        <f t="shared" si="23"/>
        <v>13.8690889591104</v>
      </c>
      <c r="AC37" s="407">
        <f t="shared" si="23"/>
        <v>13.8690889591104</v>
      </c>
      <c r="AD37" s="407">
        <f t="shared" si="23"/>
        <v>13.8690889591104</v>
      </c>
      <c r="AE37" s="407">
        <f t="shared" si="23"/>
        <v>13.8690889591104</v>
      </c>
      <c r="AF37" s="407">
        <f t="shared" si="23"/>
        <v>13.8690889591104</v>
      </c>
      <c r="AG37" s="407">
        <f t="shared" si="23"/>
        <v>13.8690889591104</v>
      </c>
      <c r="AH37" s="407">
        <f t="shared" si="23"/>
        <v>13.8690889591104</v>
      </c>
      <c r="AI37" s="54">
        <f t="shared" si="23"/>
        <v>13.8690889591104</v>
      </c>
    </row>
    <row r="38" spans="1:35" ht="15.75" thickBot="1" x14ac:dyDescent="0.3">
      <c r="A38" s="45"/>
      <c r="B38" s="46"/>
      <c r="C38" s="77" t="s">
        <v>89</v>
      </c>
      <c r="D38" s="56"/>
      <c r="E38" s="57">
        <f t="shared" ref="E38:AI38" si="24">E35/E37</f>
        <v>128.19334575216052</v>
      </c>
      <c r="F38" s="57">
        <f t="shared" si="24"/>
        <v>188.23377512607325</v>
      </c>
      <c r="G38" s="57">
        <f t="shared" si="24"/>
        <v>187.74095544040375</v>
      </c>
      <c r="H38" s="57">
        <f t="shared" si="24"/>
        <v>187.23630808227793</v>
      </c>
      <c r="I38" s="57">
        <f t="shared" si="24"/>
        <v>186.71954918755662</v>
      </c>
      <c r="J38" s="57">
        <f t="shared" si="24"/>
        <v>186.19038807936178</v>
      </c>
      <c r="K38" s="57">
        <f t="shared" si="24"/>
        <v>185.64852710457086</v>
      </c>
      <c r="L38" s="57">
        <f t="shared" si="24"/>
        <v>185.0936614663853</v>
      </c>
      <c r="M38" s="57">
        <f t="shared" si="24"/>
        <v>184.52547905288358</v>
      </c>
      <c r="N38" s="57">
        <f t="shared" si="24"/>
        <v>183.94366026145727</v>
      </c>
      <c r="O38" s="57">
        <f t="shared" si="24"/>
        <v>183.34787781903623</v>
      </c>
      <c r="P38" s="57">
        <f t="shared" si="24"/>
        <v>182.73779659799652</v>
      </c>
      <c r="Q38" s="57">
        <f t="shared" si="24"/>
        <v>182.11307342765284</v>
      </c>
      <c r="R38" s="57">
        <f t="shared" si="24"/>
        <v>181.47335690122171</v>
      </c>
      <c r="S38" s="57">
        <f t="shared" si="24"/>
        <v>180.81828717815509</v>
      </c>
      <c r="T38" s="57">
        <f t="shared" si="24"/>
        <v>180.14749578173505</v>
      </c>
      <c r="U38" s="57">
        <f t="shared" si="24"/>
        <v>179.46060539180164</v>
      </c>
      <c r="V38" s="57">
        <f t="shared" si="24"/>
        <v>178.75722963250988</v>
      </c>
      <c r="W38" s="57">
        <f t="shared" si="24"/>
        <v>178.0369728549955</v>
      </c>
      <c r="X38" s="57">
        <f t="shared" si="24"/>
        <v>177.29942991481698</v>
      </c>
      <c r="Y38" s="57">
        <f t="shared" si="24"/>
        <v>176.54418594407747</v>
      </c>
      <c r="Z38" s="57">
        <f t="shared" si="24"/>
        <v>175.77081611803979</v>
      </c>
      <c r="AA38" s="57">
        <f t="shared" si="24"/>
        <v>174.97888541617692</v>
      </c>
      <c r="AB38" s="57">
        <f t="shared" si="24"/>
        <v>174.16794837746977</v>
      </c>
      <c r="AC38" s="57">
        <f t="shared" si="24"/>
        <v>173.3375488498335</v>
      </c>
      <c r="AD38" s="57">
        <f t="shared" si="24"/>
        <v>172.48721973353454</v>
      </c>
      <c r="AE38" s="57">
        <f t="shared" si="24"/>
        <v>171.6164827184428</v>
      </c>
      <c r="AF38" s="57">
        <f t="shared" si="24"/>
        <v>170.72484801499121</v>
      </c>
      <c r="AG38" s="57">
        <f t="shared" si="24"/>
        <v>169.81181407865535</v>
      </c>
      <c r="AH38" s="57">
        <f t="shared" si="24"/>
        <v>168.87686732784604</v>
      </c>
      <c r="AI38" s="58">
        <f t="shared" si="24"/>
        <v>167.91948185501965</v>
      </c>
    </row>
    <row r="39" spans="1:35" x14ac:dyDescent="0.25">
      <c r="A39" s="51" t="s">
        <v>90</v>
      </c>
      <c r="B39" s="855" t="s">
        <v>91</v>
      </c>
      <c r="C39" s="861"/>
      <c r="D39" s="31"/>
      <c r="E39" s="506">
        <f t="shared" ref="E39:AI39" si="25">E15-$B$40</f>
        <v>2.4393600000000002</v>
      </c>
      <c r="F39" s="506">
        <f t="shared" si="25"/>
        <v>2.4568035570859998</v>
      </c>
      <c r="G39" s="506">
        <f t="shared" si="25"/>
        <v>2.5850600277320002</v>
      </c>
      <c r="H39" s="506">
        <f t="shared" si="25"/>
        <v>2.8271219647739998</v>
      </c>
      <c r="I39" s="506">
        <f t="shared" si="25"/>
        <v>2.9633779505400004</v>
      </c>
      <c r="J39" s="506">
        <f t="shared" si="25"/>
        <v>3.089979072192</v>
      </c>
      <c r="K39" s="506">
        <f t="shared" si="25"/>
        <v>3.2207516427180001</v>
      </c>
      <c r="L39" s="506">
        <f t="shared" si="25"/>
        <v>3.3549979351300001</v>
      </c>
      <c r="M39" s="506">
        <f t="shared" si="25"/>
        <v>3.4964290055580003</v>
      </c>
      <c r="N39" s="506">
        <f t="shared" si="25"/>
        <v>3.619916358012</v>
      </c>
      <c r="O39" s="506">
        <f t="shared" si="25"/>
        <v>3.8278322449500002</v>
      </c>
      <c r="P39" s="506">
        <f t="shared" si="25"/>
        <v>3.9614107639440004</v>
      </c>
      <c r="Q39" s="506">
        <f t="shared" si="25"/>
        <v>4.1031193191460007</v>
      </c>
      <c r="R39" s="506">
        <f t="shared" si="25"/>
        <v>4.2188456378820005</v>
      </c>
      <c r="S39" s="506">
        <f t="shared" si="25"/>
        <v>4.3287008019740005</v>
      </c>
      <c r="T39" s="506">
        <f t="shared" si="25"/>
        <v>4.4446236671140005</v>
      </c>
      <c r="U39" s="506">
        <f t="shared" si="25"/>
        <v>4.5477600542620005</v>
      </c>
      <c r="V39" s="506">
        <f t="shared" si="25"/>
        <v>4.6892288534420006</v>
      </c>
      <c r="W39" s="506">
        <f t="shared" si="25"/>
        <v>4.8210965774720007</v>
      </c>
      <c r="X39" s="506">
        <f t="shared" si="25"/>
        <v>4.9183768504920007</v>
      </c>
      <c r="Y39" s="506">
        <f t="shared" si="25"/>
        <v>5.0948789627580009</v>
      </c>
      <c r="Z39" s="506">
        <f t="shared" si="25"/>
        <v>5.2474201309539996</v>
      </c>
      <c r="AA39" s="506">
        <f t="shared" si="25"/>
        <v>5.3883876220880005</v>
      </c>
      <c r="AB39" s="506">
        <f t="shared" si="25"/>
        <v>5.5603430373520002</v>
      </c>
      <c r="AC39" s="506">
        <f t="shared" si="25"/>
        <v>5.702699736824</v>
      </c>
      <c r="AD39" s="506">
        <f t="shared" si="25"/>
        <v>5.8312143180199998</v>
      </c>
      <c r="AE39" s="506">
        <f t="shared" si="25"/>
        <v>6.0476450489440001</v>
      </c>
      <c r="AF39" s="506">
        <f t="shared" si="25"/>
        <v>6.2325467795480005</v>
      </c>
      <c r="AG39" s="506">
        <f t="shared" si="25"/>
        <v>6.4048565391720009</v>
      </c>
      <c r="AH39" s="506">
        <f t="shared" si="25"/>
        <v>6.6138762470300003</v>
      </c>
      <c r="AI39" s="33">
        <f t="shared" si="25"/>
        <v>6.7981905052759997</v>
      </c>
    </row>
    <row r="40" spans="1:35" x14ac:dyDescent="0.25">
      <c r="A40" s="59" t="s">
        <v>92</v>
      </c>
      <c r="B40" s="240">
        <f>'Fuel Factors'!I45</f>
        <v>-0.10307955827799997</v>
      </c>
      <c r="C40" s="30" t="s">
        <v>93</v>
      </c>
      <c r="D40" s="31"/>
      <c r="E40" s="32">
        <f t="shared" ref="E40:AI40" si="26">E39/$G$4</f>
        <v>0.36031905465288039</v>
      </c>
      <c r="F40" s="32">
        <f t="shared" si="26"/>
        <v>0.36289565097282128</v>
      </c>
      <c r="G40" s="32">
        <f t="shared" si="26"/>
        <v>0.3818404767698671</v>
      </c>
      <c r="H40" s="32">
        <f t="shared" si="26"/>
        <v>0.41759556348212701</v>
      </c>
      <c r="I40" s="32">
        <f t="shared" si="26"/>
        <v>0.43772200155686863</v>
      </c>
      <c r="J40" s="32">
        <f t="shared" si="26"/>
        <v>0.45642231494711966</v>
      </c>
      <c r="K40" s="32">
        <f t="shared" si="26"/>
        <v>0.4757387950838996</v>
      </c>
      <c r="L40" s="32">
        <f t="shared" si="26"/>
        <v>0.4955683803737076</v>
      </c>
      <c r="M40" s="32">
        <f t="shared" si="26"/>
        <v>0.51645923272644023</v>
      </c>
      <c r="N40" s="32">
        <f t="shared" si="26"/>
        <v>0.53469960975066477</v>
      </c>
      <c r="O40" s="32">
        <f t="shared" si="26"/>
        <v>0.56541096675775482</v>
      </c>
      <c r="P40" s="32">
        <f t="shared" si="26"/>
        <v>0.5851419149104875</v>
      </c>
      <c r="Q40" s="32">
        <f t="shared" si="26"/>
        <v>0.60607375467444624</v>
      </c>
      <c r="R40" s="32">
        <f t="shared" si="26"/>
        <v>0.6231677456251109</v>
      </c>
      <c r="S40" s="32">
        <f t="shared" si="26"/>
        <v>0.63939450546144772</v>
      </c>
      <c r="T40" s="32">
        <f t="shared" si="26"/>
        <v>0.65651752837725275</v>
      </c>
      <c r="U40" s="32">
        <f t="shared" si="26"/>
        <v>0.67175185439615959</v>
      </c>
      <c r="V40" s="32">
        <f t="shared" si="26"/>
        <v>0.69264827968124087</v>
      </c>
      <c r="W40" s="32">
        <f t="shared" si="26"/>
        <v>0.71212652547592337</v>
      </c>
      <c r="X40" s="32">
        <f t="shared" si="26"/>
        <v>0.7264958420224521</v>
      </c>
      <c r="Y40" s="32">
        <f t="shared" si="26"/>
        <v>0.75256705506026611</v>
      </c>
      <c r="Z40" s="32">
        <f t="shared" si="26"/>
        <v>0.7750989853698671</v>
      </c>
      <c r="AA40" s="32">
        <f t="shared" si="26"/>
        <v>0.79592136219911391</v>
      </c>
      <c r="AB40" s="32">
        <f t="shared" si="26"/>
        <v>0.82132098040649937</v>
      </c>
      <c r="AC40" s="32">
        <f t="shared" si="26"/>
        <v>0.84234855787651408</v>
      </c>
      <c r="AD40" s="32">
        <f t="shared" si="26"/>
        <v>0.86133150930871494</v>
      </c>
      <c r="AE40" s="32">
        <f t="shared" si="26"/>
        <v>0.89330059807149198</v>
      </c>
      <c r="AF40" s="32">
        <f t="shared" si="26"/>
        <v>0.92061252282836059</v>
      </c>
      <c r="AG40" s="32">
        <f t="shared" si="26"/>
        <v>0.94606448141388499</v>
      </c>
      <c r="AH40" s="32">
        <f t="shared" si="26"/>
        <v>0.97693888434711973</v>
      </c>
      <c r="AI40" s="33">
        <f t="shared" si="26"/>
        <v>1.0041640332756279</v>
      </c>
    </row>
    <row r="41" spans="1:35" x14ac:dyDescent="0.25">
      <c r="A41" s="28" t="s">
        <v>71</v>
      </c>
      <c r="B41" s="29"/>
      <c r="C41" s="34" t="s">
        <v>74</v>
      </c>
      <c r="D41" s="35"/>
      <c r="E41" s="36">
        <f t="shared" ref="E41:AI41" si="27">E40*$D$10</f>
        <v>27023.929098966029</v>
      </c>
      <c r="F41" s="36">
        <f t="shared" si="27"/>
        <v>27217.173822961595</v>
      </c>
      <c r="G41" s="36">
        <f t="shared" si="27"/>
        <v>28638.035757740032</v>
      </c>
      <c r="H41" s="36">
        <f t="shared" si="27"/>
        <v>31319.667261159524</v>
      </c>
      <c r="I41" s="36">
        <f t="shared" si="27"/>
        <v>32829.150116765144</v>
      </c>
      <c r="J41" s="36">
        <f t="shared" si="27"/>
        <v>34231.673621033973</v>
      </c>
      <c r="K41" s="36">
        <f t="shared" si="27"/>
        <v>35680.409631292467</v>
      </c>
      <c r="L41" s="36">
        <f t="shared" si="27"/>
        <v>37167.628528028072</v>
      </c>
      <c r="M41" s="36">
        <f t="shared" si="27"/>
        <v>38734.442454483018</v>
      </c>
      <c r="N41" s="36">
        <f t="shared" si="27"/>
        <v>40102.470731299858</v>
      </c>
      <c r="O41" s="36">
        <f t="shared" si="27"/>
        <v>42405.82250683161</v>
      </c>
      <c r="P41" s="36">
        <f t="shared" si="27"/>
        <v>43885.643618286565</v>
      </c>
      <c r="Q41" s="36">
        <f t="shared" si="27"/>
        <v>45455.531600583468</v>
      </c>
      <c r="R41" s="36">
        <f t="shared" si="27"/>
        <v>46737.580921883316</v>
      </c>
      <c r="S41" s="36">
        <f t="shared" si="27"/>
        <v>47954.587909608577</v>
      </c>
      <c r="T41" s="36">
        <f t="shared" si="27"/>
        <v>49238.814628293956</v>
      </c>
      <c r="U41" s="36">
        <f t="shared" si="27"/>
        <v>50381.389079711967</v>
      </c>
      <c r="V41" s="36">
        <f t="shared" si="27"/>
        <v>51948.620976093065</v>
      </c>
      <c r="W41" s="36">
        <f t="shared" si="27"/>
        <v>53409.489410694252</v>
      </c>
      <c r="X41" s="36">
        <f t="shared" si="27"/>
        <v>54487.188151683906</v>
      </c>
      <c r="Y41" s="36">
        <f t="shared" si="27"/>
        <v>56442.529129519957</v>
      </c>
      <c r="Z41" s="36">
        <f t="shared" si="27"/>
        <v>58132.423902740033</v>
      </c>
      <c r="AA41" s="36">
        <f t="shared" si="27"/>
        <v>59694.102164933545</v>
      </c>
      <c r="AB41" s="36">
        <f t="shared" si="27"/>
        <v>61599.073530487454</v>
      </c>
      <c r="AC41" s="36">
        <f t="shared" si="27"/>
        <v>63176.141840738557</v>
      </c>
      <c r="AD41" s="36">
        <f t="shared" si="27"/>
        <v>64599.863198153624</v>
      </c>
      <c r="AE41" s="36">
        <f t="shared" si="27"/>
        <v>66997.544855361892</v>
      </c>
      <c r="AF41" s="36">
        <f t="shared" si="27"/>
        <v>69045.93921212705</v>
      </c>
      <c r="AG41" s="36">
        <f t="shared" si="27"/>
        <v>70954.836106041374</v>
      </c>
      <c r="AH41" s="36">
        <f t="shared" si="27"/>
        <v>73270.416326033985</v>
      </c>
      <c r="AI41" s="37">
        <f t="shared" si="27"/>
        <v>75312.302495672091</v>
      </c>
    </row>
    <row r="42" spans="1:35" x14ac:dyDescent="0.25">
      <c r="A42" s="28" t="s">
        <v>73</v>
      </c>
      <c r="B42" s="1"/>
      <c r="C42" s="34" t="s">
        <v>75</v>
      </c>
      <c r="D42" s="53"/>
      <c r="E42" s="20">
        <f t="shared" ref="E42:AI42" si="28">$D$10/$G$4</f>
        <v>11078.286558345642</v>
      </c>
      <c r="F42" s="20">
        <f t="shared" si="28"/>
        <v>11078.286558345642</v>
      </c>
      <c r="G42" s="20">
        <f t="shared" si="28"/>
        <v>11078.286558345642</v>
      </c>
      <c r="H42" s="20">
        <f t="shared" si="28"/>
        <v>11078.286558345642</v>
      </c>
      <c r="I42" s="20">
        <f t="shared" si="28"/>
        <v>11078.286558345642</v>
      </c>
      <c r="J42" s="20">
        <f t="shared" si="28"/>
        <v>11078.286558345642</v>
      </c>
      <c r="K42" s="20">
        <f t="shared" si="28"/>
        <v>11078.286558345642</v>
      </c>
      <c r="L42" s="20">
        <f t="shared" si="28"/>
        <v>11078.286558345642</v>
      </c>
      <c r="M42" s="20">
        <f t="shared" si="28"/>
        <v>11078.286558345642</v>
      </c>
      <c r="N42" s="20">
        <f t="shared" si="28"/>
        <v>11078.286558345642</v>
      </c>
      <c r="O42" s="20">
        <f t="shared" si="28"/>
        <v>11078.286558345642</v>
      </c>
      <c r="P42" s="20">
        <f t="shared" si="28"/>
        <v>11078.286558345642</v>
      </c>
      <c r="Q42" s="20">
        <f t="shared" si="28"/>
        <v>11078.286558345642</v>
      </c>
      <c r="R42" s="20">
        <f t="shared" si="28"/>
        <v>11078.286558345642</v>
      </c>
      <c r="S42" s="20">
        <f t="shared" si="28"/>
        <v>11078.286558345642</v>
      </c>
      <c r="T42" s="20">
        <f t="shared" si="28"/>
        <v>11078.286558345642</v>
      </c>
      <c r="U42" s="20">
        <f t="shared" si="28"/>
        <v>11078.286558345642</v>
      </c>
      <c r="V42" s="20">
        <f t="shared" si="28"/>
        <v>11078.286558345642</v>
      </c>
      <c r="W42" s="20">
        <f t="shared" si="28"/>
        <v>11078.286558345642</v>
      </c>
      <c r="X42" s="20">
        <f t="shared" si="28"/>
        <v>11078.286558345642</v>
      </c>
      <c r="Y42" s="20">
        <f t="shared" si="28"/>
        <v>11078.286558345642</v>
      </c>
      <c r="Z42" s="20">
        <f t="shared" si="28"/>
        <v>11078.286558345642</v>
      </c>
      <c r="AA42" s="20">
        <f t="shared" si="28"/>
        <v>11078.286558345642</v>
      </c>
      <c r="AB42" s="20">
        <f t="shared" si="28"/>
        <v>11078.286558345642</v>
      </c>
      <c r="AC42" s="20">
        <f t="shared" si="28"/>
        <v>11078.286558345642</v>
      </c>
      <c r="AD42" s="20">
        <f t="shared" si="28"/>
        <v>11078.286558345642</v>
      </c>
      <c r="AE42" s="20">
        <f t="shared" si="28"/>
        <v>11078.286558345642</v>
      </c>
      <c r="AF42" s="20">
        <f t="shared" si="28"/>
        <v>11078.286558345642</v>
      </c>
      <c r="AG42" s="20">
        <f t="shared" si="28"/>
        <v>11078.286558345642</v>
      </c>
      <c r="AH42" s="20">
        <f t="shared" si="28"/>
        <v>11078.286558345642</v>
      </c>
      <c r="AI42" s="54">
        <f t="shared" si="28"/>
        <v>11078.286558345642</v>
      </c>
    </row>
    <row r="43" spans="1:35" x14ac:dyDescent="0.25">
      <c r="A43" s="38"/>
      <c r="B43" s="1"/>
      <c r="C43" s="34" t="s">
        <v>76</v>
      </c>
      <c r="D43" s="39"/>
      <c r="E43" s="40">
        <f t="shared" ref="E43:AI43" si="29">(E42/$P$5)*$N$5</f>
        <v>249.26144756277697</v>
      </c>
      <c r="F43" s="40">
        <f t="shared" si="29"/>
        <v>249.26144756277697</v>
      </c>
      <c r="G43" s="40">
        <f t="shared" si="29"/>
        <v>249.26144756277697</v>
      </c>
      <c r="H43" s="40">
        <f t="shared" si="29"/>
        <v>249.26144756277697</v>
      </c>
      <c r="I43" s="40">
        <f t="shared" si="29"/>
        <v>249.26144756277697</v>
      </c>
      <c r="J43" s="40">
        <f t="shared" si="29"/>
        <v>249.26144756277697</v>
      </c>
      <c r="K43" s="40">
        <f t="shared" si="29"/>
        <v>249.26144756277697</v>
      </c>
      <c r="L43" s="40">
        <f t="shared" si="29"/>
        <v>249.26144756277697</v>
      </c>
      <c r="M43" s="40">
        <f t="shared" si="29"/>
        <v>249.26144756277697</v>
      </c>
      <c r="N43" s="40">
        <f t="shared" si="29"/>
        <v>249.26144756277697</v>
      </c>
      <c r="O43" s="40">
        <f t="shared" si="29"/>
        <v>249.26144756277697</v>
      </c>
      <c r="P43" s="40">
        <f t="shared" si="29"/>
        <v>249.26144756277697</v>
      </c>
      <c r="Q43" s="40">
        <f t="shared" si="29"/>
        <v>249.26144756277697</v>
      </c>
      <c r="R43" s="40">
        <f t="shared" si="29"/>
        <v>249.26144756277697</v>
      </c>
      <c r="S43" s="40">
        <f t="shared" si="29"/>
        <v>249.26144756277697</v>
      </c>
      <c r="T43" s="40">
        <f t="shared" si="29"/>
        <v>249.26144756277697</v>
      </c>
      <c r="U43" s="40">
        <f t="shared" si="29"/>
        <v>249.26144756277697</v>
      </c>
      <c r="V43" s="40">
        <f t="shared" si="29"/>
        <v>249.26144756277697</v>
      </c>
      <c r="W43" s="40">
        <f t="shared" si="29"/>
        <v>249.26144756277697</v>
      </c>
      <c r="X43" s="40">
        <f t="shared" si="29"/>
        <v>249.26144756277697</v>
      </c>
      <c r="Y43" s="40">
        <f t="shared" si="29"/>
        <v>249.26144756277697</v>
      </c>
      <c r="Z43" s="40">
        <f t="shared" si="29"/>
        <v>249.26144756277697</v>
      </c>
      <c r="AA43" s="40">
        <f t="shared" si="29"/>
        <v>249.26144756277697</v>
      </c>
      <c r="AB43" s="40">
        <f t="shared" si="29"/>
        <v>249.26144756277697</v>
      </c>
      <c r="AC43" s="40">
        <f t="shared" si="29"/>
        <v>249.26144756277697</v>
      </c>
      <c r="AD43" s="40">
        <f t="shared" si="29"/>
        <v>249.26144756277697</v>
      </c>
      <c r="AE43" s="40">
        <f t="shared" si="29"/>
        <v>249.26144756277697</v>
      </c>
      <c r="AF43" s="40">
        <f t="shared" si="29"/>
        <v>249.26144756277697</v>
      </c>
      <c r="AG43" s="40">
        <f t="shared" si="29"/>
        <v>249.26144756277697</v>
      </c>
      <c r="AH43" s="40">
        <f t="shared" si="29"/>
        <v>249.26144756277697</v>
      </c>
      <c r="AI43" s="55">
        <f t="shared" si="29"/>
        <v>249.26144756277697</v>
      </c>
    </row>
    <row r="44" spans="1:35" x14ac:dyDescent="0.25">
      <c r="A44" s="38"/>
      <c r="B44" s="1"/>
      <c r="C44" s="34" t="s">
        <v>77</v>
      </c>
      <c r="D44" s="35"/>
      <c r="E44" s="36">
        <f>E43*N3</f>
        <v>498.52289512555393</v>
      </c>
      <c r="F44" s="36">
        <f t="shared" ref="F44:AI44" si="30">E44*(1+$D$12)</f>
        <v>510.48744460856722</v>
      </c>
      <c r="G44" s="36">
        <f t="shared" si="30"/>
        <v>522.73914327917282</v>
      </c>
      <c r="H44" s="36">
        <f t="shared" si="30"/>
        <v>535.28488271787296</v>
      </c>
      <c r="I44" s="36">
        <f t="shared" si="30"/>
        <v>548.13171990310195</v>
      </c>
      <c r="J44" s="36">
        <f t="shared" si="30"/>
        <v>561.28688118077639</v>
      </c>
      <c r="K44" s="36">
        <f t="shared" si="30"/>
        <v>574.75776632911504</v>
      </c>
      <c r="L44" s="36">
        <f t="shared" si="30"/>
        <v>588.55195272101378</v>
      </c>
      <c r="M44" s="36">
        <f t="shared" si="30"/>
        <v>602.67719958631812</v>
      </c>
      <c r="N44" s="36">
        <f t="shared" si="30"/>
        <v>617.14145237638979</v>
      </c>
      <c r="O44" s="36">
        <f t="shared" si="30"/>
        <v>631.9528472334232</v>
      </c>
      <c r="P44" s="36">
        <f t="shared" si="30"/>
        <v>647.11971556702542</v>
      </c>
      <c r="Q44" s="36">
        <f t="shared" si="30"/>
        <v>662.65058874063402</v>
      </c>
      <c r="R44" s="36">
        <f t="shared" si="30"/>
        <v>678.5542028704092</v>
      </c>
      <c r="S44" s="36">
        <f t="shared" si="30"/>
        <v>694.83950373929906</v>
      </c>
      <c r="T44" s="36">
        <f t="shared" si="30"/>
        <v>711.51565182904221</v>
      </c>
      <c r="U44" s="36">
        <f t="shared" si="30"/>
        <v>728.59202747293921</v>
      </c>
      <c r="V44" s="36">
        <f t="shared" si="30"/>
        <v>746.07823613228982</v>
      </c>
      <c r="W44" s="36">
        <f t="shared" si="30"/>
        <v>763.98411379946481</v>
      </c>
      <c r="X44" s="36">
        <f t="shared" si="30"/>
        <v>782.319732530652</v>
      </c>
      <c r="Y44" s="36">
        <f t="shared" si="30"/>
        <v>801.09540611138766</v>
      </c>
      <c r="Z44" s="36">
        <f t="shared" si="30"/>
        <v>820.32169585806093</v>
      </c>
      <c r="AA44" s="36">
        <f t="shared" si="30"/>
        <v>840.00941655865438</v>
      </c>
      <c r="AB44" s="36">
        <f t="shared" si="30"/>
        <v>860.16964255606206</v>
      </c>
      <c r="AC44" s="36">
        <f t="shared" si="30"/>
        <v>880.81371397740759</v>
      </c>
      <c r="AD44" s="36">
        <f t="shared" si="30"/>
        <v>901.95324311286538</v>
      </c>
      <c r="AE44" s="36">
        <f t="shared" si="30"/>
        <v>923.60012094757417</v>
      </c>
      <c r="AF44" s="36">
        <f t="shared" si="30"/>
        <v>945.76652385031593</v>
      </c>
      <c r="AG44" s="36">
        <f t="shared" si="30"/>
        <v>968.46492042272348</v>
      </c>
      <c r="AH44" s="36">
        <f t="shared" si="30"/>
        <v>991.70807851286884</v>
      </c>
      <c r="AI44" s="37">
        <f t="shared" si="30"/>
        <v>1015.5090723971778</v>
      </c>
    </row>
    <row r="45" spans="1:35" x14ac:dyDescent="0.25">
      <c r="A45" s="38"/>
      <c r="B45" s="1"/>
      <c r="C45" s="34" t="s">
        <v>78</v>
      </c>
      <c r="D45" s="42"/>
      <c r="E45" s="43">
        <f t="shared" ref="E45:AI45" si="31">E41+E44</f>
        <v>27522.451994091582</v>
      </c>
      <c r="F45" s="43">
        <f t="shared" si="31"/>
        <v>27727.661267570162</v>
      </c>
      <c r="G45" s="43">
        <f t="shared" si="31"/>
        <v>29160.774901019206</v>
      </c>
      <c r="H45" s="43">
        <f t="shared" si="31"/>
        <v>31854.952143877395</v>
      </c>
      <c r="I45" s="43">
        <f t="shared" si="31"/>
        <v>33377.281836668248</v>
      </c>
      <c r="J45" s="43">
        <f t="shared" si="31"/>
        <v>34792.960502214752</v>
      </c>
      <c r="K45" s="43">
        <f t="shared" si="31"/>
        <v>36255.167397621582</v>
      </c>
      <c r="L45" s="43">
        <f t="shared" si="31"/>
        <v>37756.180480749084</v>
      </c>
      <c r="M45" s="43">
        <f t="shared" si="31"/>
        <v>39337.119654069335</v>
      </c>
      <c r="N45" s="43">
        <f t="shared" si="31"/>
        <v>40719.612183676247</v>
      </c>
      <c r="O45" s="43">
        <f t="shared" si="31"/>
        <v>43037.77535406503</v>
      </c>
      <c r="P45" s="43">
        <f t="shared" si="31"/>
        <v>44532.763333853589</v>
      </c>
      <c r="Q45" s="43">
        <f t="shared" si="31"/>
        <v>46118.182189324099</v>
      </c>
      <c r="R45" s="43">
        <f t="shared" si="31"/>
        <v>47416.135124753724</v>
      </c>
      <c r="S45" s="43">
        <f t="shared" si="31"/>
        <v>48649.427413347876</v>
      </c>
      <c r="T45" s="43">
        <f t="shared" si="31"/>
        <v>49950.330280122995</v>
      </c>
      <c r="U45" s="43">
        <f t="shared" si="31"/>
        <v>51109.981107184904</v>
      </c>
      <c r="V45" s="43">
        <f t="shared" si="31"/>
        <v>52694.699212225358</v>
      </c>
      <c r="W45" s="43">
        <f t="shared" si="31"/>
        <v>54173.473524493718</v>
      </c>
      <c r="X45" s="43">
        <f t="shared" si="31"/>
        <v>55269.507884214559</v>
      </c>
      <c r="Y45" s="43">
        <f t="shared" si="31"/>
        <v>57243.624535631345</v>
      </c>
      <c r="Z45" s="43">
        <f t="shared" si="31"/>
        <v>58952.745598598092</v>
      </c>
      <c r="AA45" s="43">
        <f t="shared" si="31"/>
        <v>60534.111581492201</v>
      </c>
      <c r="AB45" s="43">
        <f t="shared" si="31"/>
        <v>62459.243173043513</v>
      </c>
      <c r="AC45" s="43">
        <f t="shared" si="31"/>
        <v>64056.955554715962</v>
      </c>
      <c r="AD45" s="43">
        <f t="shared" si="31"/>
        <v>65501.816441266492</v>
      </c>
      <c r="AE45" s="43">
        <f t="shared" si="31"/>
        <v>67921.144976309472</v>
      </c>
      <c r="AF45" s="43">
        <f t="shared" si="31"/>
        <v>69991.705735977361</v>
      </c>
      <c r="AG45" s="43">
        <f t="shared" si="31"/>
        <v>71923.301026464091</v>
      </c>
      <c r="AH45" s="43">
        <f t="shared" si="31"/>
        <v>74262.124404546848</v>
      </c>
      <c r="AI45" s="44">
        <f t="shared" si="31"/>
        <v>76327.811568069272</v>
      </c>
    </row>
    <row r="46" spans="1:35" x14ac:dyDescent="0.25">
      <c r="A46" s="38"/>
      <c r="B46" s="1"/>
      <c r="C46" s="34" t="s">
        <v>79</v>
      </c>
      <c r="D46" s="35"/>
      <c r="E46" s="36">
        <f>G12*D10</f>
        <v>35250</v>
      </c>
      <c r="F46" s="36">
        <f t="shared" ref="F46:AI46" si="32">E46*(1+$D$12)</f>
        <v>36096</v>
      </c>
      <c r="G46" s="36">
        <f t="shared" si="32"/>
        <v>36962.304000000004</v>
      </c>
      <c r="H46" s="36">
        <f t="shared" si="32"/>
        <v>37849.399296000003</v>
      </c>
      <c r="I46" s="36">
        <f t="shared" si="32"/>
        <v>38757.784879104001</v>
      </c>
      <c r="J46" s="36">
        <f t="shared" si="32"/>
        <v>39687.971716202497</v>
      </c>
      <c r="K46" s="36">
        <f t="shared" si="32"/>
        <v>40640.483037391357</v>
      </c>
      <c r="L46" s="36">
        <f t="shared" si="32"/>
        <v>41615.854630288748</v>
      </c>
      <c r="M46" s="36">
        <f t="shared" si="32"/>
        <v>42614.635141415682</v>
      </c>
      <c r="N46" s="36">
        <f t="shared" si="32"/>
        <v>43637.386384809659</v>
      </c>
      <c r="O46" s="36">
        <f t="shared" si="32"/>
        <v>44684.683658045091</v>
      </c>
      <c r="P46" s="36">
        <f t="shared" si="32"/>
        <v>45757.11606583817</v>
      </c>
      <c r="Q46" s="36">
        <f t="shared" si="32"/>
        <v>46855.286851418285</v>
      </c>
      <c r="R46" s="36">
        <f t="shared" si="32"/>
        <v>47979.813735852324</v>
      </c>
      <c r="S46" s="36">
        <f t="shared" si="32"/>
        <v>49131.329265512781</v>
      </c>
      <c r="T46" s="36">
        <f t="shared" si="32"/>
        <v>50310.481167885089</v>
      </c>
      <c r="U46" s="36">
        <f t="shared" si="32"/>
        <v>51517.932715914336</v>
      </c>
      <c r="V46" s="36">
        <f t="shared" si="32"/>
        <v>52754.363101096278</v>
      </c>
      <c r="W46" s="36">
        <f t="shared" si="32"/>
        <v>54020.467815522592</v>
      </c>
      <c r="X46" s="36">
        <f t="shared" si="32"/>
        <v>55316.959043095136</v>
      </c>
      <c r="Y46" s="36">
        <f t="shared" si="32"/>
        <v>56644.566060129422</v>
      </c>
      <c r="Z46" s="36">
        <f t="shared" si="32"/>
        <v>58004.035645572527</v>
      </c>
      <c r="AA46" s="36">
        <f t="shared" si="32"/>
        <v>59396.132501066269</v>
      </c>
      <c r="AB46" s="36">
        <f t="shared" si="32"/>
        <v>60821.63968109186</v>
      </c>
      <c r="AC46" s="36">
        <f t="shared" si="32"/>
        <v>62281.359033438064</v>
      </c>
      <c r="AD46" s="36">
        <f t="shared" si="32"/>
        <v>63776.111650240578</v>
      </c>
      <c r="AE46" s="36">
        <f t="shared" si="32"/>
        <v>65306.738329846354</v>
      </c>
      <c r="AF46" s="36">
        <f t="shared" si="32"/>
        <v>66874.100049762666</v>
      </c>
      <c r="AG46" s="36">
        <f t="shared" si="32"/>
        <v>68479.078450956978</v>
      </c>
      <c r="AH46" s="36">
        <f t="shared" si="32"/>
        <v>70122.576333779944</v>
      </c>
      <c r="AI46" s="37">
        <f t="shared" si="32"/>
        <v>71805.518165790665</v>
      </c>
    </row>
    <row r="47" spans="1:35" x14ac:dyDescent="0.25">
      <c r="A47" s="38"/>
      <c r="B47" s="1"/>
      <c r="C47" s="34" t="s">
        <v>80</v>
      </c>
      <c r="D47" s="42"/>
      <c r="E47" s="43">
        <f t="shared" ref="E47:AI47" si="33">E45+E46</f>
        <v>62772.451994091578</v>
      </c>
      <c r="F47" s="43">
        <f t="shared" si="33"/>
        <v>63823.661267570162</v>
      </c>
      <c r="G47" s="43">
        <f t="shared" si="33"/>
        <v>66123.078901019209</v>
      </c>
      <c r="H47" s="43">
        <f t="shared" si="33"/>
        <v>69704.351439877399</v>
      </c>
      <c r="I47" s="43">
        <f t="shared" si="33"/>
        <v>72135.066715772249</v>
      </c>
      <c r="J47" s="43">
        <f t="shared" si="33"/>
        <v>74480.932218417249</v>
      </c>
      <c r="K47" s="43">
        <f t="shared" si="33"/>
        <v>76895.65043501294</v>
      </c>
      <c r="L47" s="43">
        <f t="shared" si="33"/>
        <v>79372.03511103784</v>
      </c>
      <c r="M47" s="43">
        <f t="shared" si="33"/>
        <v>81951.754795485016</v>
      </c>
      <c r="N47" s="43">
        <f t="shared" si="33"/>
        <v>84356.998568485898</v>
      </c>
      <c r="O47" s="43">
        <f t="shared" si="33"/>
        <v>87722.459012110121</v>
      </c>
      <c r="P47" s="43">
        <f t="shared" si="33"/>
        <v>90289.879399691767</v>
      </c>
      <c r="Q47" s="43">
        <f t="shared" si="33"/>
        <v>92973.469040742377</v>
      </c>
      <c r="R47" s="43">
        <f t="shared" si="33"/>
        <v>95395.948860606048</v>
      </c>
      <c r="S47" s="43">
        <f t="shared" si="33"/>
        <v>97780.756678860664</v>
      </c>
      <c r="T47" s="43">
        <f t="shared" si="33"/>
        <v>100260.81144800808</v>
      </c>
      <c r="U47" s="43">
        <f t="shared" si="33"/>
        <v>102627.91382309924</v>
      </c>
      <c r="V47" s="43">
        <f t="shared" si="33"/>
        <v>105449.06231332163</v>
      </c>
      <c r="W47" s="43">
        <f t="shared" si="33"/>
        <v>108193.94134001632</v>
      </c>
      <c r="X47" s="43">
        <f t="shared" si="33"/>
        <v>110586.4669273097</v>
      </c>
      <c r="Y47" s="43">
        <f t="shared" si="33"/>
        <v>113888.19059576077</v>
      </c>
      <c r="Z47" s="43">
        <f t="shared" si="33"/>
        <v>116956.78124417062</v>
      </c>
      <c r="AA47" s="43">
        <f t="shared" si="33"/>
        <v>119930.24408255846</v>
      </c>
      <c r="AB47" s="43">
        <f t="shared" si="33"/>
        <v>123280.88285413537</v>
      </c>
      <c r="AC47" s="43">
        <f t="shared" si="33"/>
        <v>126338.31458815403</v>
      </c>
      <c r="AD47" s="43">
        <f t="shared" si="33"/>
        <v>129277.92809150707</v>
      </c>
      <c r="AE47" s="43">
        <f t="shared" si="33"/>
        <v>133227.88330615583</v>
      </c>
      <c r="AF47" s="43">
        <f t="shared" si="33"/>
        <v>136865.80578574003</v>
      </c>
      <c r="AG47" s="43">
        <f t="shared" si="33"/>
        <v>140402.37947742105</v>
      </c>
      <c r="AH47" s="43">
        <f t="shared" si="33"/>
        <v>144384.70073832679</v>
      </c>
      <c r="AI47" s="44">
        <f t="shared" si="33"/>
        <v>148133.32973385992</v>
      </c>
    </row>
    <row r="48" spans="1:35" x14ac:dyDescent="0.25">
      <c r="A48" s="38"/>
      <c r="B48" s="1"/>
      <c r="C48" s="34" t="s">
        <v>86</v>
      </c>
      <c r="D48" s="42"/>
      <c r="E48" s="43">
        <f t="shared" ref="E48:AI48" si="34">E47-E24</f>
        <v>2276.4478113282603</v>
      </c>
      <c r="F48" s="43">
        <f t="shared" si="34"/>
        <v>3121.1184169412591</v>
      </c>
      <c r="G48" s="43">
        <f t="shared" si="34"/>
        <v>3126.5351555505185</v>
      </c>
      <c r="H48" s="43">
        <f t="shared" si="34"/>
        <v>3132.081895886382</v>
      </c>
      <c r="I48" s="43">
        <f t="shared" si="34"/>
        <v>3137.7617579903163</v>
      </c>
      <c r="J48" s="43">
        <f t="shared" si="34"/>
        <v>3143.5779367847426</v>
      </c>
      <c r="K48" s="43">
        <f t="shared" si="34"/>
        <v>3149.5337038702273</v>
      </c>
      <c r="L48" s="43">
        <f t="shared" si="34"/>
        <v>3155.6324093657895</v>
      </c>
      <c r="M48" s="43">
        <f t="shared" si="34"/>
        <v>3161.8774837932142</v>
      </c>
      <c r="N48" s="43">
        <f t="shared" si="34"/>
        <v>3168.2724400069128</v>
      </c>
      <c r="O48" s="43">
        <f t="shared" si="34"/>
        <v>3174.8208751697384</v>
      </c>
      <c r="P48" s="43">
        <f t="shared" si="34"/>
        <v>3181.5264727764734</v>
      </c>
      <c r="Q48" s="43">
        <f t="shared" si="34"/>
        <v>3188.3930047257454</v>
      </c>
      <c r="R48" s="43">
        <f t="shared" si="34"/>
        <v>3195.4243334418425</v>
      </c>
      <c r="S48" s="43">
        <f t="shared" si="34"/>
        <v>3202.6244140471099</v>
      </c>
      <c r="T48" s="43">
        <f t="shared" si="34"/>
        <v>3209.9972965868947</v>
      </c>
      <c r="U48" s="43">
        <f t="shared" si="34"/>
        <v>3217.5471283076331</v>
      </c>
      <c r="V48" s="43">
        <f t="shared" si="34"/>
        <v>3225.278155989683</v>
      </c>
      <c r="W48" s="43">
        <f t="shared" si="34"/>
        <v>3233.1947283361224</v>
      </c>
      <c r="X48" s="43">
        <f t="shared" si="34"/>
        <v>3241.3012984188099</v>
      </c>
      <c r="Y48" s="43">
        <f t="shared" si="34"/>
        <v>3249.6024261835264</v>
      </c>
      <c r="Z48" s="43">
        <f t="shared" si="34"/>
        <v>3258.1027810145897</v>
      </c>
      <c r="AA48" s="43">
        <f t="shared" si="34"/>
        <v>3266.8071443615918</v>
      </c>
      <c r="AB48" s="43">
        <f t="shared" si="34"/>
        <v>3275.7204124289419</v>
      </c>
      <c r="AC48" s="43">
        <f t="shared" si="34"/>
        <v>3284.8475989298895</v>
      </c>
      <c r="AD48" s="43">
        <f t="shared" si="34"/>
        <v>3294.1938379068888</v>
      </c>
      <c r="AE48" s="43">
        <f t="shared" si="34"/>
        <v>3303.7643866192957</v>
      </c>
      <c r="AF48" s="43">
        <f t="shared" si="34"/>
        <v>3313.5646285008406</v>
      </c>
      <c r="AG48" s="43">
        <f t="shared" si="34"/>
        <v>3323.6000761874893</v>
      </c>
      <c r="AH48" s="43">
        <f t="shared" si="34"/>
        <v>3333.8763746186451</v>
      </c>
      <c r="AI48" s="44">
        <f t="shared" si="34"/>
        <v>3344.3993042121583</v>
      </c>
    </row>
    <row r="49" spans="1:35" x14ac:dyDescent="0.25">
      <c r="A49" s="38"/>
      <c r="B49" s="1"/>
      <c r="C49" s="34" t="s">
        <v>87</v>
      </c>
      <c r="D49" s="53"/>
      <c r="E49" s="20">
        <f t="shared" ref="E49:AI49" si="35">(E42*$T$5)/$T$1</f>
        <v>128.99257738418987</v>
      </c>
      <c r="F49" s="20">
        <f t="shared" si="35"/>
        <v>128.99257738418987</v>
      </c>
      <c r="G49" s="20">
        <f t="shared" si="35"/>
        <v>128.99257738418987</v>
      </c>
      <c r="H49" s="20">
        <f t="shared" si="35"/>
        <v>128.99257738418987</v>
      </c>
      <c r="I49" s="20">
        <f t="shared" si="35"/>
        <v>128.99257738418987</v>
      </c>
      <c r="J49" s="20">
        <f t="shared" si="35"/>
        <v>128.99257738418987</v>
      </c>
      <c r="K49" s="20">
        <f t="shared" si="35"/>
        <v>128.99257738418987</v>
      </c>
      <c r="L49" s="20">
        <f t="shared" si="35"/>
        <v>128.99257738418987</v>
      </c>
      <c r="M49" s="20">
        <f t="shared" si="35"/>
        <v>128.99257738418987</v>
      </c>
      <c r="N49" s="20">
        <f t="shared" si="35"/>
        <v>128.99257738418987</v>
      </c>
      <c r="O49" s="20">
        <f t="shared" si="35"/>
        <v>128.99257738418987</v>
      </c>
      <c r="P49" s="20">
        <f t="shared" si="35"/>
        <v>128.99257738418987</v>
      </c>
      <c r="Q49" s="20">
        <f t="shared" si="35"/>
        <v>128.99257738418987</v>
      </c>
      <c r="R49" s="20">
        <f t="shared" si="35"/>
        <v>128.99257738418987</v>
      </c>
      <c r="S49" s="20">
        <f t="shared" si="35"/>
        <v>128.99257738418987</v>
      </c>
      <c r="T49" s="20">
        <f t="shared" si="35"/>
        <v>128.99257738418987</v>
      </c>
      <c r="U49" s="20">
        <f t="shared" si="35"/>
        <v>128.99257738418987</v>
      </c>
      <c r="V49" s="20">
        <f t="shared" si="35"/>
        <v>128.99257738418987</v>
      </c>
      <c r="W49" s="20">
        <f t="shared" si="35"/>
        <v>128.99257738418987</v>
      </c>
      <c r="X49" s="20">
        <f t="shared" si="35"/>
        <v>128.99257738418987</v>
      </c>
      <c r="Y49" s="20">
        <f t="shared" si="35"/>
        <v>128.99257738418987</v>
      </c>
      <c r="Z49" s="20">
        <f t="shared" si="35"/>
        <v>128.99257738418987</v>
      </c>
      <c r="AA49" s="20">
        <f t="shared" si="35"/>
        <v>128.99257738418987</v>
      </c>
      <c r="AB49" s="20">
        <f t="shared" si="35"/>
        <v>128.99257738418987</v>
      </c>
      <c r="AC49" s="20">
        <f t="shared" si="35"/>
        <v>128.99257738418987</v>
      </c>
      <c r="AD49" s="20">
        <f t="shared" si="35"/>
        <v>128.99257738418987</v>
      </c>
      <c r="AE49" s="20">
        <f t="shared" si="35"/>
        <v>128.99257738418987</v>
      </c>
      <c r="AF49" s="20">
        <f t="shared" si="35"/>
        <v>128.99257738418987</v>
      </c>
      <c r="AG49" s="20">
        <f t="shared" si="35"/>
        <v>128.99257738418987</v>
      </c>
      <c r="AH49" s="20">
        <f t="shared" si="35"/>
        <v>128.99257738418987</v>
      </c>
      <c r="AI49" s="54">
        <f t="shared" si="35"/>
        <v>128.99257738418987</v>
      </c>
    </row>
    <row r="50" spans="1:35" x14ac:dyDescent="0.25">
      <c r="A50" s="38"/>
      <c r="B50" s="1"/>
      <c r="C50" s="34" t="s">
        <v>88</v>
      </c>
      <c r="D50" s="53"/>
      <c r="E50" s="20">
        <f t="shared" ref="E50:AI50" si="36">E25-E49</f>
        <v>16.482105719522508</v>
      </c>
      <c r="F50" s="20">
        <f t="shared" si="36"/>
        <v>16.482105719522508</v>
      </c>
      <c r="G50" s="20">
        <f t="shared" si="36"/>
        <v>16.482105719522508</v>
      </c>
      <c r="H50" s="20">
        <f t="shared" si="36"/>
        <v>16.482105719522508</v>
      </c>
      <c r="I50" s="20">
        <f t="shared" si="36"/>
        <v>16.482105719522508</v>
      </c>
      <c r="J50" s="20">
        <f t="shared" si="36"/>
        <v>16.482105719522508</v>
      </c>
      <c r="K50" s="20">
        <f t="shared" si="36"/>
        <v>16.482105719522508</v>
      </c>
      <c r="L50" s="20">
        <f t="shared" si="36"/>
        <v>16.482105719522508</v>
      </c>
      <c r="M50" s="20">
        <f t="shared" si="36"/>
        <v>16.482105719522508</v>
      </c>
      <c r="N50" s="20">
        <f t="shared" si="36"/>
        <v>16.482105719522508</v>
      </c>
      <c r="O50" s="20">
        <f t="shared" si="36"/>
        <v>16.482105719522508</v>
      </c>
      <c r="P50" s="20">
        <f t="shared" si="36"/>
        <v>16.482105719522508</v>
      </c>
      <c r="Q50" s="20">
        <f t="shared" si="36"/>
        <v>16.482105719522508</v>
      </c>
      <c r="R50" s="20">
        <f t="shared" si="36"/>
        <v>16.482105719522508</v>
      </c>
      <c r="S50" s="20">
        <f t="shared" si="36"/>
        <v>16.482105719522508</v>
      </c>
      <c r="T50" s="20">
        <f t="shared" si="36"/>
        <v>16.482105719522508</v>
      </c>
      <c r="U50" s="20">
        <f t="shared" si="36"/>
        <v>16.482105719522508</v>
      </c>
      <c r="V50" s="20">
        <f t="shared" si="36"/>
        <v>16.482105719522508</v>
      </c>
      <c r="W50" s="20">
        <f t="shared" si="36"/>
        <v>16.482105719522508</v>
      </c>
      <c r="X50" s="20">
        <f t="shared" si="36"/>
        <v>16.482105719522508</v>
      </c>
      <c r="Y50" s="20">
        <f t="shared" si="36"/>
        <v>16.482105719522508</v>
      </c>
      <c r="Z50" s="20">
        <f t="shared" si="36"/>
        <v>16.482105719522508</v>
      </c>
      <c r="AA50" s="20">
        <f t="shared" si="36"/>
        <v>16.482105719522508</v>
      </c>
      <c r="AB50" s="20">
        <f t="shared" si="36"/>
        <v>16.482105719522508</v>
      </c>
      <c r="AC50" s="20">
        <f t="shared" si="36"/>
        <v>16.482105719522508</v>
      </c>
      <c r="AD50" s="20">
        <f t="shared" si="36"/>
        <v>16.482105719522508</v>
      </c>
      <c r="AE50" s="20">
        <f t="shared" si="36"/>
        <v>16.482105719522508</v>
      </c>
      <c r="AF50" s="20">
        <f t="shared" si="36"/>
        <v>16.482105719522508</v>
      </c>
      <c r="AG50" s="20">
        <f t="shared" si="36"/>
        <v>16.482105719522508</v>
      </c>
      <c r="AH50" s="20">
        <f t="shared" si="36"/>
        <v>16.482105719522508</v>
      </c>
      <c r="AI50" s="54">
        <f t="shared" si="36"/>
        <v>16.482105719522508</v>
      </c>
    </row>
    <row r="51" spans="1:35" ht="15.75" thickBot="1" x14ac:dyDescent="0.3">
      <c r="A51" s="45"/>
      <c r="B51" s="46"/>
      <c r="C51" s="47" t="s">
        <v>89</v>
      </c>
      <c r="D51" s="60"/>
      <c r="E51" s="61">
        <f t="shared" ref="E51:AI51" si="37">E48/E50</f>
        <v>138.11632142559813</v>
      </c>
      <c r="F51" s="61">
        <f t="shared" si="37"/>
        <v>189.36405760608596</v>
      </c>
      <c r="G51" s="61">
        <f t="shared" si="37"/>
        <v>189.69270120912046</v>
      </c>
      <c r="H51" s="61">
        <f t="shared" si="37"/>
        <v>190.02923225862668</v>
      </c>
      <c r="I51" s="61">
        <f t="shared" si="37"/>
        <v>190.37384005332169</v>
      </c>
      <c r="J51" s="61">
        <f t="shared" si="37"/>
        <v>190.7267184350892</v>
      </c>
      <c r="K51" s="61">
        <f t="shared" si="37"/>
        <v>191.08806589801867</v>
      </c>
      <c r="L51" s="61">
        <f t="shared" si="37"/>
        <v>191.45808570006</v>
      </c>
      <c r="M51" s="61">
        <f t="shared" si="37"/>
        <v>191.83698597734846</v>
      </c>
      <c r="N51" s="61">
        <f t="shared" si="37"/>
        <v>192.22497986129278</v>
      </c>
      <c r="O51" s="61">
        <f t="shared" si="37"/>
        <v>192.62228559845167</v>
      </c>
      <c r="P51" s="61">
        <f t="shared" si="37"/>
        <v>193.02912667330247</v>
      </c>
      <c r="Q51" s="61">
        <f t="shared" si="37"/>
        <v>193.4457319339482</v>
      </c>
      <c r="R51" s="61">
        <f t="shared" si="37"/>
        <v>193.87233572085199</v>
      </c>
      <c r="S51" s="61">
        <f t="shared" si="37"/>
        <v>194.30917799864051</v>
      </c>
      <c r="T51" s="61">
        <f t="shared" si="37"/>
        <v>194.7565044910954</v>
      </c>
      <c r="U51" s="61">
        <f t="shared" si="37"/>
        <v>195.21456681936914</v>
      </c>
      <c r="V51" s="61">
        <f t="shared" si="37"/>
        <v>195.68362264352228</v>
      </c>
      <c r="W51" s="61">
        <f t="shared" si="37"/>
        <v>196.16393580745634</v>
      </c>
      <c r="X51" s="61">
        <f t="shared" si="37"/>
        <v>196.65577648732079</v>
      </c>
      <c r="Y51" s="61">
        <f t="shared" si="37"/>
        <v>197.15942134350468</v>
      </c>
      <c r="Z51" s="61">
        <f t="shared" si="37"/>
        <v>197.67515367623659</v>
      </c>
      <c r="AA51" s="61">
        <f t="shared" si="37"/>
        <v>198.20326358495365</v>
      </c>
      <c r="AB51" s="61">
        <f t="shared" si="37"/>
        <v>198.74404813148115</v>
      </c>
      <c r="AC51" s="61">
        <f t="shared" si="37"/>
        <v>199.29781150712415</v>
      </c>
      <c r="AD51" s="61">
        <f t="shared" si="37"/>
        <v>199.86486520378432</v>
      </c>
      <c r="AE51" s="61">
        <f t="shared" si="37"/>
        <v>200.44552818916191</v>
      </c>
      <c r="AF51" s="61">
        <f t="shared" si="37"/>
        <v>201.04012708619101</v>
      </c>
      <c r="AG51" s="61">
        <f t="shared" si="37"/>
        <v>201.64899635674556</v>
      </c>
      <c r="AH51" s="61">
        <f t="shared" si="37"/>
        <v>202.27247848979508</v>
      </c>
      <c r="AI51" s="62">
        <f t="shared" si="37"/>
        <v>202.91092419403839</v>
      </c>
    </row>
    <row r="52" spans="1:35" x14ac:dyDescent="0.25">
      <c r="A52" s="51" t="s">
        <v>94</v>
      </c>
      <c r="B52" s="855" t="s">
        <v>95</v>
      </c>
      <c r="C52" s="861"/>
      <c r="D52" s="25"/>
      <c r="E52" s="26">
        <f t="shared" ref="E52:AI52" si="38">E15-$B$53</f>
        <v>2.336325712275765</v>
      </c>
      <c r="F52" s="26">
        <f t="shared" si="38"/>
        <v>2.3537692693617647</v>
      </c>
      <c r="G52" s="26">
        <f t="shared" si="38"/>
        <v>2.482025740007765</v>
      </c>
      <c r="H52" s="26">
        <f t="shared" si="38"/>
        <v>2.7240876770497646</v>
      </c>
      <c r="I52" s="26">
        <f t="shared" si="38"/>
        <v>2.8603436628157652</v>
      </c>
      <c r="J52" s="26">
        <f t="shared" si="38"/>
        <v>2.9869447844677648</v>
      </c>
      <c r="K52" s="26">
        <f t="shared" si="38"/>
        <v>3.1177173549937649</v>
      </c>
      <c r="L52" s="26">
        <f t="shared" si="38"/>
        <v>3.2519636474057649</v>
      </c>
      <c r="M52" s="26">
        <f t="shared" si="38"/>
        <v>3.3933947178337651</v>
      </c>
      <c r="N52" s="26">
        <f t="shared" si="38"/>
        <v>3.5168820702877648</v>
      </c>
      <c r="O52" s="26">
        <f t="shared" si="38"/>
        <v>3.724797957225765</v>
      </c>
      <c r="P52" s="26">
        <f t="shared" si="38"/>
        <v>3.8583764762197652</v>
      </c>
      <c r="Q52" s="26">
        <f t="shared" si="38"/>
        <v>4.0000850314217651</v>
      </c>
      <c r="R52" s="26">
        <f t="shared" si="38"/>
        <v>4.1158113501577649</v>
      </c>
      <c r="S52" s="26">
        <f t="shared" si="38"/>
        <v>4.2256665142497649</v>
      </c>
      <c r="T52" s="26">
        <f t="shared" si="38"/>
        <v>4.3415893793897649</v>
      </c>
      <c r="U52" s="26">
        <f t="shared" si="38"/>
        <v>4.4447257665377649</v>
      </c>
      <c r="V52" s="26">
        <f t="shared" si="38"/>
        <v>4.586194565717765</v>
      </c>
      <c r="W52" s="26">
        <f t="shared" si="38"/>
        <v>4.7180622897477651</v>
      </c>
      <c r="X52" s="26">
        <f t="shared" si="38"/>
        <v>4.815342562767766</v>
      </c>
      <c r="Y52" s="26">
        <f t="shared" si="38"/>
        <v>4.9918446750337662</v>
      </c>
      <c r="Z52" s="26">
        <f t="shared" si="38"/>
        <v>5.1443858432297649</v>
      </c>
      <c r="AA52" s="26">
        <f t="shared" si="38"/>
        <v>5.2853533343637658</v>
      </c>
      <c r="AB52" s="26">
        <f t="shared" si="38"/>
        <v>5.4573087496277655</v>
      </c>
      <c r="AC52" s="26">
        <f t="shared" si="38"/>
        <v>5.5996654490997653</v>
      </c>
      <c r="AD52" s="26">
        <f t="shared" si="38"/>
        <v>5.7281800302957642</v>
      </c>
      <c r="AE52" s="26">
        <f t="shared" si="38"/>
        <v>5.9446107612197654</v>
      </c>
      <c r="AF52" s="26">
        <f t="shared" si="38"/>
        <v>6.1295124918237658</v>
      </c>
      <c r="AG52" s="26">
        <f t="shared" si="38"/>
        <v>6.3018222514477653</v>
      </c>
      <c r="AH52" s="26">
        <f t="shared" si="38"/>
        <v>6.5108419593057647</v>
      </c>
      <c r="AI52" s="27">
        <f t="shared" si="38"/>
        <v>6.695156217551764</v>
      </c>
    </row>
    <row r="53" spans="1:35" x14ac:dyDescent="0.25">
      <c r="A53" s="52" t="s">
        <v>96</v>
      </c>
      <c r="B53" s="240">
        <f>'Fuel Factors'!I53</f>
        <v>-4.5270553764797938E-5</v>
      </c>
      <c r="C53" s="30" t="s">
        <v>97</v>
      </c>
      <c r="D53" s="31"/>
      <c r="E53" s="32">
        <f t="shared" ref="E53:AI53" si="39">E52/$G$4</f>
        <v>0.34509980978962557</v>
      </c>
      <c r="F53" s="32">
        <f t="shared" si="39"/>
        <v>0.34767640610956646</v>
      </c>
      <c r="G53" s="32">
        <f t="shared" si="39"/>
        <v>0.36662123190661228</v>
      </c>
      <c r="H53" s="32">
        <f t="shared" si="39"/>
        <v>0.40237631861887219</v>
      </c>
      <c r="I53" s="32">
        <f t="shared" si="39"/>
        <v>0.42250275669361381</v>
      </c>
      <c r="J53" s="32">
        <f t="shared" si="39"/>
        <v>0.44120307008386483</v>
      </c>
      <c r="K53" s="32">
        <f t="shared" si="39"/>
        <v>0.46051955022064478</v>
      </c>
      <c r="L53" s="32">
        <f t="shared" si="39"/>
        <v>0.48034913551045277</v>
      </c>
      <c r="M53" s="32">
        <f t="shared" si="39"/>
        <v>0.50123998786318547</v>
      </c>
      <c r="N53" s="32">
        <f t="shared" si="39"/>
        <v>0.5194803648874099</v>
      </c>
      <c r="O53" s="32">
        <f t="shared" si="39"/>
        <v>0.55019172189450005</v>
      </c>
      <c r="P53" s="32">
        <f t="shared" si="39"/>
        <v>0.56992267004723274</v>
      </c>
      <c r="Q53" s="32">
        <f t="shared" si="39"/>
        <v>0.59085450981119136</v>
      </c>
      <c r="R53" s="32">
        <f t="shared" si="39"/>
        <v>0.60794850076185603</v>
      </c>
      <c r="S53" s="32">
        <f t="shared" si="39"/>
        <v>0.62417526059819284</v>
      </c>
      <c r="T53" s="32">
        <f t="shared" si="39"/>
        <v>0.64129828351399776</v>
      </c>
      <c r="U53" s="32">
        <f t="shared" si="39"/>
        <v>0.65653260953290471</v>
      </c>
      <c r="V53" s="32">
        <f t="shared" si="39"/>
        <v>0.677429034817986</v>
      </c>
      <c r="W53" s="32">
        <f t="shared" si="39"/>
        <v>0.69690728061266849</v>
      </c>
      <c r="X53" s="32">
        <f t="shared" si="39"/>
        <v>0.71127659715919733</v>
      </c>
      <c r="Y53" s="32">
        <f t="shared" si="39"/>
        <v>0.73734781019701134</v>
      </c>
      <c r="Z53" s="32">
        <f t="shared" si="39"/>
        <v>0.75987974050661233</v>
      </c>
      <c r="AA53" s="32">
        <f t="shared" si="39"/>
        <v>0.78070211733585915</v>
      </c>
      <c r="AB53" s="32">
        <f t="shared" si="39"/>
        <v>0.8061017355432446</v>
      </c>
      <c r="AC53" s="32">
        <f t="shared" si="39"/>
        <v>0.82712931301325932</v>
      </c>
      <c r="AD53" s="32">
        <f t="shared" si="39"/>
        <v>0.84611226444546006</v>
      </c>
      <c r="AE53" s="32">
        <f t="shared" si="39"/>
        <v>0.87808135320823721</v>
      </c>
      <c r="AF53" s="32">
        <f t="shared" si="39"/>
        <v>0.90539327796510582</v>
      </c>
      <c r="AG53" s="32">
        <f t="shared" si="39"/>
        <v>0.93084523655063012</v>
      </c>
      <c r="AH53" s="32">
        <f t="shared" si="39"/>
        <v>0.96171963948386485</v>
      </c>
      <c r="AI53" s="33">
        <f t="shared" si="39"/>
        <v>0.98894478841237288</v>
      </c>
    </row>
    <row r="54" spans="1:35" x14ac:dyDescent="0.25">
      <c r="A54" s="28" t="s">
        <v>71</v>
      </c>
      <c r="B54" s="63"/>
      <c r="C54" s="34" t="s">
        <v>74</v>
      </c>
      <c r="D54" s="35"/>
      <c r="E54" s="36">
        <f t="shared" ref="E54:AI54" si="40">E53*$D$10</f>
        <v>25882.485734221918</v>
      </c>
      <c r="F54" s="36">
        <f t="shared" si="40"/>
        <v>26075.730458217484</v>
      </c>
      <c r="G54" s="36">
        <f t="shared" si="40"/>
        <v>27496.592392995921</v>
      </c>
      <c r="H54" s="36">
        <f t="shared" si="40"/>
        <v>30178.223896415413</v>
      </c>
      <c r="I54" s="36">
        <f t="shared" si="40"/>
        <v>31687.706752021037</v>
      </c>
      <c r="J54" s="36">
        <f t="shared" si="40"/>
        <v>33090.230256289862</v>
      </c>
      <c r="K54" s="36">
        <f t="shared" si="40"/>
        <v>34538.966266548356</v>
      </c>
      <c r="L54" s="36">
        <f t="shared" si="40"/>
        <v>36026.185163283961</v>
      </c>
      <c r="M54" s="36">
        <f t="shared" si="40"/>
        <v>37592.999089738907</v>
      </c>
      <c r="N54" s="36">
        <f t="shared" si="40"/>
        <v>38961.02736655574</v>
      </c>
      <c r="O54" s="36">
        <f t="shared" si="40"/>
        <v>41264.379142087506</v>
      </c>
      <c r="P54" s="36">
        <f t="shared" si="40"/>
        <v>42744.200253542454</v>
      </c>
      <c r="Q54" s="36">
        <f t="shared" si="40"/>
        <v>44314.08823583935</v>
      </c>
      <c r="R54" s="36">
        <f t="shared" si="40"/>
        <v>45596.137557139205</v>
      </c>
      <c r="S54" s="36">
        <f t="shared" si="40"/>
        <v>46813.144544864466</v>
      </c>
      <c r="T54" s="36">
        <f t="shared" si="40"/>
        <v>48097.37126354983</v>
      </c>
      <c r="U54" s="36">
        <f t="shared" si="40"/>
        <v>49239.945714967856</v>
      </c>
      <c r="V54" s="36">
        <f t="shared" si="40"/>
        <v>50807.177611348947</v>
      </c>
      <c r="W54" s="36">
        <f t="shared" si="40"/>
        <v>52268.046045950134</v>
      </c>
      <c r="X54" s="36">
        <f t="shared" si="40"/>
        <v>53345.744786939802</v>
      </c>
      <c r="Y54" s="36">
        <f t="shared" si="40"/>
        <v>55301.085764775853</v>
      </c>
      <c r="Z54" s="36">
        <f t="shared" si="40"/>
        <v>56990.980537995922</v>
      </c>
      <c r="AA54" s="36">
        <f t="shared" si="40"/>
        <v>58552.658800189434</v>
      </c>
      <c r="AB54" s="36">
        <f t="shared" si="40"/>
        <v>60457.630165743343</v>
      </c>
      <c r="AC54" s="36">
        <f t="shared" si="40"/>
        <v>62034.698475994446</v>
      </c>
      <c r="AD54" s="36">
        <f t="shared" si="40"/>
        <v>63458.419833409505</v>
      </c>
      <c r="AE54" s="36">
        <f t="shared" si="40"/>
        <v>65856.101490617788</v>
      </c>
      <c r="AF54" s="36">
        <f t="shared" si="40"/>
        <v>67904.495847382932</v>
      </c>
      <c r="AG54" s="36">
        <f t="shared" si="40"/>
        <v>69813.392741297255</v>
      </c>
      <c r="AH54" s="36">
        <f t="shared" si="40"/>
        <v>72128.972961289866</v>
      </c>
      <c r="AI54" s="37">
        <f t="shared" si="40"/>
        <v>74170.859130927973</v>
      </c>
    </row>
    <row r="55" spans="1:35" x14ac:dyDescent="0.25">
      <c r="A55" s="28" t="s">
        <v>73</v>
      </c>
      <c r="B55" s="1"/>
      <c r="C55" s="34" t="s">
        <v>75</v>
      </c>
      <c r="D55" s="53"/>
      <c r="E55" s="20">
        <f t="shared" ref="E55:AI55" si="41">$D$10/$G$4</f>
        <v>11078.286558345642</v>
      </c>
      <c r="F55" s="20">
        <f t="shared" si="41"/>
        <v>11078.286558345642</v>
      </c>
      <c r="G55" s="20">
        <f t="shared" si="41"/>
        <v>11078.286558345642</v>
      </c>
      <c r="H55" s="20">
        <f t="shared" si="41"/>
        <v>11078.286558345642</v>
      </c>
      <c r="I55" s="20">
        <f t="shared" si="41"/>
        <v>11078.286558345642</v>
      </c>
      <c r="J55" s="20">
        <f t="shared" si="41"/>
        <v>11078.286558345642</v>
      </c>
      <c r="K55" s="20">
        <f t="shared" si="41"/>
        <v>11078.286558345642</v>
      </c>
      <c r="L55" s="20">
        <f t="shared" si="41"/>
        <v>11078.286558345642</v>
      </c>
      <c r="M55" s="20">
        <f t="shared" si="41"/>
        <v>11078.286558345642</v>
      </c>
      <c r="N55" s="20">
        <f t="shared" si="41"/>
        <v>11078.286558345642</v>
      </c>
      <c r="O55" s="20">
        <f t="shared" si="41"/>
        <v>11078.286558345642</v>
      </c>
      <c r="P55" s="20">
        <f t="shared" si="41"/>
        <v>11078.286558345642</v>
      </c>
      <c r="Q55" s="20">
        <f t="shared" si="41"/>
        <v>11078.286558345642</v>
      </c>
      <c r="R55" s="20">
        <f t="shared" si="41"/>
        <v>11078.286558345642</v>
      </c>
      <c r="S55" s="20">
        <f t="shared" si="41"/>
        <v>11078.286558345642</v>
      </c>
      <c r="T55" s="20">
        <f t="shared" si="41"/>
        <v>11078.286558345642</v>
      </c>
      <c r="U55" s="20">
        <f t="shared" si="41"/>
        <v>11078.286558345642</v>
      </c>
      <c r="V55" s="20">
        <f t="shared" si="41"/>
        <v>11078.286558345642</v>
      </c>
      <c r="W55" s="20">
        <f t="shared" si="41"/>
        <v>11078.286558345642</v>
      </c>
      <c r="X55" s="20">
        <f t="shared" si="41"/>
        <v>11078.286558345642</v>
      </c>
      <c r="Y55" s="20">
        <f t="shared" si="41"/>
        <v>11078.286558345642</v>
      </c>
      <c r="Z55" s="20">
        <f t="shared" si="41"/>
        <v>11078.286558345642</v>
      </c>
      <c r="AA55" s="20">
        <f t="shared" si="41"/>
        <v>11078.286558345642</v>
      </c>
      <c r="AB55" s="20">
        <f t="shared" si="41"/>
        <v>11078.286558345642</v>
      </c>
      <c r="AC55" s="20">
        <f t="shared" si="41"/>
        <v>11078.286558345642</v>
      </c>
      <c r="AD55" s="20">
        <f t="shared" si="41"/>
        <v>11078.286558345642</v>
      </c>
      <c r="AE55" s="20">
        <f t="shared" si="41"/>
        <v>11078.286558345642</v>
      </c>
      <c r="AF55" s="20">
        <f t="shared" si="41"/>
        <v>11078.286558345642</v>
      </c>
      <c r="AG55" s="20">
        <f t="shared" si="41"/>
        <v>11078.286558345642</v>
      </c>
      <c r="AH55" s="20">
        <f t="shared" si="41"/>
        <v>11078.286558345642</v>
      </c>
      <c r="AI55" s="54">
        <f t="shared" si="41"/>
        <v>11078.286558345642</v>
      </c>
    </row>
    <row r="56" spans="1:35" x14ac:dyDescent="0.25">
      <c r="A56" s="38"/>
      <c r="B56" s="1"/>
      <c r="C56" s="34" t="s">
        <v>76</v>
      </c>
      <c r="D56" s="39"/>
      <c r="E56" s="40">
        <f t="shared" ref="E56:AI56" si="42">(E55/$P$6)*$N$6</f>
        <v>221.56573116691285</v>
      </c>
      <c r="F56" s="40">
        <f t="shared" si="42"/>
        <v>221.56573116691285</v>
      </c>
      <c r="G56" s="40">
        <f t="shared" si="42"/>
        <v>221.56573116691285</v>
      </c>
      <c r="H56" s="40">
        <f t="shared" si="42"/>
        <v>221.56573116691285</v>
      </c>
      <c r="I56" s="40">
        <f t="shared" si="42"/>
        <v>221.56573116691285</v>
      </c>
      <c r="J56" s="40">
        <f t="shared" si="42"/>
        <v>221.56573116691285</v>
      </c>
      <c r="K56" s="40">
        <f t="shared" si="42"/>
        <v>221.56573116691285</v>
      </c>
      <c r="L56" s="40">
        <f t="shared" si="42"/>
        <v>221.56573116691285</v>
      </c>
      <c r="M56" s="40">
        <f t="shared" si="42"/>
        <v>221.56573116691285</v>
      </c>
      <c r="N56" s="40">
        <f t="shared" si="42"/>
        <v>221.56573116691285</v>
      </c>
      <c r="O56" s="40">
        <f t="shared" si="42"/>
        <v>221.56573116691285</v>
      </c>
      <c r="P56" s="40">
        <f t="shared" si="42"/>
        <v>221.56573116691285</v>
      </c>
      <c r="Q56" s="40">
        <f t="shared" si="42"/>
        <v>221.56573116691285</v>
      </c>
      <c r="R56" s="40">
        <f t="shared" si="42"/>
        <v>221.56573116691285</v>
      </c>
      <c r="S56" s="40">
        <f t="shared" si="42"/>
        <v>221.56573116691285</v>
      </c>
      <c r="T56" s="40">
        <f t="shared" si="42"/>
        <v>221.56573116691285</v>
      </c>
      <c r="U56" s="40">
        <f t="shared" si="42"/>
        <v>221.56573116691285</v>
      </c>
      <c r="V56" s="40">
        <f t="shared" si="42"/>
        <v>221.56573116691285</v>
      </c>
      <c r="W56" s="40">
        <f t="shared" si="42"/>
        <v>221.56573116691285</v>
      </c>
      <c r="X56" s="40">
        <f t="shared" si="42"/>
        <v>221.56573116691285</v>
      </c>
      <c r="Y56" s="40">
        <f t="shared" si="42"/>
        <v>221.56573116691285</v>
      </c>
      <c r="Z56" s="40">
        <f t="shared" si="42"/>
        <v>221.56573116691285</v>
      </c>
      <c r="AA56" s="40">
        <f t="shared" si="42"/>
        <v>221.56573116691285</v>
      </c>
      <c r="AB56" s="40">
        <f t="shared" si="42"/>
        <v>221.56573116691285</v>
      </c>
      <c r="AC56" s="40">
        <f t="shared" si="42"/>
        <v>221.56573116691285</v>
      </c>
      <c r="AD56" s="40">
        <f t="shared" si="42"/>
        <v>221.56573116691285</v>
      </c>
      <c r="AE56" s="40">
        <f t="shared" si="42"/>
        <v>221.56573116691285</v>
      </c>
      <c r="AF56" s="40">
        <f t="shared" si="42"/>
        <v>221.56573116691285</v>
      </c>
      <c r="AG56" s="40">
        <f t="shared" si="42"/>
        <v>221.56573116691285</v>
      </c>
      <c r="AH56" s="40">
        <f t="shared" si="42"/>
        <v>221.56573116691285</v>
      </c>
      <c r="AI56" s="55">
        <f t="shared" si="42"/>
        <v>221.56573116691285</v>
      </c>
    </row>
    <row r="57" spans="1:35" x14ac:dyDescent="0.25">
      <c r="A57" s="38"/>
      <c r="B57" s="1"/>
      <c r="C57" s="34" t="s">
        <v>77</v>
      </c>
      <c r="D57" s="64"/>
      <c r="E57" s="36">
        <f>E56*N3</f>
        <v>443.13146233382571</v>
      </c>
      <c r="F57" s="36">
        <f t="shared" ref="F57:AI57" si="43">E57*(1+$D$12)</f>
        <v>453.76661742983754</v>
      </c>
      <c r="G57" s="36">
        <f t="shared" si="43"/>
        <v>464.65701624815364</v>
      </c>
      <c r="H57" s="36">
        <f t="shared" si="43"/>
        <v>475.80878463810933</v>
      </c>
      <c r="I57" s="36">
        <f t="shared" si="43"/>
        <v>487.22819546942395</v>
      </c>
      <c r="J57" s="36">
        <f t="shared" si="43"/>
        <v>498.92167216069015</v>
      </c>
      <c r="K57" s="36">
        <f t="shared" si="43"/>
        <v>510.89579229254673</v>
      </c>
      <c r="L57" s="36">
        <f t="shared" si="43"/>
        <v>523.1572913075679</v>
      </c>
      <c r="M57" s="36">
        <f t="shared" si="43"/>
        <v>535.71306629894957</v>
      </c>
      <c r="N57" s="36">
        <f t="shared" si="43"/>
        <v>548.57017989012434</v>
      </c>
      <c r="O57" s="36">
        <f t="shared" si="43"/>
        <v>561.73586420748734</v>
      </c>
      <c r="P57" s="36">
        <f t="shared" si="43"/>
        <v>575.21752494846703</v>
      </c>
      <c r="Q57" s="36">
        <f t="shared" si="43"/>
        <v>589.02274554723022</v>
      </c>
      <c r="R57" s="36">
        <f t="shared" si="43"/>
        <v>603.15929144036375</v>
      </c>
      <c r="S57" s="36">
        <f t="shared" si="43"/>
        <v>617.63511443493246</v>
      </c>
      <c r="T57" s="36">
        <f t="shared" si="43"/>
        <v>632.45835718137084</v>
      </c>
      <c r="U57" s="36">
        <f t="shared" si="43"/>
        <v>647.63735775372379</v>
      </c>
      <c r="V57" s="36">
        <f t="shared" si="43"/>
        <v>663.18065433981315</v>
      </c>
      <c r="W57" s="36">
        <f t="shared" si="43"/>
        <v>679.09699004396873</v>
      </c>
      <c r="X57" s="36">
        <f t="shared" si="43"/>
        <v>695.39531780502398</v>
      </c>
      <c r="Y57" s="36">
        <f t="shared" si="43"/>
        <v>712.08480543234452</v>
      </c>
      <c r="Z57" s="36">
        <f t="shared" si="43"/>
        <v>729.17484076272081</v>
      </c>
      <c r="AA57" s="36">
        <f t="shared" si="43"/>
        <v>746.67503694102606</v>
      </c>
      <c r="AB57" s="36">
        <f t="shared" si="43"/>
        <v>764.59523782761073</v>
      </c>
      <c r="AC57" s="36">
        <f t="shared" si="43"/>
        <v>782.9455235354734</v>
      </c>
      <c r="AD57" s="36">
        <f t="shared" si="43"/>
        <v>801.73621610032478</v>
      </c>
      <c r="AE57" s="36">
        <f t="shared" si="43"/>
        <v>820.97788528673254</v>
      </c>
      <c r="AF57" s="36">
        <f t="shared" si="43"/>
        <v>840.68135453361413</v>
      </c>
      <c r="AG57" s="36">
        <f t="shared" si="43"/>
        <v>860.85770704242088</v>
      </c>
      <c r="AH57" s="36">
        <f t="shared" si="43"/>
        <v>881.51829201143903</v>
      </c>
      <c r="AI57" s="37">
        <f t="shared" si="43"/>
        <v>902.67473101971359</v>
      </c>
    </row>
    <row r="58" spans="1:35" x14ac:dyDescent="0.25">
      <c r="A58" s="38"/>
      <c r="B58" s="1"/>
      <c r="C58" s="34" t="s">
        <v>78</v>
      </c>
      <c r="D58" s="42"/>
      <c r="E58" s="43">
        <f t="shared" ref="E58:AI58" si="44">E54+E57</f>
        <v>26325.617196555744</v>
      </c>
      <c r="F58" s="43">
        <f t="shared" si="44"/>
        <v>26529.497075647323</v>
      </c>
      <c r="G58" s="43">
        <f t="shared" si="44"/>
        <v>27961.249409244076</v>
      </c>
      <c r="H58" s="43">
        <f t="shared" si="44"/>
        <v>30654.032681053523</v>
      </c>
      <c r="I58" s="43">
        <f t="shared" si="44"/>
        <v>32174.934947490459</v>
      </c>
      <c r="J58" s="43">
        <f t="shared" si="44"/>
        <v>33589.151928450556</v>
      </c>
      <c r="K58" s="43">
        <f t="shared" si="44"/>
        <v>35049.862058840903</v>
      </c>
      <c r="L58" s="43">
        <f t="shared" si="44"/>
        <v>36549.342454591526</v>
      </c>
      <c r="M58" s="43">
        <f t="shared" si="44"/>
        <v>38128.712156037858</v>
      </c>
      <c r="N58" s="43">
        <f t="shared" si="44"/>
        <v>39509.597546445861</v>
      </c>
      <c r="O58" s="43">
        <f t="shared" si="44"/>
        <v>41826.115006294996</v>
      </c>
      <c r="P58" s="43">
        <f t="shared" si="44"/>
        <v>43319.417778490919</v>
      </c>
      <c r="Q58" s="43">
        <f t="shared" si="44"/>
        <v>44903.110981386577</v>
      </c>
      <c r="R58" s="43">
        <f t="shared" si="44"/>
        <v>46199.296848579572</v>
      </c>
      <c r="S58" s="43">
        <f t="shared" si="44"/>
        <v>47430.779659299398</v>
      </c>
      <c r="T58" s="43">
        <f t="shared" si="44"/>
        <v>48729.829620731201</v>
      </c>
      <c r="U58" s="43">
        <f t="shared" si="44"/>
        <v>49887.58307272158</v>
      </c>
      <c r="V58" s="43">
        <f t="shared" si="44"/>
        <v>51470.358265688759</v>
      </c>
      <c r="W58" s="43">
        <f t="shared" si="44"/>
        <v>52947.143035994101</v>
      </c>
      <c r="X58" s="43">
        <f t="shared" si="44"/>
        <v>54041.140104744823</v>
      </c>
      <c r="Y58" s="43">
        <f t="shared" si="44"/>
        <v>56013.170570208196</v>
      </c>
      <c r="Z58" s="43">
        <f t="shared" si="44"/>
        <v>57720.155378758645</v>
      </c>
      <c r="AA58" s="43">
        <f t="shared" si="44"/>
        <v>59299.333837130464</v>
      </c>
      <c r="AB58" s="43">
        <f t="shared" si="44"/>
        <v>61222.225403570956</v>
      </c>
      <c r="AC58" s="43">
        <f t="shared" si="44"/>
        <v>62817.643999529922</v>
      </c>
      <c r="AD58" s="43">
        <f t="shared" si="44"/>
        <v>64260.156049509831</v>
      </c>
      <c r="AE58" s="43">
        <f t="shared" si="44"/>
        <v>66677.079375904519</v>
      </c>
      <c r="AF58" s="43">
        <f t="shared" si="44"/>
        <v>68745.177201916551</v>
      </c>
      <c r="AG58" s="43">
        <f t="shared" si="44"/>
        <v>70674.250448339677</v>
      </c>
      <c r="AH58" s="43">
        <f t="shared" si="44"/>
        <v>73010.491253301312</v>
      </c>
      <c r="AI58" s="44">
        <f t="shared" si="44"/>
        <v>75073.533861947682</v>
      </c>
    </row>
    <row r="59" spans="1:35" x14ac:dyDescent="0.25">
      <c r="A59" s="38"/>
      <c r="B59" s="1"/>
      <c r="C59" s="34" t="s">
        <v>79</v>
      </c>
      <c r="D59" s="35"/>
      <c r="E59" s="36">
        <f>D10*I11</f>
        <v>32250</v>
      </c>
      <c r="F59" s="36">
        <f t="shared" ref="F59:AI59" si="45">E59*(1+$D$12)</f>
        <v>33024</v>
      </c>
      <c r="G59" s="36">
        <f t="shared" si="45"/>
        <v>33816.576000000001</v>
      </c>
      <c r="H59" s="36">
        <f t="shared" si="45"/>
        <v>34628.173824000005</v>
      </c>
      <c r="I59" s="36">
        <f t="shared" si="45"/>
        <v>35459.249995776008</v>
      </c>
      <c r="J59" s="36">
        <f t="shared" si="45"/>
        <v>36310.271995674637</v>
      </c>
      <c r="K59" s="36">
        <f t="shared" si="45"/>
        <v>37181.718523570831</v>
      </c>
      <c r="L59" s="36">
        <f t="shared" si="45"/>
        <v>38074.079768136529</v>
      </c>
      <c r="M59" s="36">
        <f t="shared" si="45"/>
        <v>38987.857682571805</v>
      </c>
      <c r="N59" s="36">
        <f t="shared" si="45"/>
        <v>39923.56626695353</v>
      </c>
      <c r="O59" s="36">
        <f t="shared" si="45"/>
        <v>40881.731857360413</v>
      </c>
      <c r="P59" s="36">
        <f t="shared" si="45"/>
        <v>41862.893421937064</v>
      </c>
      <c r="Q59" s="36">
        <f t="shared" si="45"/>
        <v>42867.602864063556</v>
      </c>
      <c r="R59" s="36">
        <f t="shared" si="45"/>
        <v>43896.425332801082</v>
      </c>
      <c r="S59" s="36">
        <f t="shared" si="45"/>
        <v>44949.939540788306</v>
      </c>
      <c r="T59" s="36">
        <f t="shared" si="45"/>
        <v>46028.738089767226</v>
      </c>
      <c r="U59" s="36">
        <f t="shared" si="45"/>
        <v>47133.427803921644</v>
      </c>
      <c r="V59" s="36">
        <f t="shared" si="45"/>
        <v>48264.630071215768</v>
      </c>
      <c r="W59" s="36">
        <f t="shared" si="45"/>
        <v>49422.981192924948</v>
      </c>
      <c r="X59" s="36">
        <f t="shared" si="45"/>
        <v>50609.13274155515</v>
      </c>
      <c r="Y59" s="36">
        <f t="shared" si="45"/>
        <v>51823.751927352474</v>
      </c>
      <c r="Z59" s="36">
        <f t="shared" si="45"/>
        <v>53067.521973608935</v>
      </c>
      <c r="AA59" s="36">
        <f t="shared" si="45"/>
        <v>54341.142500975548</v>
      </c>
      <c r="AB59" s="36">
        <f t="shared" si="45"/>
        <v>55645.329920998964</v>
      </c>
      <c r="AC59" s="36">
        <f t="shared" si="45"/>
        <v>56980.817839102943</v>
      </c>
      <c r="AD59" s="36">
        <f t="shared" si="45"/>
        <v>58348.357467241418</v>
      </c>
      <c r="AE59" s="36">
        <f t="shared" si="45"/>
        <v>59748.718046455215</v>
      </c>
      <c r="AF59" s="36">
        <f t="shared" si="45"/>
        <v>61182.687279570142</v>
      </c>
      <c r="AG59" s="36">
        <f t="shared" si="45"/>
        <v>62651.07177427983</v>
      </c>
      <c r="AH59" s="36">
        <f t="shared" si="45"/>
        <v>64154.697496862544</v>
      </c>
      <c r="AI59" s="37">
        <f t="shared" si="45"/>
        <v>65694.41023678724</v>
      </c>
    </row>
    <row r="60" spans="1:35" x14ac:dyDescent="0.25">
      <c r="A60" s="38"/>
      <c r="B60" s="1"/>
      <c r="C60" s="34" t="s">
        <v>80</v>
      </c>
      <c r="D60" s="42"/>
      <c r="E60" s="43">
        <f t="shared" ref="E60:AI60" si="46">E58+E59</f>
        <v>58575.617196555744</v>
      </c>
      <c r="F60" s="43">
        <f t="shared" si="46"/>
        <v>59553.497075647319</v>
      </c>
      <c r="G60" s="43">
        <f t="shared" si="46"/>
        <v>61777.825409244077</v>
      </c>
      <c r="H60" s="43">
        <f t="shared" si="46"/>
        <v>65282.206505053531</v>
      </c>
      <c r="I60" s="43">
        <f t="shared" si="46"/>
        <v>67634.184943266475</v>
      </c>
      <c r="J60" s="43">
        <f t="shared" si="46"/>
        <v>69899.423924125193</v>
      </c>
      <c r="K60" s="43">
        <f t="shared" si="46"/>
        <v>72231.580582411727</v>
      </c>
      <c r="L60" s="43">
        <f t="shared" si="46"/>
        <v>74623.422222728055</v>
      </c>
      <c r="M60" s="43">
        <f t="shared" si="46"/>
        <v>77116.569838609663</v>
      </c>
      <c r="N60" s="43">
        <f t="shared" si="46"/>
        <v>79433.163813399384</v>
      </c>
      <c r="O60" s="43">
        <f t="shared" si="46"/>
        <v>82707.846863655403</v>
      </c>
      <c r="P60" s="43">
        <f t="shared" si="46"/>
        <v>85182.311200427983</v>
      </c>
      <c r="Q60" s="43">
        <f t="shared" si="46"/>
        <v>87770.71384545014</v>
      </c>
      <c r="R60" s="43">
        <f t="shared" si="46"/>
        <v>90095.722181380654</v>
      </c>
      <c r="S60" s="43">
        <f t="shared" si="46"/>
        <v>92380.719200087711</v>
      </c>
      <c r="T60" s="43">
        <f t="shared" si="46"/>
        <v>94758.567710498435</v>
      </c>
      <c r="U60" s="43">
        <f t="shared" si="46"/>
        <v>97021.010876643224</v>
      </c>
      <c r="V60" s="43">
        <f t="shared" si="46"/>
        <v>99734.988336904527</v>
      </c>
      <c r="W60" s="43">
        <f t="shared" si="46"/>
        <v>102370.12422891904</v>
      </c>
      <c r="X60" s="43">
        <f t="shared" si="46"/>
        <v>104650.27284629998</v>
      </c>
      <c r="Y60" s="43">
        <f t="shared" si="46"/>
        <v>107836.92249756068</v>
      </c>
      <c r="Z60" s="43">
        <f t="shared" si="46"/>
        <v>110787.67735236758</v>
      </c>
      <c r="AA60" s="43">
        <f t="shared" si="46"/>
        <v>113640.476338106</v>
      </c>
      <c r="AB60" s="43">
        <f t="shared" si="46"/>
        <v>116867.55532456993</v>
      </c>
      <c r="AC60" s="43">
        <f t="shared" si="46"/>
        <v>119798.46183863287</v>
      </c>
      <c r="AD60" s="43">
        <f t="shared" si="46"/>
        <v>122608.51351675125</v>
      </c>
      <c r="AE60" s="43">
        <f t="shared" si="46"/>
        <v>126425.79742235973</v>
      </c>
      <c r="AF60" s="43">
        <f t="shared" si="46"/>
        <v>129927.8644814867</v>
      </c>
      <c r="AG60" s="43">
        <f t="shared" si="46"/>
        <v>133325.32222261949</v>
      </c>
      <c r="AH60" s="43">
        <f t="shared" si="46"/>
        <v>137165.18875016386</v>
      </c>
      <c r="AI60" s="44">
        <f t="shared" si="46"/>
        <v>140767.94409873494</v>
      </c>
    </row>
    <row r="61" spans="1:35" x14ac:dyDescent="0.25">
      <c r="A61" s="38"/>
      <c r="B61" s="1"/>
      <c r="C61" s="34" t="s">
        <v>86</v>
      </c>
      <c r="D61" s="42"/>
      <c r="E61" s="43">
        <f t="shared" ref="E61:AI61" si="47">E60-E24</f>
        <v>-1920.3869862075735</v>
      </c>
      <c r="F61" s="43">
        <f t="shared" si="47"/>
        <v>-1149.0457749815832</v>
      </c>
      <c r="G61" s="43">
        <f t="shared" si="47"/>
        <v>-1218.7183362246142</v>
      </c>
      <c r="H61" s="43">
        <f t="shared" si="47"/>
        <v>-1290.0630389374855</v>
      </c>
      <c r="I61" s="43">
        <f t="shared" si="47"/>
        <v>-1363.120014515458</v>
      </c>
      <c r="J61" s="43">
        <f t="shared" si="47"/>
        <v>-1437.9303575073136</v>
      </c>
      <c r="K61" s="43">
        <f t="shared" si="47"/>
        <v>-1514.5361487309856</v>
      </c>
      <c r="L61" s="43">
        <f t="shared" si="47"/>
        <v>-1592.980478943995</v>
      </c>
      <c r="M61" s="43">
        <f t="shared" si="47"/>
        <v>-1673.307473082139</v>
      </c>
      <c r="N61" s="43">
        <f t="shared" si="47"/>
        <v>-1755.5623150796018</v>
      </c>
      <c r="O61" s="43">
        <f t="shared" si="47"/>
        <v>-1839.79127328498</v>
      </c>
      <c r="P61" s="43">
        <f t="shared" si="47"/>
        <v>-1926.0417264873104</v>
      </c>
      <c r="Q61" s="43">
        <f t="shared" si="47"/>
        <v>-2014.3621905664913</v>
      </c>
      <c r="R61" s="43">
        <f t="shared" si="47"/>
        <v>-2104.8023457835516</v>
      </c>
      <c r="S61" s="43">
        <f t="shared" si="47"/>
        <v>-2197.4130647258426</v>
      </c>
      <c r="T61" s="43">
        <f t="shared" si="47"/>
        <v>-2292.2464409227541</v>
      </c>
      <c r="U61" s="43">
        <f t="shared" si="47"/>
        <v>-2389.3558181483822</v>
      </c>
      <c r="V61" s="43">
        <f t="shared" si="47"/>
        <v>-2488.7958204274182</v>
      </c>
      <c r="W61" s="43">
        <f t="shared" si="47"/>
        <v>-2590.6223827611539</v>
      </c>
      <c r="X61" s="43">
        <f t="shared" si="47"/>
        <v>-2694.892782590905</v>
      </c>
      <c r="Y61" s="43">
        <f t="shared" si="47"/>
        <v>-2801.6656720165629</v>
      </c>
      <c r="Z61" s="43">
        <f t="shared" si="47"/>
        <v>-2911.0011107884493</v>
      </c>
      <c r="AA61" s="43">
        <f t="shared" si="47"/>
        <v>-3022.960600090868</v>
      </c>
      <c r="AB61" s="43">
        <f t="shared" si="47"/>
        <v>-3137.6071171365038</v>
      </c>
      <c r="AC61" s="43">
        <f t="shared" si="47"/>
        <v>-3255.0051505912706</v>
      </c>
      <c r="AD61" s="43">
        <f t="shared" si="47"/>
        <v>-3375.2207368489326</v>
      </c>
      <c r="AE61" s="43">
        <f t="shared" si="47"/>
        <v>-3498.3214971768029</v>
      </c>
      <c r="AF61" s="43">
        <f t="shared" si="47"/>
        <v>-3624.3766757524863</v>
      </c>
      <c r="AG61" s="43">
        <f t="shared" si="47"/>
        <v>-3753.4571786140732</v>
      </c>
      <c r="AH61" s="43">
        <f t="shared" si="47"/>
        <v>-3885.6356135442911</v>
      </c>
      <c r="AI61" s="44">
        <f t="shared" si="47"/>
        <v>-4020.9863309128268</v>
      </c>
    </row>
    <row r="62" spans="1:35" x14ac:dyDescent="0.25">
      <c r="A62" s="38"/>
      <c r="B62" s="1"/>
      <c r="C62" s="34" t="s">
        <v>87</v>
      </c>
      <c r="D62" s="53"/>
      <c r="E62" s="20">
        <f t="shared" ref="E62:AI62" si="48">(E55*$T$6)/$T1</f>
        <v>57.586869373697546</v>
      </c>
      <c r="F62" s="20">
        <f t="shared" si="48"/>
        <v>57.586869373697546</v>
      </c>
      <c r="G62" s="20">
        <f t="shared" si="48"/>
        <v>57.586869373697546</v>
      </c>
      <c r="H62" s="20">
        <f t="shared" si="48"/>
        <v>57.586869373697546</v>
      </c>
      <c r="I62" s="20">
        <f t="shared" si="48"/>
        <v>57.586869373697546</v>
      </c>
      <c r="J62" s="20">
        <f t="shared" si="48"/>
        <v>57.586869373697546</v>
      </c>
      <c r="K62" s="20">
        <f t="shared" si="48"/>
        <v>57.586869373697546</v>
      </c>
      <c r="L62" s="20">
        <f t="shared" si="48"/>
        <v>57.586869373697546</v>
      </c>
      <c r="M62" s="20">
        <f t="shared" si="48"/>
        <v>57.586869373697546</v>
      </c>
      <c r="N62" s="20">
        <f t="shared" si="48"/>
        <v>57.586869373697546</v>
      </c>
      <c r="O62" s="20">
        <f t="shared" si="48"/>
        <v>57.586869373697546</v>
      </c>
      <c r="P62" s="20">
        <f t="shared" si="48"/>
        <v>57.586869373697546</v>
      </c>
      <c r="Q62" s="20">
        <f t="shared" si="48"/>
        <v>57.586869373697546</v>
      </c>
      <c r="R62" s="20">
        <f t="shared" si="48"/>
        <v>57.586869373697546</v>
      </c>
      <c r="S62" s="20">
        <f t="shared" si="48"/>
        <v>57.586869373697546</v>
      </c>
      <c r="T62" s="20">
        <f t="shared" si="48"/>
        <v>57.586869373697546</v>
      </c>
      <c r="U62" s="20">
        <f t="shared" si="48"/>
        <v>57.586869373697546</v>
      </c>
      <c r="V62" s="20">
        <f t="shared" si="48"/>
        <v>57.586869373697546</v>
      </c>
      <c r="W62" s="20">
        <f t="shared" si="48"/>
        <v>57.586869373697546</v>
      </c>
      <c r="X62" s="20">
        <f t="shared" si="48"/>
        <v>57.586869373697546</v>
      </c>
      <c r="Y62" s="20">
        <f t="shared" si="48"/>
        <v>57.586869373697546</v>
      </c>
      <c r="Z62" s="20">
        <f t="shared" si="48"/>
        <v>57.586869373697546</v>
      </c>
      <c r="AA62" s="20">
        <f t="shared" si="48"/>
        <v>57.586869373697546</v>
      </c>
      <c r="AB62" s="20">
        <f t="shared" si="48"/>
        <v>57.586869373697546</v>
      </c>
      <c r="AC62" s="20">
        <f t="shared" si="48"/>
        <v>57.586869373697546</v>
      </c>
      <c r="AD62" s="20">
        <f t="shared" si="48"/>
        <v>57.586869373697546</v>
      </c>
      <c r="AE62" s="20">
        <f t="shared" si="48"/>
        <v>57.586869373697546</v>
      </c>
      <c r="AF62" s="20">
        <f t="shared" si="48"/>
        <v>57.586869373697546</v>
      </c>
      <c r="AG62" s="20">
        <f t="shared" si="48"/>
        <v>57.586869373697546</v>
      </c>
      <c r="AH62" s="20">
        <f t="shared" si="48"/>
        <v>57.586869373697546</v>
      </c>
      <c r="AI62" s="54">
        <f t="shared" si="48"/>
        <v>57.586869373697546</v>
      </c>
    </row>
    <row r="63" spans="1:35" x14ac:dyDescent="0.25">
      <c r="A63" s="38"/>
      <c r="B63" s="1"/>
      <c r="C63" s="34" t="s">
        <v>88</v>
      </c>
      <c r="D63" s="53"/>
      <c r="E63" s="20">
        <f t="shared" ref="E63:AI63" si="49">E25-E62</f>
        <v>87.887813730014841</v>
      </c>
      <c r="F63" s="20">
        <f t="shared" si="49"/>
        <v>87.887813730014841</v>
      </c>
      <c r="G63" s="20">
        <f t="shared" si="49"/>
        <v>87.887813730014841</v>
      </c>
      <c r="H63" s="20">
        <f t="shared" si="49"/>
        <v>87.887813730014841</v>
      </c>
      <c r="I63" s="20">
        <f t="shared" si="49"/>
        <v>87.887813730014841</v>
      </c>
      <c r="J63" s="20">
        <f t="shared" si="49"/>
        <v>87.887813730014841</v>
      </c>
      <c r="K63" s="20">
        <f t="shared" si="49"/>
        <v>87.887813730014841</v>
      </c>
      <c r="L63" s="20">
        <f t="shared" si="49"/>
        <v>87.887813730014841</v>
      </c>
      <c r="M63" s="20">
        <f t="shared" si="49"/>
        <v>87.887813730014841</v>
      </c>
      <c r="N63" s="20">
        <f t="shared" si="49"/>
        <v>87.887813730014841</v>
      </c>
      <c r="O63" s="20">
        <f t="shared" si="49"/>
        <v>87.887813730014841</v>
      </c>
      <c r="P63" s="20">
        <f t="shared" si="49"/>
        <v>87.887813730014841</v>
      </c>
      <c r="Q63" s="20">
        <f t="shared" si="49"/>
        <v>87.887813730014841</v>
      </c>
      <c r="R63" s="20">
        <f t="shared" si="49"/>
        <v>87.887813730014841</v>
      </c>
      <c r="S63" s="20">
        <f t="shared" si="49"/>
        <v>87.887813730014841</v>
      </c>
      <c r="T63" s="20">
        <f t="shared" si="49"/>
        <v>87.887813730014841</v>
      </c>
      <c r="U63" s="20">
        <f t="shared" si="49"/>
        <v>87.887813730014841</v>
      </c>
      <c r="V63" s="20">
        <f t="shared" si="49"/>
        <v>87.887813730014841</v>
      </c>
      <c r="W63" s="20">
        <f t="shared" si="49"/>
        <v>87.887813730014841</v>
      </c>
      <c r="X63" s="20">
        <f t="shared" si="49"/>
        <v>87.887813730014841</v>
      </c>
      <c r="Y63" s="20">
        <f t="shared" si="49"/>
        <v>87.887813730014841</v>
      </c>
      <c r="Z63" s="20">
        <f t="shared" si="49"/>
        <v>87.887813730014841</v>
      </c>
      <c r="AA63" s="20">
        <f t="shared" si="49"/>
        <v>87.887813730014841</v>
      </c>
      <c r="AB63" s="20">
        <f t="shared" si="49"/>
        <v>87.887813730014841</v>
      </c>
      <c r="AC63" s="20">
        <f t="shared" si="49"/>
        <v>87.887813730014841</v>
      </c>
      <c r="AD63" s="20">
        <f t="shared" si="49"/>
        <v>87.887813730014841</v>
      </c>
      <c r="AE63" s="20">
        <f t="shared" si="49"/>
        <v>87.887813730014841</v>
      </c>
      <c r="AF63" s="20">
        <f t="shared" si="49"/>
        <v>87.887813730014841</v>
      </c>
      <c r="AG63" s="20">
        <f t="shared" si="49"/>
        <v>87.887813730014841</v>
      </c>
      <c r="AH63" s="20">
        <f t="shared" si="49"/>
        <v>87.887813730014841</v>
      </c>
      <c r="AI63" s="54">
        <f t="shared" si="49"/>
        <v>87.887813730014841</v>
      </c>
    </row>
    <row r="64" spans="1:35" ht="15.75" thickBot="1" x14ac:dyDescent="0.3">
      <c r="A64" s="45"/>
      <c r="B64" s="46"/>
      <c r="C64" s="47" t="s">
        <v>89</v>
      </c>
      <c r="D64" s="35"/>
      <c r="E64" s="402">
        <f t="shared" ref="E64:AI64" si="50">E61/E63</f>
        <v>-21.850435284542026</v>
      </c>
      <c r="F64" s="402">
        <f t="shared" si="50"/>
        <v>-13.074005669447766</v>
      </c>
      <c r="G64" s="402">
        <f t="shared" si="50"/>
        <v>-13.866749945202082</v>
      </c>
      <c r="H64" s="402">
        <f t="shared" si="50"/>
        <v>-14.678520083574591</v>
      </c>
      <c r="I64" s="402">
        <f t="shared" si="50"/>
        <v>-15.509772705267951</v>
      </c>
      <c r="J64" s="402">
        <f t="shared" si="50"/>
        <v>-16.360975389882086</v>
      </c>
      <c r="K64" s="402">
        <f t="shared" si="50"/>
        <v>-17.232606938927091</v>
      </c>
      <c r="L64" s="402">
        <f t="shared" si="50"/>
        <v>-18.125157645148832</v>
      </c>
      <c r="M64" s="402">
        <f t="shared" si="50"/>
        <v>-19.039129568320149</v>
      </c>
      <c r="N64" s="402">
        <f t="shared" si="50"/>
        <v>-19.975036817647613</v>
      </c>
      <c r="O64" s="402">
        <f t="shared" si="50"/>
        <v>-20.933405840958667</v>
      </c>
      <c r="P64" s="402">
        <f t="shared" si="50"/>
        <v>-21.91477572082945</v>
      </c>
      <c r="Q64" s="402">
        <f t="shared" si="50"/>
        <v>-22.919698477817072</v>
      </c>
      <c r="R64" s="402">
        <f t="shared" si="50"/>
        <v>-23.948739380972153</v>
      </c>
      <c r="S64" s="402">
        <f t="shared" si="50"/>
        <v>-25.002477265803201</v>
      </c>
      <c r="T64" s="402">
        <f t="shared" si="50"/>
        <v>-26.081504859870257</v>
      </c>
      <c r="U64" s="402">
        <f t="shared" si="50"/>
        <v>-27.186429116194819</v>
      </c>
      <c r="V64" s="402">
        <f t="shared" si="50"/>
        <v>-28.317871554671086</v>
      </c>
      <c r="W64" s="402">
        <f t="shared" si="50"/>
        <v>-29.476468611670818</v>
      </c>
      <c r="X64" s="402">
        <f t="shared" si="50"/>
        <v>-30.662871998038607</v>
      </c>
      <c r="Y64" s="402">
        <f t="shared" si="50"/>
        <v>-31.87774906567914</v>
      </c>
      <c r="Z64" s="402">
        <f t="shared" si="50"/>
        <v>-33.12178318294319</v>
      </c>
      <c r="AA64" s="402">
        <f t="shared" si="50"/>
        <v>-34.395674119021663</v>
      </c>
      <c r="AB64" s="402">
        <f t="shared" si="50"/>
        <v>-35.700138437565549</v>
      </c>
      <c r="AC64" s="402">
        <f t="shared" si="50"/>
        <v>-37.035909899754891</v>
      </c>
      <c r="AD64" s="402">
        <f t="shared" si="50"/>
        <v>-38.403739877036564</v>
      </c>
      <c r="AE64" s="402">
        <f t="shared" si="50"/>
        <v>-39.804397773773275</v>
      </c>
      <c r="AF64" s="402">
        <f t="shared" si="50"/>
        <v>-41.238671460031028</v>
      </c>
      <c r="AG64" s="402">
        <f t="shared" si="50"/>
        <v>-42.707367714759961</v>
      </c>
      <c r="AH64" s="402">
        <f t="shared" si="50"/>
        <v>-44.211312679601853</v>
      </c>
      <c r="AI64" s="37">
        <f t="shared" si="50"/>
        <v>-45.751352323599868</v>
      </c>
    </row>
    <row r="65" spans="1:36" x14ac:dyDescent="0.25">
      <c r="A65" s="51" t="s">
        <v>98</v>
      </c>
      <c r="B65" s="855" t="s">
        <v>99</v>
      </c>
      <c r="C65" s="855"/>
      <c r="D65" s="479"/>
      <c r="E65" s="480">
        <v>13.130575</v>
      </c>
      <c r="F65" s="480">
        <v>13.961211</v>
      </c>
      <c r="G65" s="480">
        <v>14.396977</v>
      </c>
      <c r="H65" s="480">
        <v>15.037742</v>
      </c>
      <c r="I65" s="480">
        <v>15.762059000000001</v>
      </c>
      <c r="J65" s="480">
        <v>16.461438999999999</v>
      </c>
      <c r="K65" s="480">
        <v>17.083905999999999</v>
      </c>
      <c r="L65" s="480">
        <v>17.964676000000001</v>
      </c>
      <c r="M65" s="480">
        <v>18.654245</v>
      </c>
      <c r="N65" s="480">
        <v>19.950323000000001</v>
      </c>
      <c r="O65" s="480">
        <v>20.674596999999999</v>
      </c>
      <c r="P65" s="480">
        <v>21.566257</v>
      </c>
      <c r="Q65" s="480">
        <v>22.282247999999999</v>
      </c>
      <c r="R65" s="480">
        <v>22.942633000000001</v>
      </c>
      <c r="S65" s="480">
        <v>23.61158</v>
      </c>
      <c r="T65" s="480">
        <v>24.338394000000001</v>
      </c>
      <c r="U65" s="480">
        <v>25.042524</v>
      </c>
      <c r="V65" s="480">
        <v>25.819524999999999</v>
      </c>
      <c r="W65" s="480">
        <v>26.515309999999999</v>
      </c>
      <c r="X65" s="480">
        <v>27.385083999999999</v>
      </c>
      <c r="Y65" s="480">
        <v>28.253038</v>
      </c>
      <c r="Z65" s="480">
        <v>29.022110000000001</v>
      </c>
      <c r="AA65" s="480">
        <v>29.950893000000001</v>
      </c>
      <c r="AB65" s="480">
        <v>30.817226000000002</v>
      </c>
      <c r="AC65" s="480">
        <v>31.526236999999998</v>
      </c>
      <c r="AD65" s="480">
        <v>32.693600000000004</v>
      </c>
      <c r="AE65" s="480">
        <v>33.876685999999999</v>
      </c>
      <c r="AF65" s="480">
        <v>34.945259</v>
      </c>
      <c r="AG65" s="480">
        <v>36.084400000000002</v>
      </c>
      <c r="AH65" s="480">
        <v>37.293953000000002</v>
      </c>
      <c r="AI65" s="409">
        <v>49.726489999999998</v>
      </c>
    </row>
    <row r="66" spans="1:36" x14ac:dyDescent="0.25">
      <c r="A66" s="52" t="s">
        <v>100</v>
      </c>
      <c r="B66" s="522">
        <v>0.15</v>
      </c>
      <c r="C66" s="403" t="s">
        <v>101</v>
      </c>
      <c r="D66" s="66"/>
      <c r="E66" s="405">
        <f t="shared" ref="E66:AI66" si="51">E65/$D$8</f>
        <v>1.1154796070139832</v>
      </c>
      <c r="F66" s="405">
        <f t="shared" si="51"/>
        <v>1.1860444923180669</v>
      </c>
      <c r="G66" s="405">
        <f t="shared" si="51"/>
        <v>1.2230640505956025</v>
      </c>
      <c r="H66" s="405">
        <f t="shared" si="51"/>
        <v>1.2774988556508506</v>
      </c>
      <c r="I66" s="405">
        <f t="shared" si="51"/>
        <v>1.3390316402024449</v>
      </c>
      <c r="J66" s="405">
        <f t="shared" si="51"/>
        <v>1.3984459558400644</v>
      </c>
      <c r="K66" s="405">
        <f t="shared" si="51"/>
        <v>1.4513262938708951</v>
      </c>
      <c r="L66" s="405">
        <f t="shared" si="51"/>
        <v>1.5261502047407318</v>
      </c>
      <c r="M66" s="405">
        <f t="shared" si="51"/>
        <v>1.5847310480875787</v>
      </c>
      <c r="N66" s="405">
        <f t="shared" si="51"/>
        <v>1.6948365520810802</v>
      </c>
      <c r="O66" s="405">
        <f t="shared" si="51"/>
        <v>1.7563656836606527</v>
      </c>
      <c r="P66" s="405">
        <f t="shared" si="51"/>
        <v>1.8321147309331514</v>
      </c>
      <c r="Q66" s="405">
        <f t="shared" si="51"/>
        <v>1.8929401981579719</v>
      </c>
      <c r="R66" s="405">
        <f t="shared" si="51"/>
        <v>1.9490417778890903</v>
      </c>
      <c r="S66" s="405">
        <f t="shared" si="51"/>
        <v>2.0058707238166815</v>
      </c>
      <c r="T66" s="405">
        <f t="shared" si="51"/>
        <v>2.0676156356040378</v>
      </c>
      <c r="U66" s="405">
        <f t="shared" si="51"/>
        <v>2.1274334772207801</v>
      </c>
      <c r="V66" s="405">
        <f t="shared" si="51"/>
        <v>2.1934419170742876</v>
      </c>
      <c r="W66" s="405">
        <f t="shared" si="51"/>
        <v>2.2525508272603401</v>
      </c>
      <c r="X66" s="405">
        <f t="shared" si="51"/>
        <v>2.3264405967267172</v>
      </c>
      <c r="Y66" s="405">
        <f t="shared" si="51"/>
        <v>2.400175752028463</v>
      </c>
      <c r="Z66" s="405">
        <f t="shared" si="51"/>
        <v>2.465510600831768</v>
      </c>
      <c r="AA66" s="405">
        <f t="shared" si="51"/>
        <v>2.5444133522985748</v>
      </c>
      <c r="AB66" s="405">
        <f t="shared" si="51"/>
        <v>2.6180107990503925</v>
      </c>
      <c r="AC66" s="405">
        <f t="shared" si="51"/>
        <v>2.6782432954679969</v>
      </c>
      <c r="AD66" s="405">
        <f t="shared" si="51"/>
        <v>2.7774140949556561</v>
      </c>
      <c r="AE66" s="405">
        <f t="shared" si="51"/>
        <v>2.877920607910629</v>
      </c>
      <c r="AF66" s="405">
        <f t="shared" si="51"/>
        <v>2.9686989165609168</v>
      </c>
      <c r="AG66" s="405">
        <f t="shared" si="51"/>
        <v>3.0654721770627238</v>
      </c>
      <c r="AH66" s="405">
        <f t="shared" si="51"/>
        <v>3.1682271367733676</v>
      </c>
      <c r="AI66" s="67">
        <f t="shared" si="51"/>
        <v>4.2244064348579373</v>
      </c>
    </row>
    <row r="67" spans="1:36" x14ac:dyDescent="0.25">
      <c r="A67" s="520" t="s">
        <v>71</v>
      </c>
      <c r="B67" s="397">
        <v>7.4999999999999997E-2</v>
      </c>
      <c r="C67" s="404" t="s">
        <v>102</v>
      </c>
      <c r="D67" s="68"/>
      <c r="E67" s="406">
        <f t="shared" ref="E67:AI67" si="52">E66+$B$66</f>
        <v>1.2654796070139831</v>
      </c>
      <c r="F67" s="406">
        <f t="shared" si="52"/>
        <v>1.3360444923180668</v>
      </c>
      <c r="G67" s="406">
        <f t="shared" si="52"/>
        <v>1.3730640505956024</v>
      </c>
      <c r="H67" s="406">
        <f t="shared" si="52"/>
        <v>1.4274988556508506</v>
      </c>
      <c r="I67" s="406">
        <f t="shared" si="52"/>
        <v>1.4890316402024448</v>
      </c>
      <c r="J67" s="406">
        <f t="shared" si="52"/>
        <v>1.5484459558400643</v>
      </c>
      <c r="K67" s="406">
        <f t="shared" si="52"/>
        <v>1.601326293870895</v>
      </c>
      <c r="L67" s="406">
        <f t="shared" si="52"/>
        <v>1.6761502047407317</v>
      </c>
      <c r="M67" s="406">
        <f t="shared" si="52"/>
        <v>1.7347310480875786</v>
      </c>
      <c r="N67" s="406">
        <f t="shared" si="52"/>
        <v>1.8448365520810801</v>
      </c>
      <c r="O67" s="406">
        <f t="shared" si="52"/>
        <v>1.9063656836606526</v>
      </c>
      <c r="P67" s="406">
        <f t="shared" si="52"/>
        <v>1.9821147309331513</v>
      </c>
      <c r="Q67" s="406">
        <f t="shared" si="52"/>
        <v>2.042940198157972</v>
      </c>
      <c r="R67" s="406">
        <f t="shared" si="52"/>
        <v>2.0990417778890902</v>
      </c>
      <c r="S67" s="406">
        <f t="shared" si="52"/>
        <v>2.1558707238166814</v>
      </c>
      <c r="T67" s="406">
        <f t="shared" si="52"/>
        <v>2.2176156356040377</v>
      </c>
      <c r="U67" s="406">
        <f t="shared" si="52"/>
        <v>2.27743347722078</v>
      </c>
      <c r="V67" s="406">
        <f t="shared" si="52"/>
        <v>2.3434419170742875</v>
      </c>
      <c r="W67" s="406">
        <f t="shared" si="52"/>
        <v>2.40255082726034</v>
      </c>
      <c r="X67" s="406">
        <f t="shared" si="52"/>
        <v>2.4764405967267171</v>
      </c>
      <c r="Y67" s="406">
        <f t="shared" si="52"/>
        <v>2.5501757520284629</v>
      </c>
      <c r="Z67" s="406">
        <f t="shared" si="52"/>
        <v>2.6155106008317679</v>
      </c>
      <c r="AA67" s="406">
        <f t="shared" si="52"/>
        <v>2.6944133522985747</v>
      </c>
      <c r="AB67" s="406">
        <f t="shared" si="52"/>
        <v>2.7680107990503924</v>
      </c>
      <c r="AC67" s="406">
        <f t="shared" si="52"/>
        <v>2.8282432954679968</v>
      </c>
      <c r="AD67" s="406">
        <f t="shared" si="52"/>
        <v>2.927414094955656</v>
      </c>
      <c r="AE67" s="406">
        <f t="shared" si="52"/>
        <v>3.0279206079106289</v>
      </c>
      <c r="AF67" s="406">
        <f t="shared" si="52"/>
        <v>3.1186989165609167</v>
      </c>
      <c r="AG67" s="406">
        <f t="shared" si="52"/>
        <v>3.2154721770627237</v>
      </c>
      <c r="AH67" s="406">
        <f t="shared" si="52"/>
        <v>3.3182271367733676</v>
      </c>
      <c r="AI67" s="70">
        <f t="shared" si="52"/>
        <v>4.3744064348579377</v>
      </c>
    </row>
    <row r="68" spans="1:36" x14ac:dyDescent="0.25">
      <c r="A68" s="520" t="s">
        <v>73</v>
      </c>
      <c r="B68" s="398"/>
      <c r="C68" s="404" t="s">
        <v>103</v>
      </c>
      <c r="D68" s="68"/>
      <c r="E68" s="406">
        <f t="shared" ref="E68:AI68" si="53">E67/$G$6</f>
        <v>0.29987668412653629</v>
      </c>
      <c r="F68" s="406">
        <f t="shared" si="53"/>
        <v>0.31659822092845186</v>
      </c>
      <c r="G68" s="406">
        <f t="shared" si="53"/>
        <v>0.32537062810322337</v>
      </c>
      <c r="H68" s="406">
        <f t="shared" si="53"/>
        <v>0.3382698710073106</v>
      </c>
      <c r="I68" s="406">
        <f t="shared" si="53"/>
        <v>0.3528510995740391</v>
      </c>
      <c r="J68" s="406">
        <f t="shared" si="53"/>
        <v>0.36693032128911479</v>
      </c>
      <c r="K68" s="406">
        <f t="shared" si="53"/>
        <v>0.37946120707841113</v>
      </c>
      <c r="L68" s="406">
        <f t="shared" si="53"/>
        <v>0.39719199164472319</v>
      </c>
      <c r="M68" s="406">
        <f t="shared" si="53"/>
        <v>0.41107370807762528</v>
      </c>
      <c r="N68" s="406">
        <f t="shared" si="53"/>
        <v>0.43716505973485315</v>
      </c>
      <c r="O68" s="406">
        <f t="shared" si="53"/>
        <v>0.45174542266840112</v>
      </c>
      <c r="P68" s="406">
        <f t="shared" si="53"/>
        <v>0.46969543387041501</v>
      </c>
      <c r="Q68" s="406">
        <f t="shared" si="53"/>
        <v>0.48410905169620194</v>
      </c>
      <c r="R68" s="406">
        <f t="shared" si="53"/>
        <v>0.49740326490262804</v>
      </c>
      <c r="S68" s="406">
        <f t="shared" si="53"/>
        <v>0.51086983976698619</v>
      </c>
      <c r="T68" s="406">
        <f t="shared" si="53"/>
        <v>0.52550133545119382</v>
      </c>
      <c r="U68" s="406">
        <f t="shared" si="53"/>
        <v>0.53967617943620383</v>
      </c>
      <c r="V68" s="406">
        <f t="shared" si="53"/>
        <v>0.55531798982803027</v>
      </c>
      <c r="W68" s="406">
        <f t="shared" si="53"/>
        <v>0.56932484058301902</v>
      </c>
      <c r="X68" s="406">
        <f t="shared" si="53"/>
        <v>0.58683426462718413</v>
      </c>
      <c r="Y68" s="406">
        <f t="shared" si="53"/>
        <v>0.60430705024371167</v>
      </c>
      <c r="Z68" s="406">
        <f t="shared" si="53"/>
        <v>0.61978924190326257</v>
      </c>
      <c r="AA68" s="406">
        <f t="shared" si="53"/>
        <v>0.63848657637406991</v>
      </c>
      <c r="AB68" s="406">
        <f t="shared" si="53"/>
        <v>0.65592672963279441</v>
      </c>
      <c r="AC68" s="406">
        <f t="shared" si="53"/>
        <v>0.67019983304928843</v>
      </c>
      <c r="AD68" s="406">
        <f t="shared" si="53"/>
        <v>0.69370002250134033</v>
      </c>
      <c r="AE68" s="406">
        <f t="shared" si="53"/>
        <v>0.71751673173237651</v>
      </c>
      <c r="AF68" s="406">
        <f t="shared" si="53"/>
        <v>0.7390281792798381</v>
      </c>
      <c r="AG68" s="406">
        <f t="shared" si="53"/>
        <v>0.7619602315314512</v>
      </c>
      <c r="AH68" s="406">
        <f t="shared" si="53"/>
        <v>0.78630974805056109</v>
      </c>
      <c r="AI68" s="70">
        <f t="shared" si="53"/>
        <v>1.036589202572971</v>
      </c>
    </row>
    <row r="69" spans="1:36" x14ac:dyDescent="0.25">
      <c r="A69" s="71"/>
      <c r="B69" s="399"/>
      <c r="C69" s="404" t="s">
        <v>74</v>
      </c>
      <c r="D69" s="35"/>
      <c r="E69" s="402">
        <f>(($D$10/$G$6)*E67)</f>
        <v>22490.751309490224</v>
      </c>
      <c r="F69" s="402">
        <f>(($D$10/$G$6)*F67)</f>
        <v>23744.86656963389</v>
      </c>
      <c r="G69" s="402">
        <f t="shared" ref="G69:AI69" si="54">(($D$10/$G$6)*G67)</f>
        <v>24402.79710774175</v>
      </c>
      <c r="H69" s="402">
        <f t="shared" si="54"/>
        <v>25370.240325548293</v>
      </c>
      <c r="I69" s="402">
        <f t="shared" si="54"/>
        <v>26463.832468052929</v>
      </c>
      <c r="J69" s="402">
        <f t="shared" si="54"/>
        <v>27519.77409668361</v>
      </c>
      <c r="K69" s="402">
        <f t="shared" si="54"/>
        <v>28459.590530880836</v>
      </c>
      <c r="L69" s="402">
        <f t="shared" si="54"/>
        <v>29789.399373354237</v>
      </c>
      <c r="M69" s="402">
        <f t="shared" si="54"/>
        <v>30830.528105821897</v>
      </c>
      <c r="N69" s="402">
        <f t="shared" si="54"/>
        <v>32787.379480113988</v>
      </c>
      <c r="O69" s="402">
        <f t="shared" si="54"/>
        <v>33880.906700130086</v>
      </c>
      <c r="P69" s="402">
        <f t="shared" si="54"/>
        <v>35227.157540281129</v>
      </c>
      <c r="Q69" s="402">
        <f t="shared" si="54"/>
        <v>36308.178877215141</v>
      </c>
      <c r="R69" s="402">
        <f t="shared" si="54"/>
        <v>37305.244867697103</v>
      </c>
      <c r="S69" s="402">
        <f t="shared" si="54"/>
        <v>38315.237982523962</v>
      </c>
      <c r="T69" s="402">
        <f t="shared" si="54"/>
        <v>39412.600158839537</v>
      </c>
      <c r="U69" s="402">
        <f t="shared" si="54"/>
        <v>40475.71345771529</v>
      </c>
      <c r="V69" s="402">
        <f t="shared" si="54"/>
        <v>41648.849237102266</v>
      </c>
      <c r="W69" s="402">
        <f t="shared" si="54"/>
        <v>42699.363043726422</v>
      </c>
      <c r="X69" s="402">
        <f t="shared" si="54"/>
        <v>44012.569847038816</v>
      </c>
      <c r="Y69" s="402">
        <f t="shared" si="54"/>
        <v>45323.028768278375</v>
      </c>
      <c r="Z69" s="402">
        <f t="shared" si="54"/>
        <v>46484.193142744691</v>
      </c>
      <c r="AA69" s="402">
        <f t="shared" si="54"/>
        <v>47886.493228055238</v>
      </c>
      <c r="AB69" s="402">
        <f t="shared" si="54"/>
        <v>49194.504722459584</v>
      </c>
      <c r="AC69" s="402">
        <f t="shared" si="54"/>
        <v>50264.987478696632</v>
      </c>
      <c r="AD69" s="402">
        <f t="shared" si="54"/>
        <v>52027.501687600525</v>
      </c>
      <c r="AE69" s="402">
        <f t="shared" si="54"/>
        <v>53813.754879928245</v>
      </c>
      <c r="AF69" s="402">
        <f t="shared" si="54"/>
        <v>55427.113445987859</v>
      </c>
      <c r="AG69" s="402">
        <f t="shared" si="54"/>
        <v>57147.017364858839</v>
      </c>
      <c r="AH69" s="402">
        <f t="shared" si="54"/>
        <v>58973.231103792081</v>
      </c>
      <c r="AI69" s="37">
        <f t="shared" si="54"/>
        <v>77744.190192972834</v>
      </c>
    </row>
    <row r="70" spans="1:36" x14ac:dyDescent="0.25">
      <c r="A70" s="71"/>
      <c r="B70" s="399"/>
      <c r="C70" s="404" t="s">
        <v>75</v>
      </c>
      <c r="D70" s="53"/>
      <c r="E70" s="407">
        <f t="shared" ref="E70:AI70" si="55">$D$10/$G$6</f>
        <v>17772.511848341233</v>
      </c>
      <c r="F70" s="407">
        <f t="shared" si="55"/>
        <v>17772.511848341233</v>
      </c>
      <c r="G70" s="407">
        <f t="shared" si="55"/>
        <v>17772.511848341233</v>
      </c>
      <c r="H70" s="407">
        <f t="shared" si="55"/>
        <v>17772.511848341233</v>
      </c>
      <c r="I70" s="407">
        <f t="shared" si="55"/>
        <v>17772.511848341233</v>
      </c>
      <c r="J70" s="407">
        <f t="shared" si="55"/>
        <v>17772.511848341233</v>
      </c>
      <c r="K70" s="407">
        <f t="shared" si="55"/>
        <v>17772.511848341233</v>
      </c>
      <c r="L70" s="407">
        <f t="shared" si="55"/>
        <v>17772.511848341233</v>
      </c>
      <c r="M70" s="407">
        <f t="shared" si="55"/>
        <v>17772.511848341233</v>
      </c>
      <c r="N70" s="407">
        <f t="shared" si="55"/>
        <v>17772.511848341233</v>
      </c>
      <c r="O70" s="407">
        <f t="shared" si="55"/>
        <v>17772.511848341233</v>
      </c>
      <c r="P70" s="407">
        <f t="shared" si="55"/>
        <v>17772.511848341233</v>
      </c>
      <c r="Q70" s="407">
        <f t="shared" si="55"/>
        <v>17772.511848341233</v>
      </c>
      <c r="R70" s="407">
        <f t="shared" si="55"/>
        <v>17772.511848341233</v>
      </c>
      <c r="S70" s="407">
        <f t="shared" si="55"/>
        <v>17772.511848341233</v>
      </c>
      <c r="T70" s="407">
        <f t="shared" si="55"/>
        <v>17772.511848341233</v>
      </c>
      <c r="U70" s="407">
        <f t="shared" si="55"/>
        <v>17772.511848341233</v>
      </c>
      <c r="V70" s="407">
        <f t="shared" si="55"/>
        <v>17772.511848341233</v>
      </c>
      <c r="W70" s="407">
        <f t="shared" si="55"/>
        <v>17772.511848341233</v>
      </c>
      <c r="X70" s="407">
        <f t="shared" si="55"/>
        <v>17772.511848341233</v>
      </c>
      <c r="Y70" s="407">
        <f t="shared" si="55"/>
        <v>17772.511848341233</v>
      </c>
      <c r="Z70" s="407">
        <f t="shared" si="55"/>
        <v>17772.511848341233</v>
      </c>
      <c r="AA70" s="407">
        <f t="shared" si="55"/>
        <v>17772.511848341233</v>
      </c>
      <c r="AB70" s="407">
        <f t="shared" si="55"/>
        <v>17772.511848341233</v>
      </c>
      <c r="AC70" s="407">
        <f t="shared" si="55"/>
        <v>17772.511848341233</v>
      </c>
      <c r="AD70" s="407">
        <f t="shared" si="55"/>
        <v>17772.511848341233</v>
      </c>
      <c r="AE70" s="407">
        <f t="shared" si="55"/>
        <v>17772.511848341233</v>
      </c>
      <c r="AF70" s="407">
        <f t="shared" si="55"/>
        <v>17772.511848341233</v>
      </c>
      <c r="AG70" s="407">
        <f t="shared" si="55"/>
        <v>17772.511848341233</v>
      </c>
      <c r="AH70" s="407">
        <f t="shared" si="55"/>
        <v>17772.511848341233</v>
      </c>
      <c r="AI70" s="54">
        <f t="shared" si="55"/>
        <v>17772.511848341233</v>
      </c>
    </row>
    <row r="71" spans="1:36" x14ac:dyDescent="0.25">
      <c r="A71" s="71"/>
      <c r="B71" s="399"/>
      <c r="C71" s="404" t="s">
        <v>79</v>
      </c>
      <c r="D71" s="35"/>
      <c r="E71" s="402">
        <f>$K$11*$D$10</f>
        <v>26760.000000000004</v>
      </c>
      <c r="F71" s="402">
        <f t="shared" ref="F71:AI71" si="56">E71*(1+$D$12)</f>
        <v>27402.240000000005</v>
      </c>
      <c r="G71" s="402">
        <f t="shared" si="56"/>
        <v>28059.893760000006</v>
      </c>
      <c r="H71" s="402">
        <f t="shared" si="56"/>
        <v>28733.331210240009</v>
      </c>
      <c r="I71" s="402">
        <f t="shared" si="56"/>
        <v>29422.93115928577</v>
      </c>
      <c r="J71" s="402">
        <f t="shared" si="56"/>
        <v>30129.081507108629</v>
      </c>
      <c r="K71" s="402">
        <f t="shared" si="56"/>
        <v>30852.179463279237</v>
      </c>
      <c r="L71" s="402">
        <f t="shared" si="56"/>
        <v>31592.63177039794</v>
      </c>
      <c r="M71" s="402">
        <f t="shared" si="56"/>
        <v>32350.854932887491</v>
      </c>
      <c r="N71" s="402">
        <f t="shared" si="56"/>
        <v>33127.275451276793</v>
      </c>
      <c r="O71" s="402">
        <f t="shared" si="56"/>
        <v>33922.330062107438</v>
      </c>
      <c r="P71" s="402">
        <f t="shared" si="56"/>
        <v>34736.46598359802</v>
      </c>
      <c r="Q71" s="402">
        <f t="shared" si="56"/>
        <v>35570.141167204376</v>
      </c>
      <c r="R71" s="402">
        <f t="shared" si="56"/>
        <v>36423.824555217281</v>
      </c>
      <c r="S71" s="402">
        <f t="shared" si="56"/>
        <v>37297.996344542495</v>
      </c>
      <c r="T71" s="402">
        <f t="shared" si="56"/>
        <v>38193.148256811517</v>
      </c>
      <c r="U71" s="402">
        <f t="shared" si="56"/>
        <v>39109.783814974995</v>
      </c>
      <c r="V71" s="402">
        <f t="shared" si="56"/>
        <v>40048.418626534396</v>
      </c>
      <c r="W71" s="402">
        <f t="shared" si="56"/>
        <v>41009.580673571225</v>
      </c>
      <c r="X71" s="402">
        <f t="shared" si="56"/>
        <v>41993.810609736938</v>
      </c>
      <c r="Y71" s="402">
        <f t="shared" si="56"/>
        <v>43001.662064370626</v>
      </c>
      <c r="Z71" s="402">
        <f t="shared" si="56"/>
        <v>44033.701953915523</v>
      </c>
      <c r="AA71" s="402">
        <f t="shared" si="56"/>
        <v>45090.510800809498</v>
      </c>
      <c r="AB71" s="402">
        <f t="shared" si="56"/>
        <v>46172.683060028925</v>
      </c>
      <c r="AC71" s="402">
        <f t="shared" si="56"/>
        <v>47280.827453469617</v>
      </c>
      <c r="AD71" s="402">
        <f t="shared" si="56"/>
        <v>48415.56731235289</v>
      </c>
      <c r="AE71" s="402">
        <f t="shared" si="56"/>
        <v>49577.540927849361</v>
      </c>
      <c r="AF71" s="402">
        <f t="shared" si="56"/>
        <v>50767.401910117747</v>
      </c>
      <c r="AG71" s="402">
        <f t="shared" si="56"/>
        <v>51985.819555960574</v>
      </c>
      <c r="AH71" s="402">
        <f t="shared" si="56"/>
        <v>53233.479225303628</v>
      </c>
      <c r="AI71" s="37">
        <f t="shared" si="56"/>
        <v>54511.08272671092</v>
      </c>
    </row>
    <row r="72" spans="1:36" x14ac:dyDescent="0.25">
      <c r="A72" s="71"/>
      <c r="B72" s="399"/>
      <c r="C72" s="404" t="s">
        <v>80</v>
      </c>
      <c r="D72" s="42"/>
      <c r="E72" s="408">
        <f t="shared" ref="E72:AI72" si="57">E69+E71</f>
        <v>49250.751309490224</v>
      </c>
      <c r="F72" s="408">
        <f t="shared" si="57"/>
        <v>51147.106569633892</v>
      </c>
      <c r="G72" s="408">
        <f t="shared" si="57"/>
        <v>52462.690867741752</v>
      </c>
      <c r="H72" s="408">
        <f t="shared" si="57"/>
        <v>54103.571535788302</v>
      </c>
      <c r="I72" s="408">
        <f t="shared" si="57"/>
        <v>55886.763627338703</v>
      </c>
      <c r="J72" s="408">
        <f t="shared" si="57"/>
        <v>57648.855603792239</v>
      </c>
      <c r="K72" s="408">
        <f t="shared" si="57"/>
        <v>59311.769994160073</v>
      </c>
      <c r="L72" s="408">
        <f t="shared" si="57"/>
        <v>61382.031143752174</v>
      </c>
      <c r="M72" s="408">
        <f t="shared" si="57"/>
        <v>63181.383038709391</v>
      </c>
      <c r="N72" s="408">
        <f t="shared" si="57"/>
        <v>65914.654931390774</v>
      </c>
      <c r="O72" s="408">
        <f t="shared" si="57"/>
        <v>67803.236762237531</v>
      </c>
      <c r="P72" s="408">
        <f t="shared" si="57"/>
        <v>69963.623523879156</v>
      </c>
      <c r="Q72" s="408">
        <f t="shared" si="57"/>
        <v>71878.320044419524</v>
      </c>
      <c r="R72" s="408">
        <f t="shared" si="57"/>
        <v>73729.069422914385</v>
      </c>
      <c r="S72" s="408">
        <f t="shared" si="57"/>
        <v>75613.234327066457</v>
      </c>
      <c r="T72" s="408">
        <f t="shared" si="57"/>
        <v>77605.748415651062</v>
      </c>
      <c r="U72" s="408">
        <f t="shared" si="57"/>
        <v>79585.497272690292</v>
      </c>
      <c r="V72" s="408">
        <f t="shared" si="57"/>
        <v>81697.267863636662</v>
      </c>
      <c r="W72" s="408">
        <f t="shared" si="57"/>
        <v>83708.943717297647</v>
      </c>
      <c r="X72" s="408">
        <f t="shared" si="57"/>
        <v>86006.380456775747</v>
      </c>
      <c r="Y72" s="408">
        <f t="shared" si="57"/>
        <v>88324.690832649008</v>
      </c>
      <c r="Z72" s="408">
        <f t="shared" si="57"/>
        <v>90517.895096660213</v>
      </c>
      <c r="AA72" s="408">
        <f t="shared" si="57"/>
        <v>92977.004028864729</v>
      </c>
      <c r="AB72" s="408">
        <f t="shared" si="57"/>
        <v>95367.187782488501</v>
      </c>
      <c r="AC72" s="408">
        <f t="shared" si="57"/>
        <v>97545.814932166249</v>
      </c>
      <c r="AD72" s="408">
        <f t="shared" si="57"/>
        <v>100443.06899995342</v>
      </c>
      <c r="AE72" s="408">
        <f t="shared" si="57"/>
        <v>103391.29580777761</v>
      </c>
      <c r="AF72" s="408">
        <f t="shared" si="57"/>
        <v>106194.51535610561</v>
      </c>
      <c r="AG72" s="408">
        <f t="shared" si="57"/>
        <v>109132.83692081942</v>
      </c>
      <c r="AH72" s="408">
        <f t="shared" si="57"/>
        <v>112206.71032909572</v>
      </c>
      <c r="AI72" s="44">
        <f t="shared" si="57"/>
        <v>132255.27291968375</v>
      </c>
    </row>
    <row r="73" spans="1:36" x14ac:dyDescent="0.25">
      <c r="A73" s="71"/>
      <c r="B73" s="399"/>
      <c r="C73" s="404" t="s">
        <v>86</v>
      </c>
      <c r="D73" s="42"/>
      <c r="E73" s="408">
        <f t="shared" ref="E73:AI73" si="58">E72-E24</f>
        <v>-11245.252873273093</v>
      </c>
      <c r="F73" s="408">
        <f t="shared" si="58"/>
        <v>-9555.4362809950107</v>
      </c>
      <c r="G73" s="408">
        <f t="shared" si="58"/>
        <v>-10533.852877726938</v>
      </c>
      <c r="H73" s="408">
        <f t="shared" si="58"/>
        <v>-12468.698008202715</v>
      </c>
      <c r="I73" s="408">
        <f t="shared" si="58"/>
        <v>-13110.54133044323</v>
      </c>
      <c r="J73" s="408">
        <f t="shared" si="58"/>
        <v>-13688.498677840267</v>
      </c>
      <c r="K73" s="408">
        <f t="shared" si="58"/>
        <v>-14434.346736982639</v>
      </c>
      <c r="L73" s="408">
        <f t="shared" si="58"/>
        <v>-14834.371557919876</v>
      </c>
      <c r="M73" s="408">
        <f t="shared" si="58"/>
        <v>-15608.494272982411</v>
      </c>
      <c r="N73" s="408">
        <f t="shared" si="58"/>
        <v>-15274.071197088211</v>
      </c>
      <c r="O73" s="408">
        <f t="shared" si="58"/>
        <v>-16744.401374702851</v>
      </c>
      <c r="P73" s="408">
        <f t="shared" si="58"/>
        <v>-17144.729403036137</v>
      </c>
      <c r="Q73" s="408">
        <f t="shared" si="58"/>
        <v>-17906.755991597107</v>
      </c>
      <c r="R73" s="408">
        <f t="shared" si="58"/>
        <v>-18471.455104249821</v>
      </c>
      <c r="S73" s="408">
        <f t="shared" si="58"/>
        <v>-18964.897937747097</v>
      </c>
      <c r="T73" s="408">
        <f t="shared" si="58"/>
        <v>-19445.065735770128</v>
      </c>
      <c r="U73" s="408">
        <f t="shared" si="58"/>
        <v>-19824.869422101314</v>
      </c>
      <c r="V73" s="408">
        <f t="shared" si="58"/>
        <v>-20526.516293695284</v>
      </c>
      <c r="W73" s="408">
        <f t="shared" si="58"/>
        <v>-21251.802894382548</v>
      </c>
      <c r="X73" s="408">
        <f t="shared" si="58"/>
        <v>-21338.785172115138</v>
      </c>
      <c r="Y73" s="408">
        <f t="shared" si="58"/>
        <v>-22313.897336928232</v>
      </c>
      <c r="Z73" s="408">
        <f t="shared" si="58"/>
        <v>-23180.783366495816</v>
      </c>
      <c r="AA73" s="408">
        <f t="shared" si="58"/>
        <v>-23686.432909332143</v>
      </c>
      <c r="AB73" s="408">
        <f t="shared" si="58"/>
        <v>-24637.974659217929</v>
      </c>
      <c r="AC73" s="408">
        <f t="shared" si="58"/>
        <v>-25507.652057057887</v>
      </c>
      <c r="AD73" s="408">
        <f t="shared" si="58"/>
        <v>-25540.665253646759</v>
      </c>
      <c r="AE73" s="408">
        <f t="shared" si="58"/>
        <v>-26532.823111758917</v>
      </c>
      <c r="AF73" s="408">
        <f t="shared" si="58"/>
        <v>-27357.72580113358</v>
      </c>
      <c r="AG73" s="408">
        <f t="shared" si="58"/>
        <v>-27945.942480414145</v>
      </c>
      <c r="AH73" s="408">
        <f t="shared" si="58"/>
        <v>-28844.11403461243</v>
      </c>
      <c r="AI73" s="44">
        <f t="shared" si="58"/>
        <v>-12533.657509964018</v>
      </c>
    </row>
    <row r="74" spans="1:36" x14ac:dyDescent="0.25">
      <c r="A74" s="71"/>
      <c r="B74" s="399"/>
      <c r="C74" s="404" t="s">
        <v>87</v>
      </c>
      <c r="D74" s="53"/>
      <c r="E74" s="407">
        <f t="shared" ref="E74:AI74" si="59">(E70*$T$7)/$T$1</f>
        <v>128.8225360091503</v>
      </c>
      <c r="F74" s="407">
        <f t="shared" si="59"/>
        <v>128.8225360091503</v>
      </c>
      <c r="G74" s="407">
        <f t="shared" si="59"/>
        <v>128.8225360091503</v>
      </c>
      <c r="H74" s="407">
        <f t="shared" si="59"/>
        <v>128.8225360091503</v>
      </c>
      <c r="I74" s="407">
        <f t="shared" si="59"/>
        <v>128.8225360091503</v>
      </c>
      <c r="J74" s="407">
        <f t="shared" si="59"/>
        <v>128.8225360091503</v>
      </c>
      <c r="K74" s="407">
        <f t="shared" si="59"/>
        <v>128.8225360091503</v>
      </c>
      <c r="L74" s="407">
        <f t="shared" si="59"/>
        <v>128.8225360091503</v>
      </c>
      <c r="M74" s="407">
        <f t="shared" si="59"/>
        <v>128.8225360091503</v>
      </c>
      <c r="N74" s="407">
        <f t="shared" si="59"/>
        <v>128.8225360091503</v>
      </c>
      <c r="O74" s="407">
        <f t="shared" si="59"/>
        <v>128.8225360091503</v>
      </c>
      <c r="P74" s="407">
        <f t="shared" si="59"/>
        <v>128.8225360091503</v>
      </c>
      <c r="Q74" s="407">
        <f t="shared" si="59"/>
        <v>128.8225360091503</v>
      </c>
      <c r="R74" s="407">
        <f t="shared" si="59"/>
        <v>128.8225360091503</v>
      </c>
      <c r="S74" s="407">
        <f t="shared" si="59"/>
        <v>128.8225360091503</v>
      </c>
      <c r="T74" s="407">
        <f t="shared" si="59"/>
        <v>128.8225360091503</v>
      </c>
      <c r="U74" s="407">
        <f t="shared" si="59"/>
        <v>128.8225360091503</v>
      </c>
      <c r="V74" s="407">
        <f t="shared" si="59"/>
        <v>128.8225360091503</v>
      </c>
      <c r="W74" s="407">
        <f t="shared" si="59"/>
        <v>128.8225360091503</v>
      </c>
      <c r="X74" s="407">
        <f t="shared" si="59"/>
        <v>128.8225360091503</v>
      </c>
      <c r="Y74" s="407">
        <f t="shared" si="59"/>
        <v>128.8225360091503</v>
      </c>
      <c r="Z74" s="407">
        <f t="shared" si="59"/>
        <v>128.8225360091503</v>
      </c>
      <c r="AA74" s="407">
        <f t="shared" si="59"/>
        <v>128.8225360091503</v>
      </c>
      <c r="AB74" s="407">
        <f t="shared" si="59"/>
        <v>128.8225360091503</v>
      </c>
      <c r="AC74" s="407">
        <f t="shared" si="59"/>
        <v>128.8225360091503</v>
      </c>
      <c r="AD74" s="407">
        <f t="shared" si="59"/>
        <v>128.8225360091503</v>
      </c>
      <c r="AE74" s="407">
        <f t="shared" si="59"/>
        <v>128.8225360091503</v>
      </c>
      <c r="AF74" s="407">
        <f t="shared" si="59"/>
        <v>128.8225360091503</v>
      </c>
      <c r="AG74" s="407">
        <f t="shared" si="59"/>
        <v>128.8225360091503</v>
      </c>
      <c r="AH74" s="407">
        <f t="shared" si="59"/>
        <v>128.8225360091503</v>
      </c>
      <c r="AI74" s="54">
        <f t="shared" si="59"/>
        <v>128.8225360091503</v>
      </c>
    </row>
    <row r="75" spans="1:36" x14ac:dyDescent="0.25">
      <c r="A75" s="71"/>
      <c r="B75" s="399"/>
      <c r="C75" s="404" t="s">
        <v>88</v>
      </c>
      <c r="D75" s="53"/>
      <c r="E75" s="407">
        <f t="shared" ref="E75:AI75" si="60">E25-E74</f>
        <v>16.652147094562082</v>
      </c>
      <c r="F75" s="407">
        <f t="shared" si="60"/>
        <v>16.652147094562082</v>
      </c>
      <c r="G75" s="407">
        <f t="shared" si="60"/>
        <v>16.652147094562082</v>
      </c>
      <c r="H75" s="407">
        <f t="shared" si="60"/>
        <v>16.652147094562082</v>
      </c>
      <c r="I75" s="407">
        <f t="shared" si="60"/>
        <v>16.652147094562082</v>
      </c>
      <c r="J75" s="407">
        <f t="shared" si="60"/>
        <v>16.652147094562082</v>
      </c>
      <c r="K75" s="407">
        <f t="shared" si="60"/>
        <v>16.652147094562082</v>
      </c>
      <c r="L75" s="407">
        <f t="shared" si="60"/>
        <v>16.652147094562082</v>
      </c>
      <c r="M75" s="407">
        <f t="shared" si="60"/>
        <v>16.652147094562082</v>
      </c>
      <c r="N75" s="407">
        <f t="shared" si="60"/>
        <v>16.652147094562082</v>
      </c>
      <c r="O75" s="407">
        <f t="shared" si="60"/>
        <v>16.652147094562082</v>
      </c>
      <c r="P75" s="407">
        <f t="shared" si="60"/>
        <v>16.652147094562082</v>
      </c>
      <c r="Q75" s="407">
        <f t="shared" si="60"/>
        <v>16.652147094562082</v>
      </c>
      <c r="R75" s="407">
        <f t="shared" si="60"/>
        <v>16.652147094562082</v>
      </c>
      <c r="S75" s="407">
        <f t="shared" si="60"/>
        <v>16.652147094562082</v>
      </c>
      <c r="T75" s="407">
        <f t="shared" si="60"/>
        <v>16.652147094562082</v>
      </c>
      <c r="U75" s="407">
        <f t="shared" si="60"/>
        <v>16.652147094562082</v>
      </c>
      <c r="V75" s="407">
        <f t="shared" si="60"/>
        <v>16.652147094562082</v>
      </c>
      <c r="W75" s="407">
        <f t="shared" si="60"/>
        <v>16.652147094562082</v>
      </c>
      <c r="X75" s="407">
        <f t="shared" si="60"/>
        <v>16.652147094562082</v>
      </c>
      <c r="Y75" s="407">
        <f t="shared" si="60"/>
        <v>16.652147094562082</v>
      </c>
      <c r="Z75" s="407">
        <f t="shared" si="60"/>
        <v>16.652147094562082</v>
      </c>
      <c r="AA75" s="407">
        <f t="shared" si="60"/>
        <v>16.652147094562082</v>
      </c>
      <c r="AB75" s="407">
        <f t="shared" si="60"/>
        <v>16.652147094562082</v>
      </c>
      <c r="AC75" s="407">
        <f t="shared" si="60"/>
        <v>16.652147094562082</v>
      </c>
      <c r="AD75" s="407">
        <f t="shared" si="60"/>
        <v>16.652147094562082</v>
      </c>
      <c r="AE75" s="407">
        <f t="shared" si="60"/>
        <v>16.652147094562082</v>
      </c>
      <c r="AF75" s="407">
        <f t="shared" si="60"/>
        <v>16.652147094562082</v>
      </c>
      <c r="AG75" s="407">
        <f t="shared" si="60"/>
        <v>16.652147094562082</v>
      </c>
      <c r="AH75" s="407">
        <f t="shared" si="60"/>
        <v>16.652147094562082</v>
      </c>
      <c r="AI75" s="54">
        <f t="shared" si="60"/>
        <v>16.652147094562082</v>
      </c>
    </row>
    <row r="76" spans="1:36" ht="15.75" thickBot="1" x14ac:dyDescent="0.3">
      <c r="A76" s="400"/>
      <c r="B76" s="73"/>
      <c r="C76" s="77" t="s">
        <v>89</v>
      </c>
      <c r="D76" s="60"/>
      <c r="E76" s="61">
        <f t="shared" ref="E76:AI76" si="61">E73/E74</f>
        <v>-87.292590424351999</v>
      </c>
      <c r="F76" s="61">
        <f t="shared" si="61"/>
        <v>-74.175191523292838</v>
      </c>
      <c r="G76" s="61">
        <f t="shared" si="61"/>
        <v>-81.770264769346852</v>
      </c>
      <c r="H76" s="61">
        <f t="shared" si="61"/>
        <v>-96.789726351273359</v>
      </c>
      <c r="I76" s="61">
        <f t="shared" si="61"/>
        <v>-101.77211019593641</v>
      </c>
      <c r="J76" s="61">
        <f t="shared" si="61"/>
        <v>-106.25857169018913</v>
      </c>
      <c r="K76" s="61">
        <f t="shared" si="61"/>
        <v>-112.04830446714202</v>
      </c>
      <c r="L76" s="61">
        <f t="shared" si="61"/>
        <v>-115.15354391770542</v>
      </c>
      <c r="M76" s="61">
        <f t="shared" si="61"/>
        <v>-121.16276201761573</v>
      </c>
      <c r="N76" s="61">
        <f t="shared" si="61"/>
        <v>-118.56676378427521</v>
      </c>
      <c r="O76" s="61">
        <f t="shared" si="61"/>
        <v>-129.9803737252424</v>
      </c>
      <c r="P76" s="61">
        <f t="shared" si="61"/>
        <v>-133.08796685867404</v>
      </c>
      <c r="Q76" s="61">
        <f t="shared" si="61"/>
        <v>-139.00328736212106</v>
      </c>
      <c r="R76" s="61">
        <f t="shared" si="61"/>
        <v>-143.38683025878166</v>
      </c>
      <c r="S76" s="61">
        <f t="shared" si="61"/>
        <v>-147.21723795594286</v>
      </c>
      <c r="T76" s="61">
        <f t="shared" si="61"/>
        <v>-150.94459663788126</v>
      </c>
      <c r="U76" s="61">
        <f t="shared" si="61"/>
        <v>-153.89286716644941</v>
      </c>
      <c r="V76" s="61">
        <f t="shared" si="61"/>
        <v>-159.33948305626649</v>
      </c>
      <c r="W76" s="61">
        <f t="shared" si="61"/>
        <v>-164.96960510754909</v>
      </c>
      <c r="X76" s="61">
        <f t="shared" si="61"/>
        <v>-165.6448152099679</v>
      </c>
      <c r="Y76" s="61">
        <f t="shared" si="61"/>
        <v>-173.21423741683884</v>
      </c>
      <c r="Z76" s="61">
        <f t="shared" si="61"/>
        <v>-179.94354159313616</v>
      </c>
      <c r="AA76" s="61">
        <f t="shared" si="61"/>
        <v>-183.86870529896794</v>
      </c>
      <c r="AB76" s="61">
        <f t="shared" si="61"/>
        <v>-191.25515940369229</v>
      </c>
      <c r="AC76" s="61">
        <f t="shared" si="61"/>
        <v>-198.00613190262044</v>
      </c>
      <c r="AD76" s="61">
        <f t="shared" si="61"/>
        <v>-198.26240070163345</v>
      </c>
      <c r="AE76" s="61">
        <f t="shared" si="61"/>
        <v>-205.96414209602491</v>
      </c>
      <c r="AF76" s="61">
        <f t="shared" si="61"/>
        <v>-212.36754568463357</v>
      </c>
      <c r="AG76" s="61">
        <f t="shared" si="61"/>
        <v>-216.93364644233628</v>
      </c>
      <c r="AH76" s="61">
        <f t="shared" si="61"/>
        <v>-223.90580816204104</v>
      </c>
      <c r="AI76" s="62">
        <f t="shared" si="61"/>
        <v>-97.293982079919218</v>
      </c>
      <c r="AJ76" s="402"/>
    </row>
    <row r="77" spans="1:36" x14ac:dyDescent="0.25">
      <c r="A77" s="401" t="s">
        <v>735</v>
      </c>
      <c r="B77" s="396"/>
      <c r="C77" s="403" t="s">
        <v>738</v>
      </c>
      <c r="D77" s="53"/>
      <c r="E77" s="407"/>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54"/>
    </row>
    <row r="78" spans="1:36" x14ac:dyDescent="0.25">
      <c r="A78" s="520" t="s">
        <v>736</v>
      </c>
      <c r="B78" s="521">
        <v>-0.15</v>
      </c>
      <c r="C78" s="404" t="s">
        <v>102</v>
      </c>
      <c r="D78" s="53"/>
      <c r="E78" s="407"/>
      <c r="F78" s="431">
        <f>G66/F66</f>
        <v>1.0312126218850211</v>
      </c>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54"/>
    </row>
    <row r="79" spans="1:36" x14ac:dyDescent="0.25">
      <c r="A79" s="520" t="s">
        <v>73</v>
      </c>
      <c r="B79" s="398"/>
      <c r="C79" s="404" t="s">
        <v>103</v>
      </c>
      <c r="D79" s="53" t="s">
        <v>737</v>
      </c>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54"/>
    </row>
    <row r="80" spans="1:36" x14ac:dyDescent="0.25">
      <c r="A80" s="71"/>
      <c r="B80" s="399"/>
      <c r="C80" s="404" t="s">
        <v>74</v>
      </c>
      <c r="D80" s="53"/>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54"/>
    </row>
    <row r="81" spans="1:35" x14ac:dyDescent="0.25">
      <c r="A81" s="519" t="s">
        <v>809</v>
      </c>
      <c r="B81" s="399"/>
      <c r="C81" s="404" t="s">
        <v>75</v>
      </c>
      <c r="D81" s="53">
        <f>$D$10/$G$6</f>
        <v>17772.511848341233</v>
      </c>
      <c r="E81" s="407">
        <f t="shared" ref="E81:AI81" si="62">$D$10/$G$6</f>
        <v>17772.511848341233</v>
      </c>
      <c r="F81" s="407">
        <f t="shared" si="62"/>
        <v>17772.511848341233</v>
      </c>
      <c r="G81" s="407">
        <f t="shared" si="62"/>
        <v>17772.511848341233</v>
      </c>
      <c r="H81" s="407">
        <f t="shared" si="62"/>
        <v>17772.511848341233</v>
      </c>
      <c r="I81" s="407">
        <f t="shared" si="62"/>
        <v>17772.511848341233</v>
      </c>
      <c r="J81" s="407">
        <f t="shared" si="62"/>
        <v>17772.511848341233</v>
      </c>
      <c r="K81" s="407">
        <f t="shared" si="62"/>
        <v>17772.511848341233</v>
      </c>
      <c r="L81" s="407">
        <f t="shared" si="62"/>
        <v>17772.511848341233</v>
      </c>
      <c r="M81" s="407">
        <f t="shared" si="62"/>
        <v>17772.511848341233</v>
      </c>
      <c r="N81" s="407">
        <f t="shared" si="62"/>
        <v>17772.511848341233</v>
      </c>
      <c r="O81" s="407">
        <f t="shared" si="62"/>
        <v>17772.511848341233</v>
      </c>
      <c r="P81" s="407">
        <f t="shared" si="62"/>
        <v>17772.511848341233</v>
      </c>
      <c r="Q81" s="407">
        <f t="shared" si="62"/>
        <v>17772.511848341233</v>
      </c>
      <c r="R81" s="407">
        <f t="shared" si="62"/>
        <v>17772.511848341233</v>
      </c>
      <c r="S81" s="407">
        <f t="shared" si="62"/>
        <v>17772.511848341233</v>
      </c>
      <c r="T81" s="407">
        <f t="shared" si="62"/>
        <v>17772.511848341233</v>
      </c>
      <c r="U81" s="407">
        <f t="shared" si="62"/>
        <v>17772.511848341233</v>
      </c>
      <c r="V81" s="407">
        <f t="shared" si="62"/>
        <v>17772.511848341233</v>
      </c>
      <c r="W81" s="407">
        <f t="shared" si="62"/>
        <v>17772.511848341233</v>
      </c>
      <c r="X81" s="407">
        <f t="shared" si="62"/>
        <v>17772.511848341233</v>
      </c>
      <c r="Y81" s="407">
        <f t="shared" si="62"/>
        <v>17772.511848341233</v>
      </c>
      <c r="Z81" s="407">
        <f t="shared" si="62"/>
        <v>17772.511848341233</v>
      </c>
      <c r="AA81" s="407">
        <f t="shared" si="62"/>
        <v>17772.511848341233</v>
      </c>
      <c r="AB81" s="407">
        <f t="shared" si="62"/>
        <v>17772.511848341233</v>
      </c>
      <c r="AC81" s="407">
        <f t="shared" si="62"/>
        <v>17772.511848341233</v>
      </c>
      <c r="AD81" s="407">
        <f t="shared" si="62"/>
        <v>17772.511848341233</v>
      </c>
      <c r="AE81" s="407">
        <f t="shared" si="62"/>
        <v>17772.511848341233</v>
      </c>
      <c r="AF81" s="407">
        <f t="shared" si="62"/>
        <v>17772.511848341233</v>
      </c>
      <c r="AG81" s="407">
        <f t="shared" si="62"/>
        <v>17772.511848341233</v>
      </c>
      <c r="AH81" s="407">
        <f t="shared" si="62"/>
        <v>17772.511848341233</v>
      </c>
      <c r="AI81" s="54">
        <f t="shared" si="62"/>
        <v>17772.511848341233</v>
      </c>
    </row>
    <row r="82" spans="1:35" x14ac:dyDescent="0.25">
      <c r="A82" s="71"/>
      <c r="B82" s="399"/>
      <c r="C82" s="404" t="s">
        <v>79</v>
      </c>
      <c r="D82" s="53">
        <f>$D$10*$K$11</f>
        <v>26760.000000000004</v>
      </c>
      <c r="E82" s="407">
        <f t="shared" ref="E82:AI82" si="63">$D$10*$K$11</f>
        <v>26760.000000000004</v>
      </c>
      <c r="F82" s="407">
        <f t="shared" si="63"/>
        <v>26760.000000000004</v>
      </c>
      <c r="G82" s="407">
        <f t="shared" si="63"/>
        <v>26760.000000000004</v>
      </c>
      <c r="H82" s="407">
        <f t="shared" si="63"/>
        <v>26760.000000000004</v>
      </c>
      <c r="I82" s="407">
        <f t="shared" si="63"/>
        <v>26760.000000000004</v>
      </c>
      <c r="J82" s="407">
        <f t="shared" si="63"/>
        <v>26760.000000000004</v>
      </c>
      <c r="K82" s="407">
        <f t="shared" si="63"/>
        <v>26760.000000000004</v>
      </c>
      <c r="L82" s="407">
        <f t="shared" si="63"/>
        <v>26760.000000000004</v>
      </c>
      <c r="M82" s="407">
        <f t="shared" si="63"/>
        <v>26760.000000000004</v>
      </c>
      <c r="N82" s="407">
        <f t="shared" si="63"/>
        <v>26760.000000000004</v>
      </c>
      <c r="O82" s="407">
        <f t="shared" si="63"/>
        <v>26760.000000000004</v>
      </c>
      <c r="P82" s="407">
        <f t="shared" si="63"/>
        <v>26760.000000000004</v>
      </c>
      <c r="Q82" s="407">
        <f t="shared" si="63"/>
        <v>26760.000000000004</v>
      </c>
      <c r="R82" s="407">
        <f t="shared" si="63"/>
        <v>26760.000000000004</v>
      </c>
      <c r="S82" s="407">
        <f t="shared" si="63"/>
        <v>26760.000000000004</v>
      </c>
      <c r="T82" s="407">
        <f t="shared" si="63"/>
        <v>26760.000000000004</v>
      </c>
      <c r="U82" s="407">
        <f t="shared" si="63"/>
        <v>26760.000000000004</v>
      </c>
      <c r="V82" s="407">
        <f t="shared" si="63"/>
        <v>26760.000000000004</v>
      </c>
      <c r="W82" s="407">
        <f t="shared" si="63"/>
        <v>26760.000000000004</v>
      </c>
      <c r="X82" s="407">
        <f t="shared" si="63"/>
        <v>26760.000000000004</v>
      </c>
      <c r="Y82" s="407">
        <f t="shared" si="63"/>
        <v>26760.000000000004</v>
      </c>
      <c r="Z82" s="407">
        <f t="shared" si="63"/>
        <v>26760.000000000004</v>
      </c>
      <c r="AA82" s="407">
        <f t="shared" si="63"/>
        <v>26760.000000000004</v>
      </c>
      <c r="AB82" s="407">
        <f t="shared" si="63"/>
        <v>26760.000000000004</v>
      </c>
      <c r="AC82" s="407">
        <f t="shared" si="63"/>
        <v>26760.000000000004</v>
      </c>
      <c r="AD82" s="407">
        <f t="shared" si="63"/>
        <v>26760.000000000004</v>
      </c>
      <c r="AE82" s="407">
        <f t="shared" si="63"/>
        <v>26760.000000000004</v>
      </c>
      <c r="AF82" s="407">
        <f t="shared" si="63"/>
        <v>26760.000000000004</v>
      </c>
      <c r="AG82" s="407">
        <f t="shared" si="63"/>
        <v>26760.000000000004</v>
      </c>
      <c r="AH82" s="407">
        <f t="shared" si="63"/>
        <v>26760.000000000004</v>
      </c>
      <c r="AI82" s="54">
        <f t="shared" si="63"/>
        <v>26760.000000000004</v>
      </c>
    </row>
    <row r="83" spans="1:35" x14ac:dyDescent="0.25">
      <c r="A83" s="71"/>
      <c r="B83" s="399"/>
      <c r="C83" s="404" t="s">
        <v>80</v>
      </c>
      <c r="D83" s="53"/>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54"/>
    </row>
    <row r="84" spans="1:35" x14ac:dyDescent="0.25">
      <c r="A84" s="71"/>
      <c r="B84" s="399"/>
      <c r="C84" s="404" t="s">
        <v>86</v>
      </c>
      <c r="D84" s="53"/>
      <c r="E84" s="407"/>
      <c r="F84" s="407"/>
      <c r="G84" s="407"/>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54"/>
    </row>
    <row r="85" spans="1:35" x14ac:dyDescent="0.25">
      <c r="A85" s="71"/>
      <c r="B85" s="399"/>
      <c r="C85" s="404" t="s">
        <v>87</v>
      </c>
      <c r="D85" s="53">
        <f>(D81*$Z$7)/$T$1</f>
        <v>62.557126372403388</v>
      </c>
      <c r="E85" s="407">
        <f t="shared" ref="E85:AI85" si="64">(E81*$Z$7)/$T$1</f>
        <v>62.557126372403388</v>
      </c>
      <c r="F85" s="407">
        <f t="shared" si="64"/>
        <v>62.557126372403388</v>
      </c>
      <c r="G85" s="407">
        <f t="shared" si="64"/>
        <v>62.557126372403388</v>
      </c>
      <c r="H85" s="407">
        <f t="shared" si="64"/>
        <v>62.557126372403388</v>
      </c>
      <c r="I85" s="407">
        <f t="shared" si="64"/>
        <v>62.557126372403388</v>
      </c>
      <c r="J85" s="407">
        <f t="shared" si="64"/>
        <v>62.557126372403388</v>
      </c>
      <c r="K85" s="407">
        <f t="shared" si="64"/>
        <v>62.557126372403388</v>
      </c>
      <c r="L85" s="407">
        <f t="shared" si="64"/>
        <v>62.557126372403388</v>
      </c>
      <c r="M85" s="407">
        <f t="shared" si="64"/>
        <v>62.557126372403388</v>
      </c>
      <c r="N85" s="407">
        <f t="shared" si="64"/>
        <v>62.557126372403388</v>
      </c>
      <c r="O85" s="407">
        <f t="shared" si="64"/>
        <v>62.557126372403388</v>
      </c>
      <c r="P85" s="407">
        <f t="shared" si="64"/>
        <v>62.557126372403388</v>
      </c>
      <c r="Q85" s="407">
        <f t="shared" si="64"/>
        <v>62.557126372403388</v>
      </c>
      <c r="R85" s="407">
        <f t="shared" si="64"/>
        <v>62.557126372403388</v>
      </c>
      <c r="S85" s="407">
        <f t="shared" si="64"/>
        <v>62.557126372403388</v>
      </c>
      <c r="T85" s="407">
        <f t="shared" si="64"/>
        <v>62.557126372403388</v>
      </c>
      <c r="U85" s="407">
        <f t="shared" si="64"/>
        <v>62.557126372403388</v>
      </c>
      <c r="V85" s="407">
        <f t="shared" si="64"/>
        <v>62.557126372403388</v>
      </c>
      <c r="W85" s="407">
        <f t="shared" si="64"/>
        <v>62.557126372403388</v>
      </c>
      <c r="X85" s="407">
        <f t="shared" si="64"/>
        <v>62.557126372403388</v>
      </c>
      <c r="Y85" s="407">
        <f t="shared" si="64"/>
        <v>62.557126372403388</v>
      </c>
      <c r="Z85" s="407">
        <f t="shared" si="64"/>
        <v>62.557126372403388</v>
      </c>
      <c r="AA85" s="407">
        <f t="shared" si="64"/>
        <v>62.557126372403388</v>
      </c>
      <c r="AB85" s="407">
        <f t="shared" si="64"/>
        <v>62.557126372403388</v>
      </c>
      <c r="AC85" s="407">
        <f t="shared" si="64"/>
        <v>62.557126372403388</v>
      </c>
      <c r="AD85" s="407">
        <f t="shared" si="64"/>
        <v>62.557126372403388</v>
      </c>
      <c r="AE85" s="407">
        <f t="shared" si="64"/>
        <v>62.557126372403388</v>
      </c>
      <c r="AF85" s="407">
        <f t="shared" si="64"/>
        <v>62.557126372403388</v>
      </c>
      <c r="AG85" s="407">
        <f t="shared" si="64"/>
        <v>62.557126372403388</v>
      </c>
      <c r="AH85" s="407">
        <f t="shared" si="64"/>
        <v>62.557126372403388</v>
      </c>
      <c r="AI85" s="54">
        <f t="shared" si="64"/>
        <v>62.557126372403388</v>
      </c>
    </row>
    <row r="86" spans="1:35" x14ac:dyDescent="0.25">
      <c r="A86" s="71"/>
      <c r="B86" s="399"/>
      <c r="C86" s="404" t="s">
        <v>88</v>
      </c>
      <c r="D86" s="53">
        <f>D49-D85</f>
        <v>-62.557126372403388</v>
      </c>
      <c r="E86" s="407">
        <f t="shared" ref="E86:AI86" si="65">E49-E85</f>
        <v>66.435451011786483</v>
      </c>
      <c r="F86" s="407">
        <f t="shared" si="65"/>
        <v>66.435451011786483</v>
      </c>
      <c r="G86" s="407">
        <f t="shared" si="65"/>
        <v>66.435451011786483</v>
      </c>
      <c r="H86" s="407">
        <f t="shared" si="65"/>
        <v>66.435451011786483</v>
      </c>
      <c r="I86" s="407">
        <f t="shared" si="65"/>
        <v>66.435451011786483</v>
      </c>
      <c r="J86" s="407">
        <f t="shared" si="65"/>
        <v>66.435451011786483</v>
      </c>
      <c r="K86" s="407">
        <f t="shared" si="65"/>
        <v>66.435451011786483</v>
      </c>
      <c r="L86" s="407">
        <f t="shared" si="65"/>
        <v>66.435451011786483</v>
      </c>
      <c r="M86" s="407">
        <f t="shared" si="65"/>
        <v>66.435451011786483</v>
      </c>
      <c r="N86" s="407">
        <f t="shared" si="65"/>
        <v>66.435451011786483</v>
      </c>
      <c r="O86" s="407">
        <f t="shared" si="65"/>
        <v>66.435451011786483</v>
      </c>
      <c r="P86" s="407">
        <f t="shared" si="65"/>
        <v>66.435451011786483</v>
      </c>
      <c r="Q86" s="407">
        <f t="shared" si="65"/>
        <v>66.435451011786483</v>
      </c>
      <c r="R86" s="407">
        <f t="shared" si="65"/>
        <v>66.435451011786483</v>
      </c>
      <c r="S86" s="407">
        <f t="shared" si="65"/>
        <v>66.435451011786483</v>
      </c>
      <c r="T86" s="407">
        <f t="shared" si="65"/>
        <v>66.435451011786483</v>
      </c>
      <c r="U86" s="407">
        <f t="shared" si="65"/>
        <v>66.435451011786483</v>
      </c>
      <c r="V86" s="407">
        <f t="shared" si="65"/>
        <v>66.435451011786483</v>
      </c>
      <c r="W86" s="407">
        <f t="shared" si="65"/>
        <v>66.435451011786483</v>
      </c>
      <c r="X86" s="407">
        <f t="shared" si="65"/>
        <v>66.435451011786483</v>
      </c>
      <c r="Y86" s="407">
        <f t="shared" si="65"/>
        <v>66.435451011786483</v>
      </c>
      <c r="Z86" s="407">
        <f t="shared" si="65"/>
        <v>66.435451011786483</v>
      </c>
      <c r="AA86" s="407">
        <f t="shared" si="65"/>
        <v>66.435451011786483</v>
      </c>
      <c r="AB86" s="407">
        <f t="shared" si="65"/>
        <v>66.435451011786483</v>
      </c>
      <c r="AC86" s="407">
        <f t="shared" si="65"/>
        <v>66.435451011786483</v>
      </c>
      <c r="AD86" s="407">
        <f t="shared" si="65"/>
        <v>66.435451011786483</v>
      </c>
      <c r="AE86" s="407">
        <f t="shared" si="65"/>
        <v>66.435451011786483</v>
      </c>
      <c r="AF86" s="407">
        <f t="shared" si="65"/>
        <v>66.435451011786483</v>
      </c>
      <c r="AG86" s="407">
        <f t="shared" si="65"/>
        <v>66.435451011786483</v>
      </c>
      <c r="AH86" s="407">
        <f t="shared" si="65"/>
        <v>66.435451011786483</v>
      </c>
      <c r="AI86" s="54">
        <f t="shared" si="65"/>
        <v>66.435451011786483</v>
      </c>
    </row>
    <row r="87" spans="1:35" ht="15.75" thickBot="1" x14ac:dyDescent="0.3">
      <c r="A87" s="400"/>
      <c r="B87" s="73"/>
      <c r="C87" s="77" t="s">
        <v>89</v>
      </c>
      <c r="D87" s="48"/>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50"/>
    </row>
    <row r="88" spans="1:35" x14ac:dyDescent="0.25">
      <c r="A88" s="51" t="s">
        <v>104</v>
      </c>
      <c r="B88" s="855" t="s">
        <v>105</v>
      </c>
      <c r="C88" s="855"/>
      <c r="D88" s="481"/>
      <c r="E88" s="480">
        <v>34.841343000000002</v>
      </c>
      <c r="F88" s="480">
        <v>36.773609</v>
      </c>
      <c r="G88" s="480">
        <v>36.414726000000002</v>
      </c>
      <c r="H88" s="480">
        <v>36.211517000000001</v>
      </c>
      <c r="I88" s="480">
        <v>36.276618999999997</v>
      </c>
      <c r="J88" s="480">
        <v>37.016506</v>
      </c>
      <c r="K88" s="480">
        <v>38.143538999999997</v>
      </c>
      <c r="L88" s="480">
        <v>39.214970000000001</v>
      </c>
      <c r="M88" s="480">
        <v>40.336727000000003</v>
      </c>
      <c r="N88" s="480">
        <v>41.543605999999997</v>
      </c>
      <c r="O88" s="480">
        <v>42.519081</v>
      </c>
      <c r="P88" s="480">
        <v>43.751674999999999</v>
      </c>
      <c r="Q88" s="480">
        <v>44.778942000000001</v>
      </c>
      <c r="R88" s="480">
        <v>46.098388999999997</v>
      </c>
      <c r="S88" s="480">
        <v>47.21011</v>
      </c>
      <c r="T88" s="480">
        <v>48.118003999999999</v>
      </c>
      <c r="U88" s="480">
        <v>49.015137000000003</v>
      </c>
      <c r="V88" s="480">
        <v>49.924931000000001</v>
      </c>
      <c r="W88" s="480">
        <v>50.775455000000001</v>
      </c>
      <c r="X88" s="480">
        <v>51.588940000000001</v>
      </c>
      <c r="Y88" s="480">
        <v>52.506832000000003</v>
      </c>
      <c r="Z88" s="480">
        <v>53.428417000000003</v>
      </c>
      <c r="AA88" s="480">
        <v>54.385193000000001</v>
      </c>
      <c r="AB88" s="480">
        <v>55.135845000000003</v>
      </c>
      <c r="AC88" s="480">
        <v>56.157252999999997</v>
      </c>
      <c r="AD88" s="480">
        <v>57.272537</v>
      </c>
      <c r="AE88" s="480">
        <v>58.410544999999999</v>
      </c>
      <c r="AF88" s="480">
        <v>59.689537000000001</v>
      </c>
      <c r="AG88" s="480">
        <v>61.105618</v>
      </c>
      <c r="AH88" s="480">
        <v>62.552036000000001</v>
      </c>
      <c r="AI88" s="482">
        <v>63.886558999999998</v>
      </c>
    </row>
    <row r="89" spans="1:35" x14ac:dyDescent="0.25">
      <c r="A89" s="52"/>
      <c r="B89" s="65"/>
      <c r="C89" s="385" t="s">
        <v>704</v>
      </c>
      <c r="D89" s="74"/>
      <c r="E89" s="405">
        <f t="shared" ref="E89:AI89" si="66">E88/(1000000/3412)</f>
        <v>0.11887866231600001</v>
      </c>
      <c r="F89" s="405">
        <f t="shared" si="66"/>
        <v>0.12547155390799999</v>
      </c>
      <c r="G89" s="405">
        <f t="shared" si="66"/>
        <v>0.12424704511200001</v>
      </c>
      <c r="H89" s="405">
        <f t="shared" si="66"/>
        <v>0.123553696004</v>
      </c>
      <c r="I89" s="405">
        <f t="shared" si="66"/>
        <v>0.12377582402799998</v>
      </c>
      <c r="J89" s="405">
        <f t="shared" si="66"/>
        <v>0.12630031847199999</v>
      </c>
      <c r="K89" s="405">
        <f t="shared" si="66"/>
        <v>0.130145755068</v>
      </c>
      <c r="L89" s="405">
        <f t="shared" si="66"/>
        <v>0.13380147764</v>
      </c>
      <c r="M89" s="405">
        <f t="shared" si="66"/>
        <v>0.137628912524</v>
      </c>
      <c r="N89" s="405">
        <f t="shared" si="66"/>
        <v>0.141746783672</v>
      </c>
      <c r="O89" s="405">
        <f t="shared" si="66"/>
        <v>0.145075104372</v>
      </c>
      <c r="P89" s="405">
        <f t="shared" si="66"/>
        <v>0.14928071509999999</v>
      </c>
      <c r="Q89" s="405">
        <f t="shared" si="66"/>
        <v>0.152785750104</v>
      </c>
      <c r="R89" s="405">
        <f t="shared" si="66"/>
        <v>0.15728770326799998</v>
      </c>
      <c r="S89" s="405">
        <f t="shared" si="66"/>
        <v>0.16108089532</v>
      </c>
      <c r="T89" s="405">
        <f t="shared" si="66"/>
        <v>0.16417862964800001</v>
      </c>
      <c r="U89" s="405">
        <f t="shared" si="66"/>
        <v>0.16723964744400002</v>
      </c>
      <c r="V89" s="405">
        <f t="shared" si="66"/>
        <v>0.17034386457200001</v>
      </c>
      <c r="W89" s="405">
        <f t="shared" si="66"/>
        <v>0.17324585246000002</v>
      </c>
      <c r="X89" s="405">
        <f t="shared" si="66"/>
        <v>0.17602146328000001</v>
      </c>
      <c r="Y89" s="405">
        <f t="shared" si="66"/>
        <v>0.17915331078400001</v>
      </c>
      <c r="Z89" s="405">
        <f t="shared" si="66"/>
        <v>0.18229775880400001</v>
      </c>
      <c r="AA89" s="405">
        <f t="shared" si="66"/>
        <v>0.18556227851600002</v>
      </c>
      <c r="AB89" s="405">
        <f t="shared" si="66"/>
        <v>0.18812350314000001</v>
      </c>
      <c r="AC89" s="405">
        <f t="shared" si="66"/>
        <v>0.19160854723599999</v>
      </c>
      <c r="AD89" s="405">
        <f t="shared" si="66"/>
        <v>0.19541389624399999</v>
      </c>
      <c r="AE89" s="405">
        <f t="shared" si="66"/>
        <v>0.19929677954</v>
      </c>
      <c r="AF89" s="405">
        <f t="shared" si="66"/>
        <v>0.20366070024400001</v>
      </c>
      <c r="AG89" s="405">
        <f t="shared" si="66"/>
        <v>0.20849236861600001</v>
      </c>
      <c r="AH89" s="405">
        <f t="shared" si="66"/>
        <v>0.21342754683199999</v>
      </c>
      <c r="AI89" s="67">
        <f t="shared" si="66"/>
        <v>0.217980939308</v>
      </c>
    </row>
    <row r="90" spans="1:35" x14ac:dyDescent="0.25">
      <c r="A90" s="52"/>
      <c r="B90" s="65"/>
      <c r="C90" s="385" t="s">
        <v>715</v>
      </c>
      <c r="D90" s="74"/>
      <c r="E90" s="419">
        <f>1-(D89/E89)</f>
        <v>1</v>
      </c>
      <c r="F90" s="419">
        <f t="shared" ref="F90:AI90" si="67">1-(E89/F89)</f>
        <v>5.2544910672215894E-2</v>
      </c>
      <c r="G90" s="419">
        <f t="shared" si="67"/>
        <v>-9.8554359574198891E-3</v>
      </c>
      <c r="H90" s="419">
        <f t="shared" si="67"/>
        <v>-5.6117229222958365E-3</v>
      </c>
      <c r="I90" s="419">
        <f t="shared" si="67"/>
        <v>1.7945994360718531E-3</v>
      </c>
      <c r="J90" s="419">
        <f t="shared" si="67"/>
        <v>1.9988029124088591E-2</v>
      </c>
      <c r="K90" s="419">
        <f t="shared" si="67"/>
        <v>2.9547153451073394E-2</v>
      </c>
      <c r="L90" s="419">
        <f t="shared" si="67"/>
        <v>2.7321989536138847E-2</v>
      </c>
      <c r="M90" s="419">
        <f t="shared" si="67"/>
        <v>2.7809817092993239E-2</v>
      </c>
      <c r="N90" s="419">
        <f t="shared" si="67"/>
        <v>2.9050896544705274E-2</v>
      </c>
      <c r="O90" s="419">
        <f t="shared" si="67"/>
        <v>2.2942052769202581E-2</v>
      </c>
      <c r="P90" s="419">
        <f t="shared" si="67"/>
        <v>2.8172498538627355E-2</v>
      </c>
      <c r="Q90" s="419">
        <f t="shared" si="67"/>
        <v>2.2940850188019279E-2</v>
      </c>
      <c r="R90" s="419">
        <f t="shared" si="67"/>
        <v>2.8622410210473848E-2</v>
      </c>
      <c r="S90" s="419">
        <f t="shared" si="67"/>
        <v>2.3548367076458909E-2</v>
      </c>
      <c r="T90" s="419">
        <f t="shared" si="67"/>
        <v>1.8868072748819742E-2</v>
      </c>
      <c r="U90" s="419">
        <f t="shared" si="67"/>
        <v>1.8303182545424734E-2</v>
      </c>
      <c r="V90" s="419">
        <f t="shared" si="67"/>
        <v>1.8223240008083286E-2</v>
      </c>
      <c r="W90" s="419">
        <f t="shared" si="67"/>
        <v>1.6750691845105137E-2</v>
      </c>
      <c r="X90" s="419">
        <f t="shared" si="67"/>
        <v>1.5768593035639045E-2</v>
      </c>
      <c r="Y90" s="419">
        <f t="shared" si="67"/>
        <v>1.748138223231599E-2</v>
      </c>
      <c r="Z90" s="419">
        <f t="shared" si="67"/>
        <v>1.7248966968270829E-2</v>
      </c>
      <c r="AA90" s="419">
        <f t="shared" si="67"/>
        <v>1.7592582598723205E-2</v>
      </c>
      <c r="AB90" s="419">
        <f t="shared" si="67"/>
        <v>1.361459137880261E-2</v>
      </c>
      <c r="AC90" s="419">
        <f t="shared" si="67"/>
        <v>1.8188354049297861E-2</v>
      </c>
      <c r="AD90" s="419">
        <f t="shared" si="67"/>
        <v>1.9473277392967558E-2</v>
      </c>
      <c r="AE90" s="419">
        <f t="shared" si="67"/>
        <v>1.9482920421304062E-2</v>
      </c>
      <c r="AF90" s="419">
        <f t="shared" si="67"/>
        <v>2.1427406950735861E-2</v>
      </c>
      <c r="AG90" s="419">
        <f t="shared" si="67"/>
        <v>2.3174317621662888E-2</v>
      </c>
      <c r="AH90" s="419">
        <f t="shared" si="67"/>
        <v>2.3123435982163598E-2</v>
      </c>
      <c r="AI90" s="420">
        <f t="shared" si="67"/>
        <v>2.0888947861474327E-2</v>
      </c>
    </row>
    <row r="91" spans="1:35" x14ac:dyDescent="0.25">
      <c r="A91" s="71"/>
      <c r="B91" s="2" t="s">
        <v>106</v>
      </c>
      <c r="C91" s="523">
        <f>IF(B12&gt;B4,(((B4*B5)+((B12-B4)*B6))/D11),((B12*B5)/D11))</f>
        <v>0.1181184</v>
      </c>
      <c r="D91" s="75"/>
      <c r="E91" s="421">
        <f>C91</f>
        <v>0.1181184</v>
      </c>
      <c r="F91" s="421">
        <f>E91+(E91*F90)</f>
        <v>0.12432492077674506</v>
      </c>
      <c r="G91" s="421">
        <f t="shared" ref="G91:AI91" si="68">F91+(F91*G90)</f>
        <v>0.12309964448211855</v>
      </c>
      <c r="H91" s="421">
        <f t="shared" si="68"/>
        <v>0.12240884338545177</v>
      </c>
      <c r="I91" s="421">
        <f t="shared" si="68"/>
        <v>0.1226285182267615</v>
      </c>
      <c r="J91" s="421">
        <f t="shared" si="68"/>
        <v>0.12507962062052183</v>
      </c>
      <c r="K91" s="421">
        <f t="shared" si="68"/>
        <v>0.12877536736459844</v>
      </c>
      <c r="L91" s="421">
        <f t="shared" si="68"/>
        <v>0.13229376660424644</v>
      </c>
      <c r="M91" s="421">
        <f t="shared" si="68"/>
        <v>0.13597283205605368</v>
      </c>
      <c r="N91" s="421">
        <f t="shared" si="68"/>
        <v>0.13992296473300467</v>
      </c>
      <c r="O91" s="421">
        <f t="shared" si="68"/>
        <v>0.14313308477353254</v>
      </c>
      <c r="P91" s="421">
        <f t="shared" si="68"/>
        <v>0.14716550139514412</v>
      </c>
      <c r="Q91" s="421">
        <f t="shared" si="68"/>
        <v>0.15054160311549486</v>
      </c>
      <c r="R91" s="421">
        <f t="shared" si="68"/>
        <v>0.15485046663360891</v>
      </c>
      <c r="S91" s="421">
        <f t="shared" si="68"/>
        <v>0.15849694226385808</v>
      </c>
      <c r="T91" s="421">
        <f t="shared" si="68"/>
        <v>0.16148747410095804</v>
      </c>
      <c r="U91" s="421">
        <f t="shared" si="68"/>
        <v>0.16444320881822741</v>
      </c>
      <c r="V91" s="421">
        <f t="shared" si="68"/>
        <v>0.16743989688022132</v>
      </c>
      <c r="W91" s="421">
        <f t="shared" si="68"/>
        <v>0.17024463099543807</v>
      </c>
      <c r="X91" s="421">
        <f t="shared" si="68"/>
        <v>0.17292914929810768</v>
      </c>
      <c r="Y91" s="421">
        <f t="shared" si="68"/>
        <v>0.17595218985609715</v>
      </c>
      <c r="Z91" s="421">
        <f t="shared" si="68"/>
        <v>0.17898718336691988</v>
      </c>
      <c r="AA91" s="421">
        <f t="shared" si="68"/>
        <v>0.18213603017441524</v>
      </c>
      <c r="AB91" s="421">
        <f t="shared" si="68"/>
        <v>0.18461573780059717</v>
      </c>
      <c r="AC91" s="421">
        <f t="shared" si="68"/>
        <v>0.18797359420278678</v>
      </c>
      <c r="AD91" s="421">
        <f t="shared" si="68"/>
        <v>0.19163405614525075</v>
      </c>
      <c r="AE91" s="421">
        <f t="shared" si="68"/>
        <v>0.19536764721114039</v>
      </c>
      <c r="AF91" s="421">
        <f t="shared" si="68"/>
        <v>0.19955386929294128</v>
      </c>
      <c r="AG91" s="421">
        <f t="shared" si="68"/>
        <v>0.20417839404256771</v>
      </c>
      <c r="AH91" s="421">
        <f t="shared" si="68"/>
        <v>0.20889970006615199</v>
      </c>
      <c r="AI91" s="422">
        <f t="shared" si="68"/>
        <v>0.21326339500911146</v>
      </c>
    </row>
    <row r="92" spans="1:35" x14ac:dyDescent="0.25">
      <c r="A92" s="71"/>
      <c r="B92" s="2" t="s">
        <v>107</v>
      </c>
      <c r="C92" s="524">
        <f>IF(B11&lt;B8,(((B9*B11)+B7)/D11),(((B8*B9)+((B11-B8)*B10))+B7)/D11)</f>
        <v>0.10192799999999999</v>
      </c>
      <c r="D92" s="75"/>
      <c r="E92" s="421">
        <f>C92</f>
        <v>0.10192799999999999</v>
      </c>
      <c r="F92" s="421">
        <f>E92+(E92*F90)</f>
        <v>0.10728379765499761</v>
      </c>
      <c r="G92" s="421">
        <f t="shared" ref="G92:AI92" si="69">F92+(F92*G90)</f>
        <v>0.10622646905793999</v>
      </c>
      <c r="H92" s="421">
        <f t="shared" si="69"/>
        <v>0.105630355546573</v>
      </c>
      <c r="I92" s="421">
        <f t="shared" si="69"/>
        <v>0.10581991972306895</v>
      </c>
      <c r="J92" s="421">
        <f t="shared" si="69"/>
        <v>0.10793505136040236</v>
      </c>
      <c r="K92" s="421">
        <f t="shared" si="69"/>
        <v>0.11112422488569766</v>
      </c>
      <c r="L92" s="421">
        <f t="shared" si="69"/>
        <v>0.11416035979523623</v>
      </c>
      <c r="M92" s="421">
        <f t="shared" si="69"/>
        <v>0.11733513852041205</v>
      </c>
      <c r="N92" s="421">
        <f t="shared" si="69"/>
        <v>0.1207438294906272</v>
      </c>
      <c r="O92" s="421">
        <f t="shared" si="69"/>
        <v>0.12351394079835677</v>
      </c>
      <c r="P92" s="421">
        <f t="shared" si="69"/>
        <v>0.12699363711499859</v>
      </c>
      <c r="Q92" s="421">
        <f t="shared" si="69"/>
        <v>0.12990697911888546</v>
      </c>
      <c r="R92" s="421">
        <f t="shared" si="69"/>
        <v>0.13362522996442966</v>
      </c>
      <c r="S92" s="421">
        <f t="shared" si="69"/>
        <v>0.13677188593030828</v>
      </c>
      <c r="T92" s="421">
        <f t="shared" si="69"/>
        <v>0.1393525078240346</v>
      </c>
      <c r="U92" s="421">
        <f t="shared" si="69"/>
        <v>0.14190310221290064</v>
      </c>
      <c r="V92" s="421">
        <f t="shared" si="69"/>
        <v>0.1444890365024179</v>
      </c>
      <c r="W92" s="421">
        <f t="shared" si="69"/>
        <v>0.14690932782786606</v>
      </c>
      <c r="X92" s="421">
        <f t="shared" si="69"/>
        <v>0.14922588123152297</v>
      </c>
      <c r="Y92" s="421">
        <f t="shared" si="69"/>
        <v>0.15183455590028541</v>
      </c>
      <c r="Z92" s="421">
        <f t="shared" si="69"/>
        <v>0.15445354513965151</v>
      </c>
      <c r="AA92" s="421">
        <f t="shared" si="69"/>
        <v>0.15717078189018646</v>
      </c>
      <c r="AB92" s="421">
        <f t="shared" si="69"/>
        <v>0.15931059786230825</v>
      </c>
      <c r="AC92" s="421">
        <f t="shared" si="69"/>
        <v>0.16220819542003323</v>
      </c>
      <c r="AD92" s="421">
        <f t="shared" si="69"/>
        <v>0.16536692060486022</v>
      </c>
      <c r="AE92" s="421">
        <f t="shared" si="69"/>
        <v>0.16858875115932082</v>
      </c>
      <c r="AF92" s="421">
        <f t="shared" si="69"/>
        <v>0.17220117093772794</v>
      </c>
      <c r="AG92" s="421">
        <f t="shared" si="69"/>
        <v>0.17619181556786112</v>
      </c>
      <c r="AH92" s="421">
        <f t="shared" si="69"/>
        <v>0.18026597573572573</v>
      </c>
      <c r="AI92" s="422">
        <f t="shared" si="69"/>
        <v>0.1840315423040671</v>
      </c>
    </row>
    <row r="93" spans="1:35" x14ac:dyDescent="0.25">
      <c r="A93" s="71"/>
      <c r="C93" s="2" t="s">
        <v>108</v>
      </c>
      <c r="D93" s="68"/>
      <c r="E93" s="423">
        <f>E91+E92</f>
        <v>0.22004639999999998</v>
      </c>
      <c r="F93" s="421">
        <f t="shared" ref="F93:AI93" si="70">F91+F92</f>
        <v>0.23160871843174269</v>
      </c>
      <c r="G93" s="406">
        <f t="shared" si="70"/>
        <v>0.22932611354005855</v>
      </c>
      <c r="H93" s="406">
        <f t="shared" si="70"/>
        <v>0.22803919893202479</v>
      </c>
      <c r="I93" s="406">
        <f t="shared" si="70"/>
        <v>0.22844843794983044</v>
      </c>
      <c r="J93" s="406">
        <f t="shared" si="70"/>
        <v>0.23301467198092418</v>
      </c>
      <c r="K93" s="406">
        <f t="shared" si="70"/>
        <v>0.23989959225029611</v>
      </c>
      <c r="L93" s="406">
        <f t="shared" si="70"/>
        <v>0.24645412639948266</v>
      </c>
      <c r="M93" s="406">
        <f t="shared" si="70"/>
        <v>0.2533079705764657</v>
      </c>
      <c r="N93" s="406">
        <f t="shared" si="70"/>
        <v>0.26066679422363187</v>
      </c>
      <c r="O93" s="406">
        <f t="shared" si="70"/>
        <v>0.2666470255718893</v>
      </c>
      <c r="P93" s="406">
        <f t="shared" si="70"/>
        <v>0.27415913851014273</v>
      </c>
      <c r="Q93" s="406">
        <f t="shared" si="70"/>
        <v>0.28044858223438029</v>
      </c>
      <c r="R93" s="406">
        <f t="shared" si="70"/>
        <v>0.28847569659803857</v>
      </c>
      <c r="S93" s="406">
        <f t="shared" si="70"/>
        <v>0.29526882819416633</v>
      </c>
      <c r="T93" s="406">
        <f t="shared" si="70"/>
        <v>0.30083998192499262</v>
      </c>
      <c r="U93" s="406">
        <f t="shared" si="70"/>
        <v>0.30634631103112808</v>
      </c>
      <c r="V93" s="406">
        <f t="shared" si="70"/>
        <v>0.31192893338263922</v>
      </c>
      <c r="W93" s="406">
        <f t="shared" si="70"/>
        <v>0.31715395882330411</v>
      </c>
      <c r="X93" s="406">
        <f t="shared" si="70"/>
        <v>0.32215503052963068</v>
      </c>
      <c r="Y93" s="406">
        <f t="shared" si="70"/>
        <v>0.32778674575638256</v>
      </c>
      <c r="Z93" s="406">
        <f t="shared" si="70"/>
        <v>0.33344072850657136</v>
      </c>
      <c r="AA93" s="406">
        <f t="shared" si="70"/>
        <v>0.33930681206460167</v>
      </c>
      <c r="AB93" s="406">
        <f t="shared" si="70"/>
        <v>0.34392633566290542</v>
      </c>
      <c r="AC93" s="406">
        <f t="shared" si="70"/>
        <v>0.35018178962281998</v>
      </c>
      <c r="AD93" s="406">
        <f t="shared" si="70"/>
        <v>0.357000976750111</v>
      </c>
      <c r="AE93" s="406">
        <f t="shared" si="70"/>
        <v>0.36395639837046123</v>
      </c>
      <c r="AF93" s="406">
        <f t="shared" si="70"/>
        <v>0.37175504023066919</v>
      </c>
      <c r="AG93" s="406">
        <f t="shared" si="70"/>
        <v>0.38037020961042883</v>
      </c>
      <c r="AH93" s="406">
        <f t="shared" si="70"/>
        <v>0.38916567580187772</v>
      </c>
      <c r="AI93" s="70">
        <f t="shared" si="70"/>
        <v>0.39729493731317855</v>
      </c>
    </row>
    <row r="94" spans="1:35" x14ac:dyDescent="0.25">
      <c r="A94" s="71"/>
      <c r="C94" s="2" t="s">
        <v>74</v>
      </c>
      <c r="D94" s="35"/>
      <c r="E94" s="402">
        <f t="shared" ref="E94:AI94" si="71">E93*$D$10</f>
        <v>16503.48</v>
      </c>
      <c r="F94" s="402">
        <f t="shared" si="71"/>
        <v>17370.653882380702</v>
      </c>
      <c r="G94" s="402">
        <f t="shared" si="71"/>
        <v>17199.45851550439</v>
      </c>
      <c r="H94" s="402">
        <f t="shared" si="71"/>
        <v>17102.939919901859</v>
      </c>
      <c r="I94" s="402">
        <f t="shared" si="71"/>
        <v>17133.632846237284</v>
      </c>
      <c r="J94" s="402">
        <f t="shared" si="71"/>
        <v>17476.100398569313</v>
      </c>
      <c r="K94" s="402">
        <f t="shared" si="71"/>
        <v>17992.469418772209</v>
      </c>
      <c r="L94" s="402">
        <f t="shared" si="71"/>
        <v>18484.059479961201</v>
      </c>
      <c r="M94" s="402">
        <f t="shared" si="71"/>
        <v>18998.097793234927</v>
      </c>
      <c r="N94" s="402">
        <f t="shared" si="71"/>
        <v>19550.009566772391</v>
      </c>
      <c r="O94" s="402">
        <f t="shared" si="71"/>
        <v>19998.526917891697</v>
      </c>
      <c r="P94" s="402">
        <f t="shared" si="71"/>
        <v>20561.935388260707</v>
      </c>
      <c r="Q94" s="402">
        <f t="shared" si="71"/>
        <v>21033.643667578523</v>
      </c>
      <c r="R94" s="402">
        <f t="shared" si="71"/>
        <v>21635.677244852894</v>
      </c>
      <c r="S94" s="402">
        <f t="shared" si="71"/>
        <v>22145.162114562474</v>
      </c>
      <c r="T94" s="402">
        <f t="shared" si="71"/>
        <v>22562.998644374446</v>
      </c>
      <c r="U94" s="402">
        <f t="shared" si="71"/>
        <v>22975.973327334606</v>
      </c>
      <c r="V94" s="402">
        <f t="shared" si="71"/>
        <v>23394.670003697942</v>
      </c>
      <c r="W94" s="402">
        <f t="shared" si="71"/>
        <v>23786.54691174781</v>
      </c>
      <c r="X94" s="402">
        <f t="shared" si="71"/>
        <v>24161.627289722303</v>
      </c>
      <c r="Y94" s="402">
        <f t="shared" si="71"/>
        <v>24584.00593172869</v>
      </c>
      <c r="Z94" s="402">
        <f t="shared" si="71"/>
        <v>25008.054637992853</v>
      </c>
      <c r="AA94" s="402">
        <f t="shared" si="71"/>
        <v>25448.010904845127</v>
      </c>
      <c r="AB94" s="402">
        <f t="shared" si="71"/>
        <v>25794.475174717907</v>
      </c>
      <c r="AC94" s="402">
        <f t="shared" si="71"/>
        <v>26263.634221711498</v>
      </c>
      <c r="AD94" s="402">
        <f t="shared" si="71"/>
        <v>26775.073256258325</v>
      </c>
      <c r="AE94" s="402">
        <f t="shared" si="71"/>
        <v>27296.729877784594</v>
      </c>
      <c r="AF94" s="402">
        <f t="shared" si="71"/>
        <v>27881.628017300191</v>
      </c>
      <c r="AG94" s="402">
        <f t="shared" si="71"/>
        <v>28527.765720782161</v>
      </c>
      <c r="AH94" s="402">
        <f t="shared" si="71"/>
        <v>29187.425685140828</v>
      </c>
      <c r="AI94" s="37">
        <f t="shared" si="71"/>
        <v>29797.120298488393</v>
      </c>
    </row>
    <row r="95" spans="1:35" x14ac:dyDescent="0.25">
      <c r="A95" s="71"/>
      <c r="C95" s="2" t="s">
        <v>79</v>
      </c>
      <c r="D95" s="35"/>
      <c r="E95" s="402">
        <f>D10*I12</f>
        <v>32250</v>
      </c>
      <c r="F95" s="402">
        <f t="shared" ref="F95:AI96" si="72">E95*(1+$D$12)</f>
        <v>33024</v>
      </c>
      <c r="G95" s="402">
        <f t="shared" si="72"/>
        <v>33816.576000000001</v>
      </c>
      <c r="H95" s="402">
        <f t="shared" si="72"/>
        <v>34628.173824000005</v>
      </c>
      <c r="I95" s="402">
        <f t="shared" si="72"/>
        <v>35459.249995776008</v>
      </c>
      <c r="J95" s="402">
        <f t="shared" si="72"/>
        <v>36310.271995674637</v>
      </c>
      <c r="K95" s="402">
        <f t="shared" si="72"/>
        <v>37181.718523570831</v>
      </c>
      <c r="L95" s="402">
        <f t="shared" si="72"/>
        <v>38074.079768136529</v>
      </c>
      <c r="M95" s="402">
        <f t="shared" si="72"/>
        <v>38987.857682571805</v>
      </c>
      <c r="N95" s="402">
        <f t="shared" si="72"/>
        <v>39923.56626695353</v>
      </c>
      <c r="O95" s="402">
        <f t="shared" si="72"/>
        <v>40881.731857360413</v>
      </c>
      <c r="P95" s="402">
        <f t="shared" si="72"/>
        <v>41862.893421937064</v>
      </c>
      <c r="Q95" s="402">
        <f t="shared" si="72"/>
        <v>42867.602864063556</v>
      </c>
      <c r="R95" s="402">
        <f t="shared" si="72"/>
        <v>43896.425332801082</v>
      </c>
      <c r="S95" s="402">
        <f t="shared" si="72"/>
        <v>44949.939540788306</v>
      </c>
      <c r="T95" s="402">
        <f t="shared" si="72"/>
        <v>46028.738089767226</v>
      </c>
      <c r="U95" s="402">
        <f t="shared" si="72"/>
        <v>47133.427803921644</v>
      </c>
      <c r="V95" s="402">
        <f t="shared" si="72"/>
        <v>48264.630071215768</v>
      </c>
      <c r="W95" s="402">
        <f t="shared" si="72"/>
        <v>49422.981192924948</v>
      </c>
      <c r="X95" s="402">
        <f t="shared" si="72"/>
        <v>50609.13274155515</v>
      </c>
      <c r="Y95" s="402">
        <f t="shared" si="72"/>
        <v>51823.751927352474</v>
      </c>
      <c r="Z95" s="402">
        <f t="shared" si="72"/>
        <v>53067.521973608935</v>
      </c>
      <c r="AA95" s="402">
        <f t="shared" si="72"/>
        <v>54341.142500975548</v>
      </c>
      <c r="AB95" s="402">
        <f t="shared" si="72"/>
        <v>55645.329920998964</v>
      </c>
      <c r="AC95" s="402">
        <f t="shared" si="72"/>
        <v>56980.817839102943</v>
      </c>
      <c r="AD95" s="402">
        <f t="shared" si="72"/>
        <v>58348.357467241418</v>
      </c>
      <c r="AE95" s="402">
        <f t="shared" si="72"/>
        <v>59748.718046455215</v>
      </c>
      <c r="AF95" s="402">
        <f t="shared" si="72"/>
        <v>61182.687279570142</v>
      </c>
      <c r="AG95" s="402">
        <f t="shared" si="72"/>
        <v>62651.07177427983</v>
      </c>
      <c r="AH95" s="402">
        <f t="shared" si="72"/>
        <v>64154.697496862544</v>
      </c>
      <c r="AI95" s="37">
        <f t="shared" si="72"/>
        <v>65694.41023678724</v>
      </c>
    </row>
    <row r="96" spans="1:35" x14ac:dyDescent="0.25">
      <c r="A96" s="71"/>
      <c r="C96" s="2" t="s">
        <v>591</v>
      </c>
      <c r="D96" s="35"/>
      <c r="E96" s="402">
        <f>'Bus Price-Infrastructure'!E56*('School Bus Table'!B11*12)</f>
        <v>74.687911691327599</v>
      </c>
      <c r="F96" s="402">
        <f>E96*(1+$D$12)</f>
        <v>76.480421571919464</v>
      </c>
      <c r="G96" s="402">
        <f t="shared" si="72"/>
        <v>78.31595168964553</v>
      </c>
      <c r="H96" s="402">
        <f t="shared" si="72"/>
        <v>80.195534530197023</v>
      </c>
      <c r="I96" s="402">
        <f t="shared" si="72"/>
        <v>82.120227358921753</v>
      </c>
      <c r="J96" s="402">
        <f t="shared" si="72"/>
        <v>84.09111281553588</v>
      </c>
      <c r="K96" s="402">
        <f t="shared" si="72"/>
        <v>86.109299523108746</v>
      </c>
      <c r="L96" s="402">
        <f t="shared" si="72"/>
        <v>88.175922711663361</v>
      </c>
      <c r="M96" s="402">
        <f t="shared" si="72"/>
        <v>90.292144856743278</v>
      </c>
      <c r="N96" s="402">
        <f t="shared" si="72"/>
        <v>92.459156333305117</v>
      </c>
      <c r="O96" s="402">
        <f t="shared" si="72"/>
        <v>94.678176085304443</v>
      </c>
      <c r="P96" s="402">
        <f t="shared" si="72"/>
        <v>96.950452311351754</v>
      </c>
      <c r="Q96" s="402">
        <f t="shared" si="72"/>
        <v>99.277263166824198</v>
      </c>
      <c r="R96" s="402">
        <f t="shared" si="72"/>
        <v>101.65991748282798</v>
      </c>
      <c r="S96" s="402">
        <f t="shared" si="72"/>
        <v>104.09975550241585</v>
      </c>
      <c r="T96" s="402">
        <f t="shared" si="72"/>
        <v>106.59814963447383</v>
      </c>
      <c r="U96" s="402">
        <f t="shared" si="72"/>
        <v>109.1565052257012</v>
      </c>
      <c r="V96" s="402">
        <f t="shared" si="72"/>
        <v>111.77626135111802</v>
      </c>
      <c r="W96" s="402">
        <f t="shared" si="72"/>
        <v>114.45889162354486</v>
      </c>
      <c r="X96" s="402">
        <f t="shared" si="72"/>
        <v>117.20590502250994</v>
      </c>
      <c r="Y96" s="402">
        <f t="shared" si="72"/>
        <v>120.01884674305018</v>
      </c>
      <c r="Z96" s="402">
        <f t="shared" si="72"/>
        <v>122.89929906488338</v>
      </c>
      <c r="AA96" s="402">
        <f t="shared" si="72"/>
        <v>125.84888224244058</v>
      </c>
      <c r="AB96" s="402">
        <f t="shared" si="72"/>
        <v>128.86925541625916</v>
      </c>
      <c r="AC96" s="402">
        <f t="shared" si="72"/>
        <v>131.96211754624937</v>
      </c>
      <c r="AD96" s="402">
        <f t="shared" si="72"/>
        <v>135.12920836735935</v>
      </c>
      <c r="AE96" s="402">
        <f t="shared" si="72"/>
        <v>138.37230936817599</v>
      </c>
      <c r="AF96" s="402">
        <f t="shared" si="72"/>
        <v>141.69324479301221</v>
      </c>
      <c r="AG96" s="402">
        <f t="shared" si="72"/>
        <v>145.0938826680445</v>
      </c>
      <c r="AH96" s="402">
        <f t="shared" si="72"/>
        <v>148.57613585207758</v>
      </c>
      <c r="AI96" s="37">
        <f t="shared" si="72"/>
        <v>152.14196311252746</v>
      </c>
    </row>
    <row r="97" spans="1:35" x14ac:dyDescent="0.25">
      <c r="A97" s="71"/>
      <c r="C97" s="2" t="s">
        <v>80</v>
      </c>
      <c r="D97" s="42"/>
      <c r="E97" s="408">
        <f t="shared" ref="E97:AI97" si="73">E94+E95+E96</f>
        <v>48828.167911691322</v>
      </c>
      <c r="F97" s="408">
        <f t="shared" si="73"/>
        <v>50471.134303952625</v>
      </c>
      <c r="G97" s="408">
        <f t="shared" si="73"/>
        <v>51094.350467194039</v>
      </c>
      <c r="H97" s="408">
        <f t="shared" si="73"/>
        <v>51811.309278432062</v>
      </c>
      <c r="I97" s="408">
        <f t="shared" si="73"/>
        <v>52675.003069372215</v>
      </c>
      <c r="J97" s="408">
        <f t="shared" si="73"/>
        <v>53870.463507059489</v>
      </c>
      <c r="K97" s="408">
        <f t="shared" si="73"/>
        <v>55260.297241866145</v>
      </c>
      <c r="L97" s="408">
        <f t="shared" si="73"/>
        <v>56646.315170809394</v>
      </c>
      <c r="M97" s="408">
        <f t="shared" si="73"/>
        <v>58076.247620663475</v>
      </c>
      <c r="N97" s="408">
        <f t="shared" si="73"/>
        <v>59566.034990059219</v>
      </c>
      <c r="O97" s="408">
        <f t="shared" si="73"/>
        <v>60974.936951337411</v>
      </c>
      <c r="P97" s="408">
        <f t="shared" si="73"/>
        <v>62521.779262509117</v>
      </c>
      <c r="Q97" s="408">
        <f t="shared" si="73"/>
        <v>64000.523794808905</v>
      </c>
      <c r="R97" s="408">
        <f t="shared" si="73"/>
        <v>65633.762495136805</v>
      </c>
      <c r="S97" s="408">
        <f t="shared" si="73"/>
        <v>67199.201410853202</v>
      </c>
      <c r="T97" s="408">
        <f t="shared" si="73"/>
        <v>68698.334883776144</v>
      </c>
      <c r="U97" s="408">
        <f t="shared" si="73"/>
        <v>70218.557636481957</v>
      </c>
      <c r="V97" s="408">
        <f t="shared" si="73"/>
        <v>71771.076336264829</v>
      </c>
      <c r="W97" s="408">
        <f t="shared" si="73"/>
        <v>73323.986996296313</v>
      </c>
      <c r="X97" s="408">
        <f t="shared" si="73"/>
        <v>74887.965936299966</v>
      </c>
      <c r="Y97" s="408">
        <f t="shared" si="73"/>
        <v>76527.776705824217</v>
      </c>
      <c r="Z97" s="408">
        <f t="shared" si="73"/>
        <v>78198.475910666675</v>
      </c>
      <c r="AA97" s="408">
        <f t="shared" si="73"/>
        <v>79915.002288063115</v>
      </c>
      <c r="AB97" s="408">
        <f t="shared" si="73"/>
        <v>81568.67435113313</v>
      </c>
      <c r="AC97" s="408">
        <f t="shared" si="73"/>
        <v>83376.41417836069</v>
      </c>
      <c r="AD97" s="408">
        <f t="shared" si="73"/>
        <v>85258.559931867101</v>
      </c>
      <c r="AE97" s="408">
        <f t="shared" si="73"/>
        <v>87183.820233607985</v>
      </c>
      <c r="AF97" s="408">
        <f t="shared" si="73"/>
        <v>89206.008541663352</v>
      </c>
      <c r="AG97" s="408">
        <f t="shared" si="73"/>
        <v>91323.931377730041</v>
      </c>
      <c r="AH97" s="408">
        <f t="shared" si="73"/>
        <v>93490.699317855455</v>
      </c>
      <c r="AI97" s="44">
        <f t="shared" si="73"/>
        <v>95643.672498388172</v>
      </c>
    </row>
    <row r="98" spans="1:35" x14ac:dyDescent="0.25">
      <c r="A98" s="71"/>
      <c r="C98" s="2" t="s">
        <v>86</v>
      </c>
      <c r="D98" s="42"/>
      <c r="E98" s="408">
        <f t="shared" ref="E98:AI98" si="74">E97-E24</f>
        <v>-11667.836271071996</v>
      </c>
      <c r="F98" s="408">
        <f t="shared" si="74"/>
        <v>-10231.408546676277</v>
      </c>
      <c r="G98" s="408">
        <f t="shared" si="74"/>
        <v>-11902.193278274652</v>
      </c>
      <c r="H98" s="408">
        <f t="shared" si="74"/>
        <v>-14760.960265558955</v>
      </c>
      <c r="I98" s="408">
        <f t="shared" si="74"/>
        <v>-16322.301888409718</v>
      </c>
      <c r="J98" s="408">
        <f t="shared" si="74"/>
        <v>-17466.890774573018</v>
      </c>
      <c r="K98" s="408">
        <f t="shared" si="74"/>
        <v>-18485.819489276568</v>
      </c>
      <c r="L98" s="408">
        <f t="shared" si="74"/>
        <v>-19570.087530862656</v>
      </c>
      <c r="M98" s="408">
        <f t="shared" si="74"/>
        <v>-20713.629691028327</v>
      </c>
      <c r="N98" s="408">
        <f t="shared" si="74"/>
        <v>-21622.691138419767</v>
      </c>
      <c r="O98" s="408">
        <f t="shared" si="74"/>
        <v>-23572.701185602971</v>
      </c>
      <c r="P98" s="408">
        <f t="shared" si="74"/>
        <v>-24586.573664406176</v>
      </c>
      <c r="Q98" s="408">
        <f t="shared" si="74"/>
        <v>-25784.552241207726</v>
      </c>
      <c r="R98" s="408">
        <f t="shared" si="74"/>
        <v>-26566.7620320274</v>
      </c>
      <c r="S98" s="408">
        <f t="shared" si="74"/>
        <v>-27378.930853960352</v>
      </c>
      <c r="T98" s="408">
        <f t="shared" si="74"/>
        <v>-28352.479267645045</v>
      </c>
      <c r="U98" s="408">
        <f t="shared" si="74"/>
        <v>-29191.809058309649</v>
      </c>
      <c r="V98" s="408">
        <f t="shared" si="74"/>
        <v>-30452.707821067117</v>
      </c>
      <c r="W98" s="408">
        <f t="shared" si="74"/>
        <v>-31636.759615383882</v>
      </c>
      <c r="X98" s="408">
        <f t="shared" si="74"/>
        <v>-32457.199692590919</v>
      </c>
      <c r="Y98" s="408">
        <f t="shared" si="74"/>
        <v>-34110.811463753023</v>
      </c>
      <c r="Z98" s="408">
        <f t="shared" si="74"/>
        <v>-35500.202552489354</v>
      </c>
      <c r="AA98" s="408">
        <f t="shared" si="74"/>
        <v>-36748.434650133757</v>
      </c>
      <c r="AB98" s="408">
        <f t="shared" si="74"/>
        <v>-38436.488090573301</v>
      </c>
      <c r="AC98" s="408">
        <f t="shared" si="74"/>
        <v>-39677.052810863446</v>
      </c>
      <c r="AD98" s="408">
        <f t="shared" si="74"/>
        <v>-40725.17432173308</v>
      </c>
      <c r="AE98" s="408">
        <f t="shared" si="74"/>
        <v>-42740.298685928545</v>
      </c>
      <c r="AF98" s="408">
        <f t="shared" si="74"/>
        <v>-44346.232615575835</v>
      </c>
      <c r="AG98" s="408">
        <f t="shared" si="74"/>
        <v>-45754.848023503524</v>
      </c>
      <c r="AH98" s="408">
        <f t="shared" si="74"/>
        <v>-47560.125045852692</v>
      </c>
      <c r="AI98" s="44">
        <f t="shared" si="74"/>
        <v>-49145.257931259592</v>
      </c>
    </row>
    <row r="99" spans="1:35" x14ac:dyDescent="0.25">
      <c r="A99" s="71"/>
      <c r="C99" s="2" t="s">
        <v>109</v>
      </c>
      <c r="D99" s="386"/>
      <c r="E99" s="418">
        <f t="shared" ref="E99:AI99" si="75">(($B$11*$T$11)*12)/$T$1</f>
        <v>1.8986250006192509</v>
      </c>
      <c r="F99" s="418">
        <f t="shared" si="75"/>
        <v>1.8986250006192509</v>
      </c>
      <c r="G99" s="418">
        <f t="shared" si="75"/>
        <v>1.8986250006192509</v>
      </c>
      <c r="H99" s="418">
        <f t="shared" si="75"/>
        <v>1.8986250006192509</v>
      </c>
      <c r="I99" s="418">
        <f t="shared" si="75"/>
        <v>1.8986250006192509</v>
      </c>
      <c r="J99" s="418">
        <f t="shared" si="75"/>
        <v>1.8986250006192509</v>
      </c>
      <c r="K99" s="418">
        <f t="shared" si="75"/>
        <v>1.8986250006192509</v>
      </c>
      <c r="L99" s="418">
        <f t="shared" si="75"/>
        <v>1.8986250006192509</v>
      </c>
      <c r="M99" s="418">
        <f t="shared" si="75"/>
        <v>1.8986250006192509</v>
      </c>
      <c r="N99" s="418">
        <f t="shared" si="75"/>
        <v>1.8986250006192509</v>
      </c>
      <c r="O99" s="418">
        <f t="shared" si="75"/>
        <v>1.8986250006192509</v>
      </c>
      <c r="P99" s="418">
        <f t="shared" si="75"/>
        <v>1.8986250006192509</v>
      </c>
      <c r="Q99" s="418">
        <f t="shared" si="75"/>
        <v>1.8986250006192509</v>
      </c>
      <c r="R99" s="418">
        <f t="shared" si="75"/>
        <v>1.8986250006192509</v>
      </c>
      <c r="S99" s="418">
        <f t="shared" si="75"/>
        <v>1.8986250006192509</v>
      </c>
      <c r="T99" s="418">
        <f t="shared" si="75"/>
        <v>1.8986250006192509</v>
      </c>
      <c r="U99" s="418">
        <f t="shared" si="75"/>
        <v>1.8986250006192509</v>
      </c>
      <c r="V99" s="418">
        <f t="shared" si="75"/>
        <v>1.8986250006192509</v>
      </c>
      <c r="W99" s="418">
        <f t="shared" si="75"/>
        <v>1.8986250006192509</v>
      </c>
      <c r="X99" s="418">
        <f t="shared" si="75"/>
        <v>1.8986250006192509</v>
      </c>
      <c r="Y99" s="418">
        <f t="shared" si="75"/>
        <v>1.8986250006192509</v>
      </c>
      <c r="Z99" s="418">
        <f t="shared" si="75"/>
        <v>1.8986250006192509</v>
      </c>
      <c r="AA99" s="418">
        <f t="shared" si="75"/>
        <v>1.8986250006192509</v>
      </c>
      <c r="AB99" s="418">
        <f t="shared" si="75"/>
        <v>1.8986250006192509</v>
      </c>
      <c r="AC99" s="418">
        <f t="shared" si="75"/>
        <v>1.8986250006192509</v>
      </c>
      <c r="AD99" s="418">
        <f t="shared" si="75"/>
        <v>1.8986250006192509</v>
      </c>
      <c r="AE99" s="418">
        <f t="shared" si="75"/>
        <v>1.8986250006192509</v>
      </c>
      <c r="AF99" s="418">
        <f t="shared" si="75"/>
        <v>1.8986250006192509</v>
      </c>
      <c r="AG99" s="418">
        <f t="shared" si="75"/>
        <v>1.8986250006192509</v>
      </c>
      <c r="AH99" s="418">
        <f t="shared" si="75"/>
        <v>1.8986250006192509</v>
      </c>
      <c r="AI99" s="424">
        <f t="shared" si="75"/>
        <v>1.8986250006192509</v>
      </c>
    </row>
    <row r="100" spans="1:35" x14ac:dyDescent="0.25">
      <c r="A100" s="71"/>
      <c r="C100" s="2" t="s">
        <v>110</v>
      </c>
      <c r="D100" s="53"/>
      <c r="E100" s="407">
        <f t="shared" ref="E100:AI100" si="76">E25-E99</f>
        <v>143.57605810309312</v>
      </c>
      <c r="F100" s="407">
        <f t="shared" si="76"/>
        <v>143.57605810309312</v>
      </c>
      <c r="G100" s="407">
        <f t="shared" si="76"/>
        <v>143.57605810309312</v>
      </c>
      <c r="H100" s="407">
        <f t="shared" si="76"/>
        <v>143.57605810309312</v>
      </c>
      <c r="I100" s="407">
        <f t="shared" si="76"/>
        <v>143.57605810309312</v>
      </c>
      <c r="J100" s="407">
        <f t="shared" si="76"/>
        <v>143.57605810309312</v>
      </c>
      <c r="K100" s="407">
        <f t="shared" si="76"/>
        <v>143.57605810309312</v>
      </c>
      <c r="L100" s="407">
        <f t="shared" si="76"/>
        <v>143.57605810309312</v>
      </c>
      <c r="M100" s="407">
        <f t="shared" si="76"/>
        <v>143.57605810309312</v>
      </c>
      <c r="N100" s="407">
        <f t="shared" si="76"/>
        <v>143.57605810309312</v>
      </c>
      <c r="O100" s="407">
        <f t="shared" si="76"/>
        <v>143.57605810309312</v>
      </c>
      <c r="P100" s="407">
        <f t="shared" si="76"/>
        <v>143.57605810309312</v>
      </c>
      <c r="Q100" s="407">
        <f t="shared" si="76"/>
        <v>143.57605810309312</v>
      </c>
      <c r="R100" s="407">
        <f t="shared" si="76"/>
        <v>143.57605810309312</v>
      </c>
      <c r="S100" s="407">
        <f t="shared" si="76"/>
        <v>143.57605810309312</v>
      </c>
      <c r="T100" s="407">
        <f t="shared" si="76"/>
        <v>143.57605810309312</v>
      </c>
      <c r="U100" s="407">
        <f t="shared" si="76"/>
        <v>143.57605810309312</v>
      </c>
      <c r="V100" s="407">
        <f t="shared" si="76"/>
        <v>143.57605810309312</v>
      </c>
      <c r="W100" s="407">
        <f t="shared" si="76"/>
        <v>143.57605810309312</v>
      </c>
      <c r="X100" s="407">
        <f t="shared" si="76"/>
        <v>143.57605810309312</v>
      </c>
      <c r="Y100" s="407">
        <f t="shared" si="76"/>
        <v>143.57605810309312</v>
      </c>
      <c r="Z100" s="407">
        <f t="shared" si="76"/>
        <v>143.57605810309312</v>
      </c>
      <c r="AA100" s="407">
        <f t="shared" si="76"/>
        <v>143.57605810309312</v>
      </c>
      <c r="AB100" s="407">
        <f t="shared" si="76"/>
        <v>143.57605810309312</v>
      </c>
      <c r="AC100" s="407">
        <f t="shared" si="76"/>
        <v>143.57605810309312</v>
      </c>
      <c r="AD100" s="407">
        <f t="shared" si="76"/>
        <v>143.57605810309312</v>
      </c>
      <c r="AE100" s="407">
        <f t="shared" si="76"/>
        <v>143.57605810309312</v>
      </c>
      <c r="AF100" s="407">
        <f t="shared" si="76"/>
        <v>143.57605810309312</v>
      </c>
      <c r="AG100" s="407">
        <f t="shared" si="76"/>
        <v>143.57605810309312</v>
      </c>
      <c r="AH100" s="407">
        <f t="shared" si="76"/>
        <v>143.57605810309312</v>
      </c>
      <c r="AI100" s="54">
        <f t="shared" si="76"/>
        <v>143.57605810309312</v>
      </c>
    </row>
    <row r="101" spans="1:35" ht="15.75" thickBot="1" x14ac:dyDescent="0.3">
      <c r="A101" s="71"/>
      <c r="B101" s="399"/>
      <c r="C101" s="404" t="s">
        <v>111</v>
      </c>
      <c r="D101" s="35"/>
      <c r="E101" s="402">
        <f t="shared" ref="E101:AI101" si="77">E98/E100</f>
        <v>-81.265890881988426</v>
      </c>
      <c r="F101" s="402">
        <f t="shared" si="77"/>
        <v>-71.261244262115994</v>
      </c>
      <c r="G101" s="402">
        <f t="shared" si="77"/>
        <v>-82.89817561176126</v>
      </c>
      <c r="H101" s="402">
        <f t="shared" si="77"/>
        <v>-102.80934342799702</v>
      </c>
      <c r="I101" s="402">
        <f t="shared" si="77"/>
        <v>-113.6840090475926</v>
      </c>
      <c r="J101" s="402">
        <f t="shared" si="77"/>
        <v>-121.65601288503909</v>
      </c>
      <c r="K101" s="402">
        <f t="shared" si="77"/>
        <v>-128.75279996894079</v>
      </c>
      <c r="L101" s="402">
        <f t="shared" si="77"/>
        <v>-136.30467216762966</v>
      </c>
      <c r="M101" s="402">
        <f t="shared" si="77"/>
        <v>-144.26938561131931</v>
      </c>
      <c r="N101" s="402">
        <f t="shared" si="77"/>
        <v>-150.60095272217214</v>
      </c>
      <c r="O101" s="402">
        <f t="shared" si="77"/>
        <v>-164.1826743054672</v>
      </c>
      <c r="P101" s="402">
        <f t="shared" si="77"/>
        <v>-171.24424496145502</v>
      </c>
      <c r="Q101" s="402">
        <f t="shared" si="77"/>
        <v>-179.58810530021259</v>
      </c>
      <c r="R101" s="402">
        <f t="shared" si="77"/>
        <v>-185.03615702383641</v>
      </c>
      <c r="S101" s="402">
        <f t="shared" si="77"/>
        <v>-190.69287188746489</v>
      </c>
      <c r="T101" s="402">
        <f t="shared" si="77"/>
        <v>-197.47358746460972</v>
      </c>
      <c r="U101" s="402">
        <f t="shared" si="77"/>
        <v>-203.31947710494191</v>
      </c>
      <c r="V101" s="402">
        <f t="shared" si="77"/>
        <v>-212.1015733639999</v>
      </c>
      <c r="W101" s="402">
        <f t="shared" si="77"/>
        <v>-220.34843436548087</v>
      </c>
      <c r="X101" s="402">
        <f t="shared" si="77"/>
        <v>-226.06275810473502</v>
      </c>
      <c r="Y101" s="402">
        <f t="shared" si="77"/>
        <v>-237.58008065147013</v>
      </c>
      <c r="Z101" s="402">
        <f t="shared" si="77"/>
        <v>-247.2571194773912</v>
      </c>
      <c r="AA101" s="402">
        <f t="shared" si="77"/>
        <v>-255.9509930530825</v>
      </c>
      <c r="AB101" s="402">
        <f t="shared" si="77"/>
        <v>-267.70820008844669</v>
      </c>
      <c r="AC101" s="402">
        <f t="shared" si="77"/>
        <v>-276.34867076775294</v>
      </c>
      <c r="AD101" s="402">
        <f t="shared" si="77"/>
        <v>-283.6487842039154</v>
      </c>
      <c r="AE101" s="402">
        <f t="shared" si="77"/>
        <v>-297.68402371960491</v>
      </c>
      <c r="AF101" s="402">
        <f t="shared" si="77"/>
        <v>-308.86927250596011</v>
      </c>
      <c r="AG101" s="402">
        <f t="shared" si="77"/>
        <v>-318.68020774501127</v>
      </c>
      <c r="AH101" s="402">
        <f t="shared" si="77"/>
        <v>-331.25387111340456</v>
      </c>
      <c r="AI101" s="37">
        <f t="shared" si="77"/>
        <v>-342.29424167622301</v>
      </c>
    </row>
    <row r="102" spans="1:35" x14ac:dyDescent="0.25">
      <c r="A102" s="51" t="s">
        <v>112</v>
      </c>
      <c r="B102" s="489" t="s">
        <v>804</v>
      </c>
      <c r="C102" s="495" t="s">
        <v>113</v>
      </c>
      <c r="D102" s="490"/>
      <c r="E102" s="489">
        <v>13.013437</v>
      </c>
      <c r="F102" s="489">
        <v>13.692778000000001</v>
      </c>
      <c r="G102" s="489">
        <v>14.419085000000001</v>
      </c>
      <c r="H102" s="489">
        <v>14.159095000000001</v>
      </c>
      <c r="I102" s="489">
        <v>13.922605000000001</v>
      </c>
      <c r="J102" s="489">
        <v>13.962441999999999</v>
      </c>
      <c r="K102" s="489">
        <v>14.140722999999999</v>
      </c>
      <c r="L102" s="489">
        <v>14.271839999999999</v>
      </c>
      <c r="M102" s="489">
        <v>14.427515</v>
      </c>
      <c r="N102" s="489">
        <v>14.589498000000001</v>
      </c>
      <c r="O102" s="489">
        <v>15.565483</v>
      </c>
      <c r="P102" s="489">
        <v>15.619092</v>
      </c>
      <c r="Q102" s="489">
        <v>15.898021999999999</v>
      </c>
      <c r="R102" s="489">
        <v>16.104721000000001</v>
      </c>
      <c r="S102" s="489">
        <v>16.280317</v>
      </c>
      <c r="T102" s="489">
        <v>16.457647000000001</v>
      </c>
      <c r="U102" s="489">
        <v>16.639804999999999</v>
      </c>
      <c r="V102" s="489">
        <v>16.821114999999999</v>
      </c>
      <c r="W102" s="489">
        <v>17.09712</v>
      </c>
      <c r="X102" s="489">
        <v>17.312356999999999</v>
      </c>
      <c r="Y102" s="489">
        <v>17.611675000000002</v>
      </c>
      <c r="Z102" s="489">
        <v>17.875595000000001</v>
      </c>
      <c r="AA102" s="489">
        <v>18.170801000000001</v>
      </c>
      <c r="AB102" s="489">
        <v>18.485765000000001</v>
      </c>
      <c r="AC102" s="489">
        <v>18.847631</v>
      </c>
      <c r="AD102" s="489">
        <v>19.260757000000002</v>
      </c>
      <c r="AE102" s="489">
        <v>19.728114999999999</v>
      </c>
      <c r="AF102" s="489">
        <v>20.255586999999998</v>
      </c>
      <c r="AG102" s="489">
        <v>20.832352</v>
      </c>
      <c r="AH102" s="489">
        <v>21.488268000000001</v>
      </c>
      <c r="AI102" s="78">
        <v>22.158428000000001</v>
      </c>
    </row>
    <row r="103" spans="1:35" x14ac:dyDescent="0.25">
      <c r="A103" s="71"/>
      <c r="B103" s="468" t="s">
        <v>114</v>
      </c>
      <c r="C103" s="486" t="s">
        <v>115</v>
      </c>
      <c r="D103" s="491"/>
      <c r="E103" s="485">
        <f t="shared" ref="E103:AI103" si="78">E102/10</f>
        <v>1.3013436999999999</v>
      </c>
      <c r="F103" s="485">
        <f t="shared" si="78"/>
        <v>1.3692778000000001</v>
      </c>
      <c r="G103" s="485">
        <f t="shared" si="78"/>
        <v>1.4419085</v>
      </c>
      <c r="H103" s="485">
        <f t="shared" si="78"/>
        <v>1.4159095000000002</v>
      </c>
      <c r="I103" s="485">
        <f t="shared" si="78"/>
        <v>1.3922605000000001</v>
      </c>
      <c r="J103" s="485">
        <f t="shared" si="78"/>
        <v>1.3962441999999999</v>
      </c>
      <c r="K103" s="485">
        <f t="shared" si="78"/>
        <v>1.4140722999999999</v>
      </c>
      <c r="L103" s="485">
        <f t="shared" si="78"/>
        <v>1.427184</v>
      </c>
      <c r="M103" s="485">
        <f t="shared" si="78"/>
        <v>1.4427515</v>
      </c>
      <c r="N103" s="485">
        <f t="shared" si="78"/>
        <v>1.4589498000000001</v>
      </c>
      <c r="O103" s="485">
        <f t="shared" si="78"/>
        <v>1.5565483</v>
      </c>
      <c r="P103" s="485">
        <f t="shared" si="78"/>
        <v>1.5619092000000001</v>
      </c>
      <c r="Q103" s="485">
        <f t="shared" si="78"/>
        <v>1.5898021999999998</v>
      </c>
      <c r="R103" s="485">
        <f t="shared" si="78"/>
        <v>1.6104721000000002</v>
      </c>
      <c r="S103" s="485">
        <f t="shared" si="78"/>
        <v>1.6280317</v>
      </c>
      <c r="T103" s="485">
        <f t="shared" si="78"/>
        <v>1.6457647000000002</v>
      </c>
      <c r="U103" s="485">
        <f t="shared" si="78"/>
        <v>1.6639804999999999</v>
      </c>
      <c r="V103" s="485">
        <f t="shared" si="78"/>
        <v>1.6821115</v>
      </c>
      <c r="W103" s="485">
        <f t="shared" si="78"/>
        <v>1.7097120000000001</v>
      </c>
      <c r="X103" s="485">
        <f t="shared" si="78"/>
        <v>1.7312356999999998</v>
      </c>
      <c r="Y103" s="485">
        <f t="shared" si="78"/>
        <v>1.7611675000000002</v>
      </c>
      <c r="Z103" s="485">
        <f t="shared" si="78"/>
        <v>1.7875595</v>
      </c>
      <c r="AA103" s="485">
        <f t="shared" si="78"/>
        <v>1.8170801000000001</v>
      </c>
      <c r="AB103" s="485">
        <f t="shared" si="78"/>
        <v>1.8485765000000001</v>
      </c>
      <c r="AC103" s="485">
        <f t="shared" si="78"/>
        <v>1.8847631</v>
      </c>
      <c r="AD103" s="485">
        <f t="shared" si="78"/>
        <v>1.9260757000000002</v>
      </c>
      <c r="AE103" s="485">
        <f t="shared" si="78"/>
        <v>1.9728114999999999</v>
      </c>
      <c r="AF103" s="485">
        <f t="shared" si="78"/>
        <v>2.0255586999999999</v>
      </c>
      <c r="AG103" s="485">
        <f t="shared" si="78"/>
        <v>2.0832351999999998</v>
      </c>
      <c r="AH103" s="485">
        <f t="shared" si="78"/>
        <v>2.1488268000000001</v>
      </c>
      <c r="AI103" s="492">
        <f t="shared" si="78"/>
        <v>2.2158427999999999</v>
      </c>
    </row>
    <row r="104" spans="1:35" x14ac:dyDescent="0.25">
      <c r="A104" s="487" t="s">
        <v>112</v>
      </c>
      <c r="B104" s="404"/>
      <c r="C104" s="525">
        <f>'Fuel Factors'!I62</f>
        <v>0.64</v>
      </c>
      <c r="D104" s="68"/>
      <c r="E104" s="406">
        <f t="shared" ref="E104:AI104" si="79">E103-$C$104</f>
        <v>0.66134369999999987</v>
      </c>
      <c r="F104" s="406">
        <f t="shared" si="79"/>
        <v>0.72927780000000009</v>
      </c>
      <c r="G104" s="406">
        <f t="shared" si="79"/>
        <v>0.80190850000000002</v>
      </c>
      <c r="H104" s="406">
        <f t="shared" si="79"/>
        <v>0.77590950000000014</v>
      </c>
      <c r="I104" s="406">
        <f t="shared" si="79"/>
        <v>0.75226050000000011</v>
      </c>
      <c r="J104" s="406">
        <f t="shared" si="79"/>
        <v>0.75624419999999992</v>
      </c>
      <c r="K104" s="406">
        <f t="shared" si="79"/>
        <v>0.77407229999999994</v>
      </c>
      <c r="L104" s="406">
        <f t="shared" si="79"/>
        <v>0.78718399999999999</v>
      </c>
      <c r="M104" s="406">
        <f t="shared" si="79"/>
        <v>0.80275149999999995</v>
      </c>
      <c r="N104" s="406">
        <f t="shared" si="79"/>
        <v>0.81894980000000006</v>
      </c>
      <c r="O104" s="406">
        <f t="shared" si="79"/>
        <v>0.91654829999999998</v>
      </c>
      <c r="P104" s="406">
        <f t="shared" si="79"/>
        <v>0.9219092000000001</v>
      </c>
      <c r="Q104" s="406">
        <f t="shared" si="79"/>
        <v>0.94980219999999982</v>
      </c>
      <c r="R104" s="406">
        <f t="shared" si="79"/>
        <v>0.97047210000000017</v>
      </c>
      <c r="S104" s="406">
        <f t="shared" si="79"/>
        <v>0.98803169999999996</v>
      </c>
      <c r="T104" s="406">
        <f t="shared" si="79"/>
        <v>1.0057647000000003</v>
      </c>
      <c r="U104" s="406">
        <f t="shared" si="79"/>
        <v>1.0239805</v>
      </c>
      <c r="V104" s="406">
        <f t="shared" si="79"/>
        <v>1.0421114999999999</v>
      </c>
      <c r="W104" s="406">
        <f t="shared" si="79"/>
        <v>1.069712</v>
      </c>
      <c r="X104" s="406">
        <f t="shared" si="79"/>
        <v>1.0912356999999999</v>
      </c>
      <c r="Y104" s="406">
        <f t="shared" si="79"/>
        <v>1.1211675000000003</v>
      </c>
      <c r="Z104" s="406">
        <f t="shared" si="79"/>
        <v>1.1475594999999998</v>
      </c>
      <c r="AA104" s="406">
        <f t="shared" si="79"/>
        <v>1.1770801</v>
      </c>
      <c r="AB104" s="406">
        <f t="shared" si="79"/>
        <v>1.2085764999999999</v>
      </c>
      <c r="AC104" s="406">
        <f t="shared" si="79"/>
        <v>1.2447631000000001</v>
      </c>
      <c r="AD104" s="406">
        <f t="shared" si="79"/>
        <v>1.2860757</v>
      </c>
      <c r="AE104" s="406">
        <f t="shared" si="79"/>
        <v>1.3328115</v>
      </c>
      <c r="AF104" s="406">
        <f t="shared" si="79"/>
        <v>1.3855586999999998</v>
      </c>
      <c r="AG104" s="406">
        <f t="shared" si="79"/>
        <v>1.4432351999999997</v>
      </c>
      <c r="AH104" s="406">
        <f t="shared" si="79"/>
        <v>1.5088268</v>
      </c>
      <c r="AI104" s="70">
        <f t="shared" si="79"/>
        <v>1.5758427999999998</v>
      </c>
    </row>
    <row r="105" spans="1:35" x14ac:dyDescent="0.25">
      <c r="A105" s="83"/>
      <c r="B105" s="488" t="s">
        <v>116</v>
      </c>
      <c r="C105" s="486" t="s">
        <v>117</v>
      </c>
      <c r="D105" s="493"/>
      <c r="E105" s="484">
        <f t="shared" ref="E105:AI105" si="80">E104/$G$7</f>
        <v>0.14011519067796607</v>
      </c>
      <c r="F105" s="484">
        <f t="shared" si="80"/>
        <v>0.1545080084745763</v>
      </c>
      <c r="G105" s="484">
        <f t="shared" si="80"/>
        <v>0.1698958686440678</v>
      </c>
      <c r="H105" s="484">
        <f t="shared" si="80"/>
        <v>0.16438760593220342</v>
      </c>
      <c r="I105" s="484">
        <f t="shared" si="80"/>
        <v>0.15937722457627121</v>
      </c>
      <c r="J105" s="484">
        <f t="shared" si="80"/>
        <v>0.16022122881355932</v>
      </c>
      <c r="K105" s="484">
        <f t="shared" si="80"/>
        <v>0.1639983686440678</v>
      </c>
      <c r="L105" s="484">
        <f t="shared" si="80"/>
        <v>0.16677627118644067</v>
      </c>
      <c r="M105" s="484">
        <f t="shared" si="80"/>
        <v>0.17007447033898304</v>
      </c>
      <c r="N105" s="484">
        <f t="shared" si="80"/>
        <v>0.17350631355932206</v>
      </c>
      <c r="O105" s="484">
        <f t="shared" si="80"/>
        <v>0.19418396186440678</v>
      </c>
      <c r="P105" s="484">
        <f t="shared" si="80"/>
        <v>0.19531974576271188</v>
      </c>
      <c r="Q105" s="484">
        <f t="shared" si="80"/>
        <v>0.20122927966101692</v>
      </c>
      <c r="R105" s="484">
        <f t="shared" si="80"/>
        <v>0.20560849576271192</v>
      </c>
      <c r="S105" s="484">
        <f t="shared" si="80"/>
        <v>0.20932875000000001</v>
      </c>
      <c r="T105" s="484">
        <f t="shared" si="80"/>
        <v>0.21308574152542381</v>
      </c>
      <c r="U105" s="484">
        <f t="shared" si="80"/>
        <v>0.21694502118644068</v>
      </c>
      <c r="V105" s="484">
        <f t="shared" si="80"/>
        <v>0.2207863347457627</v>
      </c>
      <c r="W105" s="484">
        <f t="shared" si="80"/>
        <v>0.22663389830508476</v>
      </c>
      <c r="X105" s="484">
        <f t="shared" si="80"/>
        <v>0.23119400423728814</v>
      </c>
      <c r="Y105" s="484">
        <f t="shared" si="80"/>
        <v>0.23753548728813567</v>
      </c>
      <c r="Z105" s="484">
        <f t="shared" si="80"/>
        <v>0.24312701271186438</v>
      </c>
      <c r="AA105" s="484">
        <f t="shared" si="80"/>
        <v>0.24938137711864408</v>
      </c>
      <c r="AB105" s="484">
        <f t="shared" si="80"/>
        <v>0.25605434322033899</v>
      </c>
      <c r="AC105" s="484">
        <f t="shared" si="80"/>
        <v>0.26372099576271191</v>
      </c>
      <c r="AD105" s="484">
        <f t="shared" si="80"/>
        <v>0.27247366525423733</v>
      </c>
      <c r="AE105" s="484">
        <f t="shared" si="80"/>
        <v>0.28237531779661018</v>
      </c>
      <c r="AF105" s="484">
        <f t="shared" si="80"/>
        <v>0.29355057203389828</v>
      </c>
      <c r="AG105" s="484">
        <f t="shared" si="80"/>
        <v>0.30577016949152536</v>
      </c>
      <c r="AH105" s="484">
        <f t="shared" si="80"/>
        <v>0.31966669491525423</v>
      </c>
      <c r="AI105" s="494">
        <f t="shared" si="80"/>
        <v>0.33386499999999997</v>
      </c>
    </row>
    <row r="106" spans="1:35" x14ac:dyDescent="0.25">
      <c r="A106" s="71"/>
      <c r="B106" s="404"/>
      <c r="C106" s="404" t="s">
        <v>74</v>
      </c>
      <c r="D106" s="35"/>
      <c r="E106" s="402">
        <f t="shared" ref="E106:AI106" si="81">E105*$D$10</f>
        <v>10508.639300847455</v>
      </c>
      <c r="F106" s="402">
        <f t="shared" si="81"/>
        <v>11588.100635593222</v>
      </c>
      <c r="G106" s="402">
        <f t="shared" si="81"/>
        <v>12742.190148305086</v>
      </c>
      <c r="H106" s="402">
        <f t="shared" si="81"/>
        <v>12329.070444915256</v>
      </c>
      <c r="I106" s="402">
        <f t="shared" si="81"/>
        <v>11953.291843220341</v>
      </c>
      <c r="J106" s="402">
        <f t="shared" si="81"/>
        <v>12016.59216101695</v>
      </c>
      <c r="K106" s="402">
        <f t="shared" si="81"/>
        <v>12299.877648305086</v>
      </c>
      <c r="L106" s="402">
        <f t="shared" si="81"/>
        <v>12508.22033898305</v>
      </c>
      <c r="M106" s="402">
        <f t="shared" si="81"/>
        <v>12755.585275423728</v>
      </c>
      <c r="N106" s="402">
        <f t="shared" si="81"/>
        <v>13012.973516949154</v>
      </c>
      <c r="O106" s="402">
        <f t="shared" si="81"/>
        <v>14563.797139830509</v>
      </c>
      <c r="P106" s="402">
        <f t="shared" si="81"/>
        <v>14648.980932203391</v>
      </c>
      <c r="Q106" s="402">
        <f t="shared" si="81"/>
        <v>15092.195974576269</v>
      </c>
      <c r="R106" s="402">
        <f t="shared" si="81"/>
        <v>15420.637182203394</v>
      </c>
      <c r="S106" s="402">
        <f t="shared" si="81"/>
        <v>15699.65625</v>
      </c>
      <c r="T106" s="402">
        <f t="shared" si="81"/>
        <v>15981.430614406785</v>
      </c>
      <c r="U106" s="402">
        <f t="shared" si="81"/>
        <v>16270.876588983052</v>
      </c>
      <c r="V106" s="402">
        <f t="shared" si="81"/>
        <v>16558.975105932204</v>
      </c>
      <c r="W106" s="402">
        <f t="shared" si="81"/>
        <v>16997.542372881358</v>
      </c>
      <c r="X106" s="402">
        <f t="shared" si="81"/>
        <v>17339.550317796609</v>
      </c>
      <c r="Y106" s="402">
        <f t="shared" si="81"/>
        <v>17815.161546610176</v>
      </c>
      <c r="Z106" s="402">
        <f t="shared" si="81"/>
        <v>18234.525953389828</v>
      </c>
      <c r="AA106" s="402">
        <f t="shared" si="81"/>
        <v>18703.603283898305</v>
      </c>
      <c r="AB106" s="402">
        <f t="shared" si="81"/>
        <v>19204.075741525423</v>
      </c>
      <c r="AC106" s="402">
        <f t="shared" si="81"/>
        <v>19779.074682203394</v>
      </c>
      <c r="AD106" s="402">
        <f t="shared" si="81"/>
        <v>20435.524894067799</v>
      </c>
      <c r="AE106" s="402">
        <f t="shared" si="81"/>
        <v>21178.148834745763</v>
      </c>
      <c r="AF106" s="402">
        <f t="shared" si="81"/>
        <v>22016.292902542373</v>
      </c>
      <c r="AG106" s="402">
        <f t="shared" si="81"/>
        <v>22932.762711864401</v>
      </c>
      <c r="AH106" s="402">
        <f t="shared" si="81"/>
        <v>23975.002118644068</v>
      </c>
      <c r="AI106" s="37">
        <f t="shared" si="81"/>
        <v>25039.874999999996</v>
      </c>
    </row>
    <row r="107" spans="1:35" x14ac:dyDescent="0.25">
      <c r="A107" s="71"/>
      <c r="B107" s="404"/>
      <c r="C107" s="404" t="s">
        <v>79</v>
      </c>
      <c r="D107" s="35"/>
      <c r="E107" s="402">
        <f>D10*K12</f>
        <v>36000</v>
      </c>
      <c r="F107" s="402">
        <f t="shared" ref="F107:AI108" si="82">E107*(1+$D$12)</f>
        <v>36864</v>
      </c>
      <c r="G107" s="402">
        <f t="shared" si="82"/>
        <v>37748.736000000004</v>
      </c>
      <c r="H107" s="402">
        <f t="shared" si="82"/>
        <v>38654.705664000008</v>
      </c>
      <c r="I107" s="402">
        <f t="shared" si="82"/>
        <v>39582.418599936012</v>
      </c>
      <c r="J107" s="402">
        <f t="shared" si="82"/>
        <v>40532.396646334477</v>
      </c>
      <c r="K107" s="402">
        <f t="shared" si="82"/>
        <v>41505.174165846503</v>
      </c>
      <c r="L107" s="402">
        <f t="shared" si="82"/>
        <v>42501.298345826821</v>
      </c>
      <c r="M107" s="402">
        <f t="shared" si="82"/>
        <v>43521.329506126669</v>
      </c>
      <c r="N107" s="402">
        <f t="shared" si="82"/>
        <v>44565.841414273709</v>
      </c>
      <c r="O107" s="402">
        <f t="shared" si="82"/>
        <v>45635.421608216282</v>
      </c>
      <c r="P107" s="402">
        <f t="shared" si="82"/>
        <v>46730.671726813474</v>
      </c>
      <c r="Q107" s="402">
        <f t="shared" si="82"/>
        <v>47852.207848257</v>
      </c>
      <c r="R107" s="402">
        <f t="shared" si="82"/>
        <v>49000.66083661517</v>
      </c>
      <c r="S107" s="402">
        <f t="shared" si="82"/>
        <v>50176.676696693932</v>
      </c>
      <c r="T107" s="402">
        <f t="shared" si="82"/>
        <v>51380.916937414586</v>
      </c>
      <c r="U107" s="402">
        <f t="shared" si="82"/>
        <v>52614.05894391254</v>
      </c>
      <c r="V107" s="402">
        <f t="shared" si="82"/>
        <v>53876.79635856644</v>
      </c>
      <c r="W107" s="402">
        <f t="shared" si="82"/>
        <v>55169.839471172039</v>
      </c>
      <c r="X107" s="402">
        <f t="shared" si="82"/>
        <v>56493.915618480169</v>
      </c>
      <c r="Y107" s="402">
        <f t="shared" si="82"/>
        <v>57849.769593323697</v>
      </c>
      <c r="Z107" s="402">
        <f t="shared" si="82"/>
        <v>59238.164063563469</v>
      </c>
      <c r="AA107" s="402">
        <f t="shared" si="82"/>
        <v>60659.88000108899</v>
      </c>
      <c r="AB107" s="402">
        <f t="shared" si="82"/>
        <v>62115.717121115129</v>
      </c>
      <c r="AC107" s="402">
        <f t="shared" si="82"/>
        <v>63606.494332021895</v>
      </c>
      <c r="AD107" s="402">
        <f t="shared" si="82"/>
        <v>65133.050195990421</v>
      </c>
      <c r="AE107" s="402">
        <f t="shared" si="82"/>
        <v>66696.243400694191</v>
      </c>
      <c r="AF107" s="402">
        <f t="shared" si="82"/>
        <v>68296.953242310847</v>
      </c>
      <c r="AG107" s="402">
        <f t="shared" si="82"/>
        <v>69936.080120126309</v>
      </c>
      <c r="AH107" s="402">
        <f t="shared" si="82"/>
        <v>71614.546043009337</v>
      </c>
      <c r="AI107" s="37">
        <f t="shared" si="82"/>
        <v>73333.295148041565</v>
      </c>
    </row>
    <row r="108" spans="1:35" x14ac:dyDescent="0.25">
      <c r="A108" s="71"/>
      <c r="B108" s="404"/>
      <c r="C108" s="404" t="s">
        <v>678</v>
      </c>
      <c r="D108" s="35"/>
      <c r="E108" s="402">
        <f>E111*0.21</f>
        <v>3336.8644067796608</v>
      </c>
      <c r="F108" s="402">
        <f t="shared" si="82"/>
        <v>3416.9491525423728</v>
      </c>
      <c r="G108" s="402">
        <f t="shared" si="82"/>
        <v>3498.9559322033897</v>
      </c>
      <c r="H108" s="402">
        <f t="shared" si="82"/>
        <v>3582.930874576271</v>
      </c>
      <c r="I108" s="402">
        <f t="shared" si="82"/>
        <v>3668.9212155661016</v>
      </c>
      <c r="J108" s="402">
        <f t="shared" si="82"/>
        <v>3756.9753247396879</v>
      </c>
      <c r="K108" s="402">
        <f t="shared" si="82"/>
        <v>3847.1427325334407</v>
      </c>
      <c r="L108" s="402">
        <f t="shared" si="82"/>
        <v>3939.4741581142434</v>
      </c>
      <c r="M108" s="402">
        <f t="shared" si="82"/>
        <v>4034.0215379089855</v>
      </c>
      <c r="N108" s="402">
        <f t="shared" si="82"/>
        <v>4130.8380548188015</v>
      </c>
      <c r="O108" s="402">
        <f t="shared" si="82"/>
        <v>4229.978168134453</v>
      </c>
      <c r="P108" s="402">
        <f t="shared" si="82"/>
        <v>4331.4976441696799</v>
      </c>
      <c r="Q108" s="402">
        <f t="shared" si="82"/>
        <v>4435.4535876297523</v>
      </c>
      <c r="R108" s="402">
        <f t="shared" si="82"/>
        <v>4541.9044737328668</v>
      </c>
      <c r="S108" s="402">
        <f t="shared" si="82"/>
        <v>4650.9101811024557</v>
      </c>
      <c r="T108" s="402">
        <f t="shared" si="82"/>
        <v>4762.5320254489143</v>
      </c>
      <c r="U108" s="402">
        <f t="shared" si="82"/>
        <v>4876.8327940596882</v>
      </c>
      <c r="V108" s="402">
        <f t="shared" si="82"/>
        <v>4993.876781117121</v>
      </c>
      <c r="W108" s="402">
        <f t="shared" si="82"/>
        <v>5113.7298238639323</v>
      </c>
      <c r="X108" s="402">
        <f t="shared" si="82"/>
        <v>5236.4593396366672</v>
      </c>
      <c r="Y108" s="402">
        <f t="shared" si="82"/>
        <v>5362.1343637879472</v>
      </c>
      <c r="Z108" s="402">
        <f t="shared" si="82"/>
        <v>5490.8255885188582</v>
      </c>
      <c r="AA108" s="402">
        <f t="shared" si="82"/>
        <v>5622.6054026433112</v>
      </c>
      <c r="AB108" s="402">
        <f t="shared" si="82"/>
        <v>5757.5479323067511</v>
      </c>
      <c r="AC108" s="402">
        <f t="shared" si="82"/>
        <v>5895.7290826821136</v>
      </c>
      <c r="AD108" s="402">
        <f t="shared" si="82"/>
        <v>6037.2265806664846</v>
      </c>
      <c r="AE108" s="402">
        <f t="shared" si="82"/>
        <v>6182.1200186024807</v>
      </c>
      <c r="AF108" s="402">
        <f t="shared" si="82"/>
        <v>6330.4908990489403</v>
      </c>
      <c r="AG108" s="402">
        <f t="shared" si="82"/>
        <v>6482.4226806261149</v>
      </c>
      <c r="AH108" s="402">
        <f t="shared" si="82"/>
        <v>6638.0008249611419</v>
      </c>
      <c r="AI108" s="37">
        <f t="shared" si="82"/>
        <v>6797.3128447602094</v>
      </c>
    </row>
    <row r="109" spans="1:35" x14ac:dyDescent="0.25">
      <c r="A109" s="71"/>
      <c r="B109" s="404"/>
      <c r="C109" s="404" t="s">
        <v>80</v>
      </c>
      <c r="D109" s="42"/>
      <c r="E109" s="408">
        <f t="shared" ref="E109:AI109" si="83">E106+E107+E108</f>
        <v>49845.503707627118</v>
      </c>
      <c r="F109" s="408">
        <f t="shared" si="83"/>
        <v>51869.049788135591</v>
      </c>
      <c r="G109" s="408">
        <f t="shared" si="83"/>
        <v>53989.882080508483</v>
      </c>
      <c r="H109" s="408">
        <f t="shared" si="83"/>
        <v>54566.706983491531</v>
      </c>
      <c r="I109" s="408">
        <f t="shared" si="83"/>
        <v>55204.63165872245</v>
      </c>
      <c r="J109" s="408">
        <f t="shared" si="83"/>
        <v>56305.964132091118</v>
      </c>
      <c r="K109" s="408">
        <f t="shared" si="83"/>
        <v>57652.19454668503</v>
      </c>
      <c r="L109" s="408">
        <f t="shared" si="83"/>
        <v>58948.992842924112</v>
      </c>
      <c r="M109" s="408">
        <f t="shared" si="83"/>
        <v>60310.936319459383</v>
      </c>
      <c r="N109" s="408">
        <f t="shared" si="83"/>
        <v>61709.652986041663</v>
      </c>
      <c r="O109" s="408">
        <f t="shared" si="83"/>
        <v>64429.196916181245</v>
      </c>
      <c r="P109" s="408">
        <f t="shared" si="83"/>
        <v>65711.150303186543</v>
      </c>
      <c r="Q109" s="408">
        <f t="shared" si="83"/>
        <v>67379.85741046301</v>
      </c>
      <c r="R109" s="408">
        <f t="shared" si="83"/>
        <v>68963.202492551427</v>
      </c>
      <c r="S109" s="408">
        <f t="shared" si="83"/>
        <v>70527.243127796391</v>
      </c>
      <c r="T109" s="408">
        <f t="shared" si="83"/>
        <v>72124.879577270287</v>
      </c>
      <c r="U109" s="408">
        <f t="shared" si="83"/>
        <v>73761.76832695528</v>
      </c>
      <c r="V109" s="408">
        <f t="shared" si="83"/>
        <v>75429.648245615768</v>
      </c>
      <c r="W109" s="408">
        <f t="shared" si="83"/>
        <v>77281.111667917328</v>
      </c>
      <c r="X109" s="408">
        <f t="shared" si="83"/>
        <v>79069.92527591344</v>
      </c>
      <c r="Y109" s="408">
        <f t="shared" si="83"/>
        <v>81027.065503721824</v>
      </c>
      <c r="Z109" s="408">
        <f t="shared" si="83"/>
        <v>82963.515605472159</v>
      </c>
      <c r="AA109" s="408">
        <f t="shared" si="83"/>
        <v>84986.088687630603</v>
      </c>
      <c r="AB109" s="408">
        <f t="shared" si="83"/>
        <v>87077.340794947304</v>
      </c>
      <c r="AC109" s="408">
        <f t="shared" si="83"/>
        <v>89281.298096907398</v>
      </c>
      <c r="AD109" s="408">
        <f t="shared" si="83"/>
        <v>91605.801670724701</v>
      </c>
      <c r="AE109" s="408">
        <f t="shared" si="83"/>
        <v>94056.512254042435</v>
      </c>
      <c r="AF109" s="408">
        <f t="shared" si="83"/>
        <v>96643.737043902147</v>
      </c>
      <c r="AG109" s="408">
        <f t="shared" si="83"/>
        <v>99351.265512616825</v>
      </c>
      <c r="AH109" s="408">
        <f t="shared" si="83"/>
        <v>102227.54898661455</v>
      </c>
      <c r="AI109" s="44">
        <f t="shared" si="83"/>
        <v>105170.48299280177</v>
      </c>
    </row>
    <row r="110" spans="1:35" x14ac:dyDescent="0.25">
      <c r="A110" s="71"/>
      <c r="B110" s="404"/>
      <c r="C110" s="404" t="s">
        <v>86</v>
      </c>
      <c r="D110" s="42"/>
      <c r="E110" s="408">
        <f t="shared" ref="E110:AI110" si="84">E109-E24</f>
        <v>-10650.500475136199</v>
      </c>
      <c r="F110" s="408">
        <f t="shared" si="84"/>
        <v>-8833.4930624933113</v>
      </c>
      <c r="G110" s="408">
        <f t="shared" si="84"/>
        <v>-9006.6616649602074</v>
      </c>
      <c r="H110" s="408">
        <f t="shared" si="84"/>
        <v>-12005.562560499486</v>
      </c>
      <c r="I110" s="408">
        <f t="shared" si="84"/>
        <v>-13792.673299059483</v>
      </c>
      <c r="J110" s="408">
        <f t="shared" si="84"/>
        <v>-15031.390149541388</v>
      </c>
      <c r="K110" s="408">
        <f t="shared" si="84"/>
        <v>-16093.922184457682</v>
      </c>
      <c r="L110" s="408">
        <f t="shared" si="84"/>
        <v>-17267.409858747938</v>
      </c>
      <c r="M110" s="408">
        <f t="shared" si="84"/>
        <v>-18478.940992232419</v>
      </c>
      <c r="N110" s="408">
        <f t="shared" si="84"/>
        <v>-19479.073142437323</v>
      </c>
      <c r="O110" s="408">
        <f t="shared" si="84"/>
        <v>-20118.441220759138</v>
      </c>
      <c r="P110" s="408">
        <f t="shared" si="84"/>
        <v>-21397.20262372875</v>
      </c>
      <c r="Q110" s="408">
        <f t="shared" si="84"/>
        <v>-22405.218625553622</v>
      </c>
      <c r="R110" s="408">
        <f t="shared" si="84"/>
        <v>-23237.322034612778</v>
      </c>
      <c r="S110" s="408">
        <f t="shared" si="84"/>
        <v>-24050.889137017162</v>
      </c>
      <c r="T110" s="408">
        <f t="shared" si="84"/>
        <v>-24925.934574150902</v>
      </c>
      <c r="U110" s="408">
        <f t="shared" si="84"/>
        <v>-25648.598367836326</v>
      </c>
      <c r="V110" s="408">
        <f t="shared" si="84"/>
        <v>-26794.135911716177</v>
      </c>
      <c r="W110" s="408">
        <f t="shared" si="84"/>
        <v>-27679.634943762867</v>
      </c>
      <c r="X110" s="408">
        <f t="shared" si="84"/>
        <v>-28275.240352977446</v>
      </c>
      <c r="Y110" s="408">
        <f t="shared" si="84"/>
        <v>-29611.522665855417</v>
      </c>
      <c r="Z110" s="408">
        <f t="shared" si="84"/>
        <v>-30735.16285768387</v>
      </c>
      <c r="AA110" s="408">
        <f t="shared" si="84"/>
        <v>-31677.348250566269</v>
      </c>
      <c r="AB110" s="408">
        <f t="shared" si="84"/>
        <v>-32927.821646759126</v>
      </c>
      <c r="AC110" s="408">
        <f t="shared" si="84"/>
        <v>-33772.168892316738</v>
      </c>
      <c r="AD110" s="408">
        <f t="shared" si="84"/>
        <v>-34377.932582875481</v>
      </c>
      <c r="AE110" s="408">
        <f t="shared" si="84"/>
        <v>-35867.606665494095</v>
      </c>
      <c r="AF110" s="408">
        <f t="shared" si="84"/>
        <v>-36908.50411333704</v>
      </c>
      <c r="AG110" s="408">
        <f t="shared" si="84"/>
        <v>-37727.513888616741</v>
      </c>
      <c r="AH110" s="408">
        <f t="shared" si="84"/>
        <v>-38823.275377093596</v>
      </c>
      <c r="AI110" s="44">
        <f t="shared" si="84"/>
        <v>-39618.447436845992</v>
      </c>
    </row>
    <row r="111" spans="1:35" x14ac:dyDescent="0.25">
      <c r="A111" s="71"/>
      <c r="B111" s="404"/>
      <c r="C111" s="404" t="s">
        <v>118</v>
      </c>
      <c r="D111" s="53"/>
      <c r="E111" s="407">
        <f t="shared" ref="E111:AI111" si="85">$D$10/$G$7</f>
        <v>15889.830508474577</v>
      </c>
      <c r="F111" s="407">
        <f t="shared" si="85"/>
        <v>15889.830508474577</v>
      </c>
      <c r="G111" s="407">
        <f t="shared" si="85"/>
        <v>15889.830508474577</v>
      </c>
      <c r="H111" s="407">
        <f t="shared" si="85"/>
        <v>15889.830508474577</v>
      </c>
      <c r="I111" s="407">
        <f t="shared" si="85"/>
        <v>15889.830508474577</v>
      </c>
      <c r="J111" s="407">
        <f t="shared" si="85"/>
        <v>15889.830508474577</v>
      </c>
      <c r="K111" s="407">
        <f t="shared" si="85"/>
        <v>15889.830508474577</v>
      </c>
      <c r="L111" s="407">
        <f t="shared" si="85"/>
        <v>15889.830508474577</v>
      </c>
      <c r="M111" s="407">
        <f t="shared" si="85"/>
        <v>15889.830508474577</v>
      </c>
      <c r="N111" s="407">
        <f t="shared" si="85"/>
        <v>15889.830508474577</v>
      </c>
      <c r="O111" s="407">
        <f t="shared" si="85"/>
        <v>15889.830508474577</v>
      </c>
      <c r="P111" s="407">
        <f t="shared" si="85"/>
        <v>15889.830508474577</v>
      </c>
      <c r="Q111" s="407">
        <f t="shared" si="85"/>
        <v>15889.830508474577</v>
      </c>
      <c r="R111" s="407">
        <f t="shared" si="85"/>
        <v>15889.830508474577</v>
      </c>
      <c r="S111" s="407">
        <f t="shared" si="85"/>
        <v>15889.830508474577</v>
      </c>
      <c r="T111" s="407">
        <f t="shared" si="85"/>
        <v>15889.830508474577</v>
      </c>
      <c r="U111" s="407">
        <f t="shared" si="85"/>
        <v>15889.830508474577</v>
      </c>
      <c r="V111" s="407">
        <f t="shared" si="85"/>
        <v>15889.830508474577</v>
      </c>
      <c r="W111" s="407">
        <f t="shared" si="85"/>
        <v>15889.830508474577</v>
      </c>
      <c r="X111" s="407">
        <f t="shared" si="85"/>
        <v>15889.830508474577</v>
      </c>
      <c r="Y111" s="407">
        <f t="shared" si="85"/>
        <v>15889.830508474577</v>
      </c>
      <c r="Z111" s="407">
        <f t="shared" si="85"/>
        <v>15889.830508474577</v>
      </c>
      <c r="AA111" s="407">
        <f t="shared" si="85"/>
        <v>15889.830508474577</v>
      </c>
      <c r="AB111" s="407">
        <f t="shared" si="85"/>
        <v>15889.830508474577</v>
      </c>
      <c r="AC111" s="407">
        <f t="shared" si="85"/>
        <v>15889.830508474577</v>
      </c>
      <c r="AD111" s="407">
        <f t="shared" si="85"/>
        <v>15889.830508474577</v>
      </c>
      <c r="AE111" s="407">
        <f t="shared" si="85"/>
        <v>15889.830508474577</v>
      </c>
      <c r="AF111" s="407">
        <f t="shared" si="85"/>
        <v>15889.830508474577</v>
      </c>
      <c r="AG111" s="407">
        <f t="shared" si="85"/>
        <v>15889.830508474577</v>
      </c>
      <c r="AH111" s="407">
        <f t="shared" si="85"/>
        <v>15889.830508474577</v>
      </c>
      <c r="AI111" s="54">
        <f t="shared" si="85"/>
        <v>15889.830508474577</v>
      </c>
    </row>
    <row r="112" spans="1:35" x14ac:dyDescent="0.25">
      <c r="A112" s="71"/>
      <c r="B112" s="404"/>
      <c r="C112" s="404" t="s">
        <v>87</v>
      </c>
      <c r="D112" s="39"/>
      <c r="E112" s="475">
        <f t="shared" ref="E112:AI112" si="86">(E111*$T$8)/$T$1</f>
        <v>134.05976878447404</v>
      </c>
      <c r="F112" s="475">
        <f t="shared" si="86"/>
        <v>134.05976878447404</v>
      </c>
      <c r="G112" s="475">
        <f t="shared" si="86"/>
        <v>134.05976878447404</v>
      </c>
      <c r="H112" s="475">
        <f t="shared" si="86"/>
        <v>134.05976878447404</v>
      </c>
      <c r="I112" s="475">
        <f t="shared" si="86"/>
        <v>134.05976878447404</v>
      </c>
      <c r="J112" s="475">
        <f t="shared" si="86"/>
        <v>134.05976878447404</v>
      </c>
      <c r="K112" s="475">
        <f t="shared" si="86"/>
        <v>134.05976878447404</v>
      </c>
      <c r="L112" s="475">
        <f t="shared" si="86"/>
        <v>134.05976878447404</v>
      </c>
      <c r="M112" s="475">
        <f t="shared" si="86"/>
        <v>134.05976878447404</v>
      </c>
      <c r="N112" s="475">
        <f t="shared" si="86"/>
        <v>134.05976878447404</v>
      </c>
      <c r="O112" s="475">
        <f t="shared" si="86"/>
        <v>134.05976878447404</v>
      </c>
      <c r="P112" s="475">
        <f t="shared" si="86"/>
        <v>134.05976878447404</v>
      </c>
      <c r="Q112" s="475">
        <f t="shared" si="86"/>
        <v>134.05976878447404</v>
      </c>
      <c r="R112" s="475">
        <f t="shared" si="86"/>
        <v>134.05976878447404</v>
      </c>
      <c r="S112" s="475">
        <f t="shared" si="86"/>
        <v>134.05976878447404</v>
      </c>
      <c r="T112" s="475">
        <f t="shared" si="86"/>
        <v>134.05976878447404</v>
      </c>
      <c r="U112" s="475">
        <f t="shared" si="86"/>
        <v>134.05976878447404</v>
      </c>
      <c r="V112" s="475">
        <f t="shared" si="86"/>
        <v>134.05976878447404</v>
      </c>
      <c r="W112" s="475">
        <f t="shared" si="86"/>
        <v>134.05976878447404</v>
      </c>
      <c r="X112" s="475">
        <f t="shared" si="86"/>
        <v>134.05976878447404</v>
      </c>
      <c r="Y112" s="475">
        <f t="shared" si="86"/>
        <v>134.05976878447404</v>
      </c>
      <c r="Z112" s="475">
        <f t="shared" si="86"/>
        <v>134.05976878447404</v>
      </c>
      <c r="AA112" s="475">
        <f t="shared" si="86"/>
        <v>134.05976878447404</v>
      </c>
      <c r="AB112" s="475">
        <f t="shared" si="86"/>
        <v>134.05976878447404</v>
      </c>
      <c r="AC112" s="475">
        <f t="shared" si="86"/>
        <v>134.05976878447404</v>
      </c>
      <c r="AD112" s="475">
        <f t="shared" si="86"/>
        <v>134.05976878447404</v>
      </c>
      <c r="AE112" s="475">
        <f t="shared" si="86"/>
        <v>134.05976878447404</v>
      </c>
      <c r="AF112" s="475">
        <f t="shared" si="86"/>
        <v>134.05976878447404</v>
      </c>
      <c r="AG112" s="475">
        <f t="shared" si="86"/>
        <v>134.05976878447404</v>
      </c>
      <c r="AH112" s="475">
        <f t="shared" si="86"/>
        <v>134.05976878447404</v>
      </c>
      <c r="AI112" s="55">
        <f t="shared" si="86"/>
        <v>134.05976878447404</v>
      </c>
    </row>
    <row r="113" spans="1:35" x14ac:dyDescent="0.25">
      <c r="A113" s="71"/>
      <c r="B113" s="404"/>
      <c r="C113" s="404" t="s">
        <v>88</v>
      </c>
      <c r="D113" s="53"/>
      <c r="E113" s="407">
        <f t="shared" ref="E113:AI113" si="87">E25-E112</f>
        <v>11.414914319238335</v>
      </c>
      <c r="F113" s="407">
        <f t="shared" si="87"/>
        <v>11.414914319238335</v>
      </c>
      <c r="G113" s="407">
        <f t="shared" si="87"/>
        <v>11.414914319238335</v>
      </c>
      <c r="H113" s="407">
        <f t="shared" si="87"/>
        <v>11.414914319238335</v>
      </c>
      <c r="I113" s="407">
        <f t="shared" si="87"/>
        <v>11.414914319238335</v>
      </c>
      <c r="J113" s="407">
        <f t="shared" si="87"/>
        <v>11.414914319238335</v>
      </c>
      <c r="K113" s="407">
        <f t="shared" si="87"/>
        <v>11.414914319238335</v>
      </c>
      <c r="L113" s="407">
        <f t="shared" si="87"/>
        <v>11.414914319238335</v>
      </c>
      <c r="M113" s="407">
        <f t="shared" si="87"/>
        <v>11.414914319238335</v>
      </c>
      <c r="N113" s="407">
        <f t="shared" si="87"/>
        <v>11.414914319238335</v>
      </c>
      <c r="O113" s="407">
        <f t="shared" si="87"/>
        <v>11.414914319238335</v>
      </c>
      <c r="P113" s="407">
        <f t="shared" si="87"/>
        <v>11.414914319238335</v>
      </c>
      <c r="Q113" s="407">
        <f t="shared" si="87"/>
        <v>11.414914319238335</v>
      </c>
      <c r="R113" s="407">
        <f t="shared" si="87"/>
        <v>11.414914319238335</v>
      </c>
      <c r="S113" s="407">
        <f t="shared" si="87"/>
        <v>11.414914319238335</v>
      </c>
      <c r="T113" s="407">
        <f t="shared" si="87"/>
        <v>11.414914319238335</v>
      </c>
      <c r="U113" s="407">
        <f t="shared" si="87"/>
        <v>11.414914319238335</v>
      </c>
      <c r="V113" s="407">
        <f t="shared" si="87"/>
        <v>11.414914319238335</v>
      </c>
      <c r="W113" s="407">
        <f t="shared" si="87"/>
        <v>11.414914319238335</v>
      </c>
      <c r="X113" s="407">
        <f t="shared" si="87"/>
        <v>11.414914319238335</v>
      </c>
      <c r="Y113" s="407">
        <f t="shared" si="87"/>
        <v>11.414914319238335</v>
      </c>
      <c r="Z113" s="407">
        <f t="shared" si="87"/>
        <v>11.414914319238335</v>
      </c>
      <c r="AA113" s="407">
        <f t="shared" si="87"/>
        <v>11.414914319238335</v>
      </c>
      <c r="AB113" s="407">
        <f t="shared" si="87"/>
        <v>11.414914319238335</v>
      </c>
      <c r="AC113" s="407">
        <f t="shared" si="87"/>
        <v>11.414914319238335</v>
      </c>
      <c r="AD113" s="407">
        <f t="shared" si="87"/>
        <v>11.414914319238335</v>
      </c>
      <c r="AE113" s="407">
        <f t="shared" si="87"/>
        <v>11.414914319238335</v>
      </c>
      <c r="AF113" s="407">
        <f t="shared" si="87"/>
        <v>11.414914319238335</v>
      </c>
      <c r="AG113" s="407">
        <f t="shared" si="87"/>
        <v>11.414914319238335</v>
      </c>
      <c r="AH113" s="407">
        <f t="shared" si="87"/>
        <v>11.414914319238335</v>
      </c>
      <c r="AI113" s="54">
        <f t="shared" si="87"/>
        <v>11.414914319238335</v>
      </c>
    </row>
    <row r="114" spans="1:35" ht="15.75" thickBot="1" x14ac:dyDescent="0.3">
      <c r="A114" s="72"/>
      <c r="B114" s="77"/>
      <c r="C114" s="77" t="s">
        <v>119</v>
      </c>
      <c r="D114" s="60"/>
      <c r="E114" s="61">
        <f t="shared" ref="E114:AI114" si="88">E110/E113</f>
        <v>-933.03376418570076</v>
      </c>
      <c r="F114" s="61">
        <f t="shared" si="88"/>
        <v>-773.85539789866152</v>
      </c>
      <c r="G114" s="61">
        <f t="shared" si="88"/>
        <v>-789.02577917564088</v>
      </c>
      <c r="H114" s="61">
        <f t="shared" si="88"/>
        <v>-1051.7435545062035</v>
      </c>
      <c r="I114" s="61">
        <f t="shared" si="88"/>
        <v>-1208.3028320075734</v>
      </c>
      <c r="J114" s="61">
        <f t="shared" si="88"/>
        <v>-1316.8202344022818</v>
      </c>
      <c r="K114" s="61">
        <f t="shared" si="88"/>
        <v>-1409.9030211145339</v>
      </c>
      <c r="L114" s="61">
        <f t="shared" si="88"/>
        <v>-1512.70604192324</v>
      </c>
      <c r="M114" s="61">
        <f t="shared" si="88"/>
        <v>-1618.8418480801558</v>
      </c>
      <c r="N114" s="61">
        <f t="shared" si="88"/>
        <v>-1706.4581124019398</v>
      </c>
      <c r="O114" s="61">
        <f t="shared" si="88"/>
        <v>-1762.4697530013129</v>
      </c>
      <c r="P114" s="61">
        <f t="shared" si="88"/>
        <v>-1874.4952458965533</v>
      </c>
      <c r="Q114" s="61">
        <f t="shared" si="88"/>
        <v>-1962.8021725745743</v>
      </c>
      <c r="R114" s="61">
        <f t="shared" si="88"/>
        <v>-2035.698331563412</v>
      </c>
      <c r="S114" s="61">
        <f t="shared" si="88"/>
        <v>-2106.9706232032381</v>
      </c>
      <c r="T114" s="61">
        <f t="shared" si="88"/>
        <v>-2183.6287051354843</v>
      </c>
      <c r="U114" s="61">
        <f t="shared" si="88"/>
        <v>-2246.9374408364147</v>
      </c>
      <c r="V114" s="61">
        <f t="shared" si="88"/>
        <v>-2347.2918992092818</v>
      </c>
      <c r="W114" s="61">
        <f t="shared" si="88"/>
        <v>-2424.8657650555019</v>
      </c>
      <c r="X114" s="61">
        <f t="shared" si="88"/>
        <v>-2477.0435907103788</v>
      </c>
      <c r="Y114" s="61">
        <f t="shared" si="88"/>
        <v>-2594.1081849339066</v>
      </c>
      <c r="Z114" s="61">
        <f t="shared" si="88"/>
        <v>-2692.5443326266409</v>
      </c>
      <c r="AA114" s="61">
        <f t="shared" si="88"/>
        <v>-2775.0841893905649</v>
      </c>
      <c r="AB114" s="61">
        <f t="shared" si="88"/>
        <v>-2884.6315202965316</v>
      </c>
      <c r="AC114" s="61">
        <f t="shared" si="88"/>
        <v>-2958.6002967537124</v>
      </c>
      <c r="AD114" s="61">
        <f t="shared" si="88"/>
        <v>-3011.6680354697014</v>
      </c>
      <c r="AE114" s="61">
        <f t="shared" si="88"/>
        <v>-3142.1704677225625</v>
      </c>
      <c r="AF114" s="61">
        <f t="shared" si="88"/>
        <v>-3233.3579631984285</v>
      </c>
      <c r="AG114" s="61">
        <f t="shared" si="88"/>
        <v>-3305.1070584938147</v>
      </c>
      <c r="AH114" s="61">
        <f t="shared" si="88"/>
        <v>-3401.1009010958651</v>
      </c>
      <c r="AI114" s="62">
        <f t="shared" si="88"/>
        <v>-3470.761700775477</v>
      </c>
    </row>
    <row r="115" spans="1:35" x14ac:dyDescent="0.25">
      <c r="A115" s="487" t="s">
        <v>120</v>
      </c>
      <c r="B115" s="856" t="s">
        <v>121</v>
      </c>
      <c r="C115" s="856"/>
      <c r="D115" s="80">
        <f t="shared" ref="D115:AI115" si="89">D103-$B$116</f>
        <v>-1.0900000000000001</v>
      </c>
      <c r="E115" s="81">
        <f t="shared" si="89"/>
        <v>0.2113436999999998</v>
      </c>
      <c r="F115" s="81">
        <f t="shared" si="89"/>
        <v>0.27927780000000002</v>
      </c>
      <c r="G115" s="81">
        <f t="shared" si="89"/>
        <v>0.35190849999999996</v>
      </c>
      <c r="H115" s="81">
        <f t="shared" si="89"/>
        <v>0.32590950000000007</v>
      </c>
      <c r="I115" s="81">
        <f t="shared" si="89"/>
        <v>0.30226050000000004</v>
      </c>
      <c r="J115" s="81">
        <f t="shared" si="89"/>
        <v>0.30624419999999986</v>
      </c>
      <c r="K115" s="81">
        <f t="shared" si="89"/>
        <v>0.32407229999999987</v>
      </c>
      <c r="L115" s="81">
        <f t="shared" si="89"/>
        <v>0.33718399999999993</v>
      </c>
      <c r="M115" s="81">
        <f t="shared" si="89"/>
        <v>0.35275149999999988</v>
      </c>
      <c r="N115" s="81">
        <f t="shared" si="89"/>
        <v>0.36894979999999999</v>
      </c>
      <c r="O115" s="81">
        <f t="shared" si="89"/>
        <v>0.46654829999999992</v>
      </c>
      <c r="P115" s="81">
        <f t="shared" si="89"/>
        <v>0.47190920000000003</v>
      </c>
      <c r="Q115" s="81">
        <f t="shared" si="89"/>
        <v>0.49980219999999975</v>
      </c>
      <c r="R115" s="81">
        <f t="shared" si="89"/>
        <v>0.5204721000000001</v>
      </c>
      <c r="S115" s="81">
        <f t="shared" si="89"/>
        <v>0.53803169999999989</v>
      </c>
      <c r="T115" s="81">
        <f t="shared" si="89"/>
        <v>0.55576470000000011</v>
      </c>
      <c r="U115" s="81">
        <f t="shared" si="89"/>
        <v>0.57398049999999978</v>
      </c>
      <c r="V115" s="81">
        <f t="shared" si="89"/>
        <v>0.5921114999999999</v>
      </c>
      <c r="W115" s="81">
        <f t="shared" si="89"/>
        <v>0.61971200000000004</v>
      </c>
      <c r="X115" s="81">
        <f t="shared" si="89"/>
        <v>0.64123569999999974</v>
      </c>
      <c r="Y115" s="81">
        <f t="shared" si="89"/>
        <v>0.67116750000000014</v>
      </c>
      <c r="Z115" s="81">
        <f t="shared" si="89"/>
        <v>0.69755949999999989</v>
      </c>
      <c r="AA115" s="81">
        <f t="shared" si="89"/>
        <v>0.72708010000000001</v>
      </c>
      <c r="AB115" s="81">
        <f t="shared" si="89"/>
        <v>0.75857649999999999</v>
      </c>
      <c r="AC115" s="81">
        <f t="shared" si="89"/>
        <v>0.79476309999999994</v>
      </c>
      <c r="AD115" s="81">
        <f t="shared" si="89"/>
        <v>0.83607570000000009</v>
      </c>
      <c r="AE115" s="81">
        <f t="shared" si="89"/>
        <v>0.88281149999999986</v>
      </c>
      <c r="AF115" s="81">
        <f t="shared" si="89"/>
        <v>0.93555869999999985</v>
      </c>
      <c r="AG115" s="81">
        <f t="shared" si="89"/>
        <v>0.99323519999999976</v>
      </c>
      <c r="AH115" s="81">
        <f t="shared" si="89"/>
        <v>1.0588268000000001</v>
      </c>
      <c r="AI115" s="82">
        <f t="shared" si="89"/>
        <v>1.1258427999999998</v>
      </c>
    </row>
    <row r="116" spans="1:35" x14ac:dyDescent="0.25">
      <c r="A116" s="71"/>
      <c r="B116" s="526">
        <f>'Fuel Factors'!I70</f>
        <v>1.0900000000000001</v>
      </c>
      <c r="C116" s="404" t="s">
        <v>122</v>
      </c>
      <c r="D116" s="68">
        <f>D115/IF(Inputs!$B$30=Inputs!$C$30,$G$7,Inputs!$B$30)</f>
        <v>-0.23093220338983053</v>
      </c>
      <c r="E116" s="406">
        <f>E115/IF(Inputs!$B$30=Inputs!$C$30,$G$7,Inputs!$B$30)</f>
        <v>4.4776207627118605E-2</v>
      </c>
      <c r="F116" s="406">
        <f>F115/IF(Inputs!$B$30=Inputs!$C$30,$G$7,Inputs!$B$30)</f>
        <v>5.9169025423728823E-2</v>
      </c>
      <c r="G116" s="406">
        <f>G115/IF(Inputs!$B$30=Inputs!$C$30,$G$7,Inputs!$B$30)</f>
        <v>7.4556885593220337E-2</v>
      </c>
      <c r="H116" s="406">
        <f>H115/IF(Inputs!$B$30=Inputs!$C$30,$G$7,Inputs!$B$30)</f>
        <v>6.904862288135595E-2</v>
      </c>
      <c r="I116" s="406">
        <f>I115/IF(Inputs!$B$30=Inputs!$C$30,$G$7,Inputs!$B$30)</f>
        <v>6.4038241525423742E-2</v>
      </c>
      <c r="J116" s="406">
        <f>J115/IF(Inputs!$B$30=Inputs!$C$30,$G$7,Inputs!$B$30)</f>
        <v>6.4882245762711843E-2</v>
      </c>
      <c r="K116" s="406">
        <f>K115/IF(Inputs!$B$30=Inputs!$C$30,$G$7,Inputs!$B$30)</f>
        <v>6.865938559322031E-2</v>
      </c>
      <c r="L116" s="406">
        <f>L115/IF(Inputs!$B$30=Inputs!$C$30,$G$7,Inputs!$B$30)</f>
        <v>7.1437288135593205E-2</v>
      </c>
      <c r="M116" s="406">
        <f>M115/IF(Inputs!$B$30=Inputs!$C$30,$G$7,Inputs!$B$30)</f>
        <v>7.4735487288135574E-2</v>
      </c>
      <c r="N116" s="406">
        <f>N115/IF(Inputs!$B$30=Inputs!$C$30,$G$7,Inputs!$B$30)</f>
        <v>7.8167330508474575E-2</v>
      </c>
      <c r="O116" s="406">
        <f>O115/IF(Inputs!$B$30=Inputs!$C$30,$G$7,Inputs!$B$30)</f>
        <v>9.8844978813559303E-2</v>
      </c>
      <c r="P116" s="406">
        <f>P115/IF(Inputs!$B$30=Inputs!$C$30,$G$7,Inputs!$B$30)</f>
        <v>9.9980762711864415E-2</v>
      </c>
      <c r="Q116" s="406">
        <f>Q115/IF(Inputs!$B$30=Inputs!$C$30,$G$7,Inputs!$B$30)</f>
        <v>0.10589029661016945</v>
      </c>
      <c r="R116" s="406">
        <f>R115/IF(Inputs!$B$30=Inputs!$C$30,$G$7,Inputs!$B$30)</f>
        <v>0.11026951271186443</v>
      </c>
      <c r="S116" s="406">
        <f>S115/IF(Inputs!$B$30=Inputs!$C$30,$G$7,Inputs!$B$30)</f>
        <v>0.11398976694915253</v>
      </c>
      <c r="T116" s="406">
        <f>T115/IF(Inputs!$B$30=Inputs!$C$30,$G$7,Inputs!$B$30)</f>
        <v>0.1177467584745763</v>
      </c>
      <c r="U116" s="406">
        <f>U115/IF(Inputs!$B$30=Inputs!$C$30,$G$7,Inputs!$B$30)</f>
        <v>0.12160603813559318</v>
      </c>
      <c r="V116" s="406">
        <f>V115/IF(Inputs!$B$30=Inputs!$C$30,$G$7,Inputs!$B$30)</f>
        <v>0.12544735169491525</v>
      </c>
      <c r="W116" s="406">
        <f>W115/IF(Inputs!$B$30=Inputs!$C$30,$G$7,Inputs!$B$30)</f>
        <v>0.13129491525423731</v>
      </c>
      <c r="X116" s="406">
        <f>X115/IF(Inputs!$B$30=Inputs!$C$30,$G$7,Inputs!$B$30)</f>
        <v>0.13585502118644063</v>
      </c>
      <c r="Y116" s="406">
        <f>Y115/IF(Inputs!$B$30=Inputs!$C$30,$G$7,Inputs!$B$30)</f>
        <v>0.14219650423728816</v>
      </c>
      <c r="Z116" s="406">
        <f>Z115/IF(Inputs!$B$30=Inputs!$C$30,$G$7,Inputs!$B$30)</f>
        <v>0.14778802966101692</v>
      </c>
      <c r="AA116" s="406">
        <f>AA115/IF(Inputs!$B$30=Inputs!$C$30,$G$7,Inputs!$B$30)</f>
        <v>0.15404239406779663</v>
      </c>
      <c r="AB116" s="406">
        <f>AB115/IF(Inputs!$B$30=Inputs!$C$30,$G$7,Inputs!$B$30)</f>
        <v>0.16071536016949153</v>
      </c>
      <c r="AC116" s="406">
        <f>AC115/IF(Inputs!$B$30=Inputs!$C$30,$G$7,Inputs!$B$30)</f>
        <v>0.1683820127118644</v>
      </c>
      <c r="AD116" s="406">
        <f>AD115/IF(Inputs!$B$30=Inputs!$C$30,$G$7,Inputs!$B$30)</f>
        <v>0.17713468220338985</v>
      </c>
      <c r="AE116" s="406">
        <f>AE115/IF(Inputs!$B$30=Inputs!$C$30,$G$7,Inputs!$B$30)</f>
        <v>0.1870363347457627</v>
      </c>
      <c r="AF116" s="406">
        <f>AF115/IF(Inputs!$B$30=Inputs!$C$30,$G$7,Inputs!$B$30)</f>
        <v>0.19821158898305083</v>
      </c>
      <c r="AG116" s="406">
        <f>AG115/IF(Inputs!$B$30=Inputs!$C$30,$G$7,Inputs!$B$30)</f>
        <v>0.21043118644067793</v>
      </c>
      <c r="AH116" s="406">
        <f>AH115/IF(Inputs!$B$30=Inputs!$C$30,$G$7,Inputs!$B$30)</f>
        <v>0.22432771186440681</v>
      </c>
      <c r="AI116" s="70">
        <f>AI115/IF(Inputs!$B$30=Inputs!$C$30,$G$7,Inputs!$B$30)</f>
        <v>0.23852601694915251</v>
      </c>
    </row>
    <row r="117" spans="1:35" x14ac:dyDescent="0.25">
      <c r="A117" s="71"/>
      <c r="C117" s="404" t="s">
        <v>74</v>
      </c>
      <c r="D117" s="35">
        <f>D116*$D$10</f>
        <v>-17319.91525423729</v>
      </c>
      <c r="E117" s="402">
        <f t="shared" ref="E117:AI117" si="90">E116*$D$10</f>
        <v>3358.2155720338956</v>
      </c>
      <c r="F117" s="402">
        <f t="shared" si="90"/>
        <v>4437.6769067796613</v>
      </c>
      <c r="G117" s="402">
        <f t="shared" si="90"/>
        <v>5591.7664194915251</v>
      </c>
      <c r="H117" s="402">
        <f t="shared" si="90"/>
        <v>5178.6467161016963</v>
      </c>
      <c r="I117" s="402">
        <f t="shared" si="90"/>
        <v>4802.8681144067805</v>
      </c>
      <c r="J117" s="402">
        <f t="shared" si="90"/>
        <v>4866.168432203388</v>
      </c>
      <c r="K117" s="402">
        <f t="shared" si="90"/>
        <v>5149.4539194915233</v>
      </c>
      <c r="L117" s="402">
        <f t="shared" si="90"/>
        <v>5357.7966101694901</v>
      </c>
      <c r="M117" s="402">
        <f t="shared" si="90"/>
        <v>5605.1615466101684</v>
      </c>
      <c r="N117" s="402">
        <f t="shared" si="90"/>
        <v>5862.5497881355932</v>
      </c>
      <c r="O117" s="402">
        <f t="shared" si="90"/>
        <v>7413.373411016948</v>
      </c>
      <c r="P117" s="402">
        <f t="shared" si="90"/>
        <v>7498.5572033898316</v>
      </c>
      <c r="Q117" s="402">
        <f t="shared" si="90"/>
        <v>7941.7722457627087</v>
      </c>
      <c r="R117" s="402">
        <f t="shared" si="90"/>
        <v>8270.2134533898316</v>
      </c>
      <c r="S117" s="402">
        <f t="shared" si="90"/>
        <v>8549.232521186439</v>
      </c>
      <c r="T117" s="402">
        <f t="shared" si="90"/>
        <v>8831.0068855932223</v>
      </c>
      <c r="U117" s="402">
        <f t="shared" si="90"/>
        <v>9120.4528601694874</v>
      </c>
      <c r="V117" s="402">
        <f t="shared" si="90"/>
        <v>9408.5513771186434</v>
      </c>
      <c r="W117" s="402">
        <f t="shared" si="90"/>
        <v>9847.1186440677975</v>
      </c>
      <c r="X117" s="402">
        <f t="shared" si="90"/>
        <v>10189.126588983048</v>
      </c>
      <c r="Y117" s="402">
        <f t="shared" si="90"/>
        <v>10664.737817796613</v>
      </c>
      <c r="Z117" s="402">
        <f t="shared" si="90"/>
        <v>11084.102224576269</v>
      </c>
      <c r="AA117" s="402">
        <f t="shared" si="90"/>
        <v>11553.179555084747</v>
      </c>
      <c r="AB117" s="402">
        <f t="shared" si="90"/>
        <v>12053.652012711866</v>
      </c>
      <c r="AC117" s="402">
        <f t="shared" si="90"/>
        <v>12628.65095338983</v>
      </c>
      <c r="AD117" s="402">
        <f t="shared" si="90"/>
        <v>13285.101165254238</v>
      </c>
      <c r="AE117" s="402">
        <f t="shared" si="90"/>
        <v>14027.725105932202</v>
      </c>
      <c r="AF117" s="402">
        <f t="shared" si="90"/>
        <v>14865.869173728812</v>
      </c>
      <c r="AG117" s="402">
        <f t="shared" si="90"/>
        <v>15782.338983050844</v>
      </c>
      <c r="AH117" s="402">
        <f t="shared" si="90"/>
        <v>16824.578389830509</v>
      </c>
      <c r="AI117" s="37">
        <f t="shared" si="90"/>
        <v>17889.451271186437</v>
      </c>
    </row>
    <row r="118" spans="1:35" x14ac:dyDescent="0.25">
      <c r="A118" s="71"/>
      <c r="C118" s="404" t="s">
        <v>79</v>
      </c>
      <c r="D118" s="35">
        <f>$D$10*$K$12</f>
        <v>36000</v>
      </c>
      <c r="E118" s="402">
        <f>D118*(1+$D$12)</f>
        <v>36864</v>
      </c>
      <c r="F118" s="402">
        <f t="shared" ref="F118:AI119" si="91">E118*(1+$D$12)</f>
        <v>37748.736000000004</v>
      </c>
      <c r="G118" s="402">
        <f t="shared" si="91"/>
        <v>38654.705664000008</v>
      </c>
      <c r="H118" s="402">
        <f t="shared" si="91"/>
        <v>39582.418599936012</v>
      </c>
      <c r="I118" s="402">
        <f t="shared" si="91"/>
        <v>40532.396646334477</v>
      </c>
      <c r="J118" s="402">
        <f t="shared" si="91"/>
        <v>41505.174165846503</v>
      </c>
      <c r="K118" s="402">
        <f t="shared" si="91"/>
        <v>42501.298345826821</v>
      </c>
      <c r="L118" s="402">
        <f t="shared" si="91"/>
        <v>43521.329506126669</v>
      </c>
      <c r="M118" s="402">
        <f t="shared" si="91"/>
        <v>44565.841414273709</v>
      </c>
      <c r="N118" s="402">
        <f t="shared" si="91"/>
        <v>45635.421608216282</v>
      </c>
      <c r="O118" s="402">
        <f t="shared" si="91"/>
        <v>46730.671726813474</v>
      </c>
      <c r="P118" s="402">
        <f t="shared" si="91"/>
        <v>47852.207848257</v>
      </c>
      <c r="Q118" s="402">
        <f t="shared" si="91"/>
        <v>49000.66083661517</v>
      </c>
      <c r="R118" s="402">
        <f t="shared" si="91"/>
        <v>50176.676696693932</v>
      </c>
      <c r="S118" s="402">
        <f t="shared" si="91"/>
        <v>51380.916937414586</v>
      </c>
      <c r="T118" s="402">
        <f t="shared" si="91"/>
        <v>52614.05894391254</v>
      </c>
      <c r="U118" s="402">
        <f t="shared" si="91"/>
        <v>53876.79635856644</v>
      </c>
      <c r="V118" s="402">
        <f t="shared" si="91"/>
        <v>55169.839471172039</v>
      </c>
      <c r="W118" s="402">
        <f t="shared" si="91"/>
        <v>56493.915618480169</v>
      </c>
      <c r="X118" s="402">
        <f t="shared" si="91"/>
        <v>57849.769593323697</v>
      </c>
      <c r="Y118" s="402">
        <f t="shared" si="91"/>
        <v>59238.164063563469</v>
      </c>
      <c r="Z118" s="402">
        <f t="shared" si="91"/>
        <v>60659.88000108899</v>
      </c>
      <c r="AA118" s="402">
        <f t="shared" si="91"/>
        <v>62115.717121115129</v>
      </c>
      <c r="AB118" s="402">
        <f t="shared" si="91"/>
        <v>63606.494332021895</v>
      </c>
      <c r="AC118" s="402">
        <f t="shared" si="91"/>
        <v>65133.050195990421</v>
      </c>
      <c r="AD118" s="402">
        <f t="shared" si="91"/>
        <v>66696.243400694191</v>
      </c>
      <c r="AE118" s="402">
        <f t="shared" si="91"/>
        <v>68296.953242310847</v>
      </c>
      <c r="AF118" s="402">
        <f t="shared" si="91"/>
        <v>69936.080120126309</v>
      </c>
      <c r="AG118" s="402">
        <f t="shared" si="91"/>
        <v>71614.546043009337</v>
      </c>
      <c r="AH118" s="402">
        <f t="shared" si="91"/>
        <v>73333.295148041565</v>
      </c>
      <c r="AI118" s="37">
        <f t="shared" si="91"/>
        <v>75093.294231594569</v>
      </c>
    </row>
    <row r="119" spans="1:35" x14ac:dyDescent="0.25">
      <c r="A119" s="71"/>
      <c r="C119" s="404" t="s">
        <v>679</v>
      </c>
      <c r="D119" s="35">
        <f>D122*$L$10</f>
        <v>3336.8644067796608</v>
      </c>
      <c r="E119" s="402">
        <f>D119*(1+$D$12)</f>
        <v>3416.9491525423728</v>
      </c>
      <c r="F119" s="402">
        <f t="shared" si="91"/>
        <v>3498.9559322033897</v>
      </c>
      <c r="G119" s="402">
        <f t="shared" si="91"/>
        <v>3582.930874576271</v>
      </c>
      <c r="H119" s="402">
        <f t="shared" si="91"/>
        <v>3668.9212155661016</v>
      </c>
      <c r="I119" s="402">
        <f t="shared" si="91"/>
        <v>3756.9753247396879</v>
      </c>
      <c r="J119" s="402">
        <f t="shared" si="91"/>
        <v>3847.1427325334407</v>
      </c>
      <c r="K119" s="402">
        <f t="shared" si="91"/>
        <v>3939.4741581142434</v>
      </c>
      <c r="L119" s="402">
        <f t="shared" si="91"/>
        <v>4034.0215379089855</v>
      </c>
      <c r="M119" s="402">
        <f t="shared" si="91"/>
        <v>4130.8380548188015</v>
      </c>
      <c r="N119" s="402">
        <f t="shared" si="91"/>
        <v>4229.978168134453</v>
      </c>
      <c r="O119" s="402">
        <f t="shared" si="91"/>
        <v>4331.4976441696799</v>
      </c>
      <c r="P119" s="402">
        <f t="shared" si="91"/>
        <v>4435.4535876297523</v>
      </c>
      <c r="Q119" s="402">
        <f t="shared" si="91"/>
        <v>4541.9044737328668</v>
      </c>
      <c r="R119" s="402">
        <f t="shared" si="91"/>
        <v>4650.9101811024557</v>
      </c>
      <c r="S119" s="402">
        <f t="shared" si="91"/>
        <v>4762.5320254489143</v>
      </c>
      <c r="T119" s="402">
        <f t="shared" si="91"/>
        <v>4876.8327940596882</v>
      </c>
      <c r="U119" s="402">
        <f t="shared" si="91"/>
        <v>4993.876781117121</v>
      </c>
      <c r="V119" s="402">
        <f t="shared" si="91"/>
        <v>5113.7298238639323</v>
      </c>
      <c r="W119" s="402">
        <f t="shared" si="91"/>
        <v>5236.4593396366672</v>
      </c>
      <c r="X119" s="402">
        <f t="shared" si="91"/>
        <v>5362.1343637879472</v>
      </c>
      <c r="Y119" s="402">
        <f t="shared" si="91"/>
        <v>5490.8255885188582</v>
      </c>
      <c r="Z119" s="402">
        <f t="shared" si="91"/>
        <v>5622.6054026433112</v>
      </c>
      <c r="AA119" s="402">
        <f t="shared" si="91"/>
        <v>5757.5479323067511</v>
      </c>
      <c r="AB119" s="402">
        <f t="shared" si="91"/>
        <v>5895.7290826821136</v>
      </c>
      <c r="AC119" s="402">
        <f t="shared" si="91"/>
        <v>6037.2265806664846</v>
      </c>
      <c r="AD119" s="402">
        <f t="shared" si="91"/>
        <v>6182.1200186024807</v>
      </c>
      <c r="AE119" s="402">
        <f t="shared" si="91"/>
        <v>6330.4908990489403</v>
      </c>
      <c r="AF119" s="402">
        <f t="shared" si="91"/>
        <v>6482.4226806261149</v>
      </c>
      <c r="AG119" s="402">
        <f t="shared" si="91"/>
        <v>6638.0008249611419</v>
      </c>
      <c r="AH119" s="402">
        <f t="shared" si="91"/>
        <v>6797.3128447602094</v>
      </c>
      <c r="AI119" s="37">
        <f t="shared" si="91"/>
        <v>6960.4483530344542</v>
      </c>
    </row>
    <row r="120" spans="1:35" x14ac:dyDescent="0.25">
      <c r="A120" s="71"/>
      <c r="C120" s="404" t="s">
        <v>123</v>
      </c>
      <c r="D120" s="42">
        <f>D117+D118+D119</f>
        <v>22016.949152542369</v>
      </c>
      <c r="E120" s="408">
        <f t="shared" ref="E120:AI120" si="92">E117+E118+E119</f>
        <v>43639.164724576265</v>
      </c>
      <c r="F120" s="408">
        <f t="shared" si="92"/>
        <v>45685.368838983057</v>
      </c>
      <c r="G120" s="408">
        <f t="shared" si="92"/>
        <v>47829.402958067803</v>
      </c>
      <c r="H120" s="408">
        <f t="shared" si="92"/>
        <v>48429.986531603812</v>
      </c>
      <c r="I120" s="408">
        <f t="shared" si="92"/>
        <v>49092.240085480946</v>
      </c>
      <c r="J120" s="408">
        <f t="shared" si="92"/>
        <v>50218.485330583339</v>
      </c>
      <c r="K120" s="408">
        <f t="shared" si="92"/>
        <v>51590.226423432585</v>
      </c>
      <c r="L120" s="408">
        <f t="shared" si="92"/>
        <v>52913.147654205146</v>
      </c>
      <c r="M120" s="408">
        <f t="shared" si="92"/>
        <v>54301.841015702681</v>
      </c>
      <c r="N120" s="408">
        <f t="shared" si="92"/>
        <v>55727.949564486327</v>
      </c>
      <c r="O120" s="408">
        <f t="shared" si="92"/>
        <v>58475.542782000099</v>
      </c>
      <c r="P120" s="408">
        <f t="shared" si="92"/>
        <v>59786.21863927658</v>
      </c>
      <c r="Q120" s="408">
        <f t="shared" si="92"/>
        <v>61484.337556110746</v>
      </c>
      <c r="R120" s="408">
        <f t="shared" si="92"/>
        <v>63097.800331186227</v>
      </c>
      <c r="S120" s="408">
        <f t="shared" si="92"/>
        <v>64692.681484049936</v>
      </c>
      <c r="T120" s="408">
        <f t="shared" si="92"/>
        <v>66321.898623565459</v>
      </c>
      <c r="U120" s="408">
        <f t="shared" si="92"/>
        <v>67991.125999853059</v>
      </c>
      <c r="V120" s="408">
        <f t="shared" si="92"/>
        <v>69692.120672154619</v>
      </c>
      <c r="W120" s="408">
        <f t="shared" si="92"/>
        <v>71577.493602184637</v>
      </c>
      <c r="X120" s="408">
        <f t="shared" si="92"/>
        <v>73401.030546094698</v>
      </c>
      <c r="Y120" s="408">
        <f t="shared" si="92"/>
        <v>75393.727469878941</v>
      </c>
      <c r="Z120" s="408">
        <f t="shared" si="92"/>
        <v>77366.587628308567</v>
      </c>
      <c r="AA120" s="408">
        <f t="shared" si="92"/>
        <v>79426.44460850663</v>
      </c>
      <c r="AB120" s="408">
        <f t="shared" si="92"/>
        <v>81555.875427415871</v>
      </c>
      <c r="AC120" s="408">
        <f t="shared" si="92"/>
        <v>83798.927730046737</v>
      </c>
      <c r="AD120" s="408">
        <f t="shared" si="92"/>
        <v>86163.464584550908</v>
      </c>
      <c r="AE120" s="408">
        <f t="shared" si="92"/>
        <v>88655.169247291982</v>
      </c>
      <c r="AF120" s="408">
        <f t="shared" si="92"/>
        <v>91284.371974481241</v>
      </c>
      <c r="AG120" s="408">
        <f t="shared" si="92"/>
        <v>94034.885851021318</v>
      </c>
      <c r="AH120" s="408">
        <f t="shared" si="92"/>
        <v>96955.186382632281</v>
      </c>
      <c r="AI120" s="44">
        <f t="shared" si="92"/>
        <v>99943.193855815465</v>
      </c>
    </row>
    <row r="121" spans="1:35" x14ac:dyDescent="0.25">
      <c r="A121" s="71"/>
      <c r="C121" s="404" t="s">
        <v>86</v>
      </c>
      <c r="D121" s="42">
        <f t="shared" ref="D121:AI121" si="93">D120-D24</f>
        <v>22016.949152542369</v>
      </c>
      <c r="E121" s="408">
        <f t="shared" si="93"/>
        <v>-16856.839458187053</v>
      </c>
      <c r="F121" s="408">
        <f t="shared" si="93"/>
        <v>-15017.174011645846</v>
      </c>
      <c r="G121" s="408">
        <f t="shared" si="93"/>
        <v>-15167.140787400887</v>
      </c>
      <c r="H121" s="408">
        <f t="shared" si="93"/>
        <v>-18142.283012387205</v>
      </c>
      <c r="I121" s="408">
        <f t="shared" si="93"/>
        <v>-19905.064872300987</v>
      </c>
      <c r="J121" s="408">
        <f t="shared" si="93"/>
        <v>-21118.868951049168</v>
      </c>
      <c r="K121" s="408">
        <f t="shared" si="93"/>
        <v>-22155.890307710128</v>
      </c>
      <c r="L121" s="408">
        <f t="shared" si="93"/>
        <v>-23303.255047466904</v>
      </c>
      <c r="M121" s="408">
        <f t="shared" si="93"/>
        <v>-24488.036295989121</v>
      </c>
      <c r="N121" s="408">
        <f t="shared" si="93"/>
        <v>-25460.776563992658</v>
      </c>
      <c r="O121" s="408">
        <f t="shared" si="93"/>
        <v>-26072.095354940284</v>
      </c>
      <c r="P121" s="408">
        <f t="shared" si="93"/>
        <v>-27322.134287638713</v>
      </c>
      <c r="Q121" s="408">
        <f t="shared" si="93"/>
        <v>-28300.738479905885</v>
      </c>
      <c r="R121" s="408">
        <f t="shared" si="93"/>
        <v>-29102.724195977979</v>
      </c>
      <c r="S121" s="408">
        <f t="shared" si="93"/>
        <v>-29885.450780763618</v>
      </c>
      <c r="T121" s="408">
        <f t="shared" si="93"/>
        <v>-30728.91552785573</v>
      </c>
      <c r="U121" s="408">
        <f t="shared" si="93"/>
        <v>-31419.240694938548</v>
      </c>
      <c r="V121" s="408">
        <f t="shared" si="93"/>
        <v>-32531.663485177327</v>
      </c>
      <c r="W121" s="408">
        <f t="shared" si="93"/>
        <v>-33383.253009495558</v>
      </c>
      <c r="X121" s="408">
        <f t="shared" si="93"/>
        <v>-33944.135082796187</v>
      </c>
      <c r="Y121" s="408">
        <f t="shared" si="93"/>
        <v>-35244.8606996983</v>
      </c>
      <c r="Z121" s="408">
        <f t="shared" si="93"/>
        <v>-36332.090834847462</v>
      </c>
      <c r="AA121" s="408">
        <f t="shared" si="93"/>
        <v>-37236.992329690242</v>
      </c>
      <c r="AB121" s="408">
        <f t="shared" si="93"/>
        <v>-38449.287014290559</v>
      </c>
      <c r="AC121" s="408">
        <f t="shared" si="93"/>
        <v>-39254.5392591774</v>
      </c>
      <c r="AD121" s="408">
        <f t="shared" si="93"/>
        <v>-39820.269669049274</v>
      </c>
      <c r="AE121" s="408">
        <f t="shared" si="93"/>
        <v>-41268.949672244547</v>
      </c>
      <c r="AF121" s="408">
        <f t="shared" si="93"/>
        <v>-42267.869182757946</v>
      </c>
      <c r="AG121" s="408">
        <f t="shared" si="93"/>
        <v>-43043.893550212248</v>
      </c>
      <c r="AH121" s="408">
        <f t="shared" si="93"/>
        <v>-44095.637981075866</v>
      </c>
      <c r="AI121" s="44">
        <f t="shared" si="93"/>
        <v>-44845.736573832299</v>
      </c>
    </row>
    <row r="122" spans="1:35" x14ac:dyDescent="0.25">
      <c r="A122" s="71"/>
      <c r="C122" s="404" t="s">
        <v>118</v>
      </c>
      <c r="D122" s="53">
        <f>$D$10/$G$7</f>
        <v>15889.830508474577</v>
      </c>
      <c r="E122" s="407">
        <f t="shared" ref="E122:AI122" si="94">$D$10/$G$7</f>
        <v>15889.830508474577</v>
      </c>
      <c r="F122" s="407">
        <f t="shared" si="94"/>
        <v>15889.830508474577</v>
      </c>
      <c r="G122" s="407">
        <f t="shared" si="94"/>
        <v>15889.830508474577</v>
      </c>
      <c r="H122" s="407">
        <f t="shared" si="94"/>
        <v>15889.830508474577</v>
      </c>
      <c r="I122" s="407">
        <f t="shared" si="94"/>
        <v>15889.830508474577</v>
      </c>
      <c r="J122" s="407">
        <f t="shared" si="94"/>
        <v>15889.830508474577</v>
      </c>
      <c r="K122" s="407">
        <f t="shared" si="94"/>
        <v>15889.830508474577</v>
      </c>
      <c r="L122" s="407">
        <f t="shared" si="94"/>
        <v>15889.830508474577</v>
      </c>
      <c r="M122" s="407">
        <f t="shared" si="94"/>
        <v>15889.830508474577</v>
      </c>
      <c r="N122" s="407">
        <f t="shared" si="94"/>
        <v>15889.830508474577</v>
      </c>
      <c r="O122" s="407">
        <f t="shared" si="94"/>
        <v>15889.830508474577</v>
      </c>
      <c r="P122" s="407">
        <f t="shared" si="94"/>
        <v>15889.830508474577</v>
      </c>
      <c r="Q122" s="407">
        <f t="shared" si="94"/>
        <v>15889.830508474577</v>
      </c>
      <c r="R122" s="407">
        <f t="shared" si="94"/>
        <v>15889.830508474577</v>
      </c>
      <c r="S122" s="407">
        <f t="shared" si="94"/>
        <v>15889.830508474577</v>
      </c>
      <c r="T122" s="407">
        <f t="shared" si="94"/>
        <v>15889.830508474577</v>
      </c>
      <c r="U122" s="407">
        <f t="shared" si="94"/>
        <v>15889.830508474577</v>
      </c>
      <c r="V122" s="407">
        <f t="shared" si="94"/>
        <v>15889.830508474577</v>
      </c>
      <c r="W122" s="407">
        <f t="shared" si="94"/>
        <v>15889.830508474577</v>
      </c>
      <c r="X122" s="407">
        <f t="shared" si="94"/>
        <v>15889.830508474577</v>
      </c>
      <c r="Y122" s="407">
        <f t="shared" si="94"/>
        <v>15889.830508474577</v>
      </c>
      <c r="Z122" s="407">
        <f t="shared" si="94"/>
        <v>15889.830508474577</v>
      </c>
      <c r="AA122" s="407">
        <f t="shared" si="94"/>
        <v>15889.830508474577</v>
      </c>
      <c r="AB122" s="407">
        <f t="shared" si="94"/>
        <v>15889.830508474577</v>
      </c>
      <c r="AC122" s="407">
        <f t="shared" si="94"/>
        <v>15889.830508474577</v>
      </c>
      <c r="AD122" s="407">
        <f t="shared" si="94"/>
        <v>15889.830508474577</v>
      </c>
      <c r="AE122" s="407">
        <f t="shared" si="94"/>
        <v>15889.830508474577</v>
      </c>
      <c r="AF122" s="407">
        <f t="shared" si="94"/>
        <v>15889.830508474577</v>
      </c>
      <c r="AG122" s="407">
        <f t="shared" si="94"/>
        <v>15889.830508474577</v>
      </c>
      <c r="AH122" s="407">
        <f t="shared" si="94"/>
        <v>15889.830508474577</v>
      </c>
      <c r="AI122" s="54">
        <f t="shared" si="94"/>
        <v>15889.830508474577</v>
      </c>
    </row>
    <row r="123" spans="1:35" x14ac:dyDescent="0.25">
      <c r="A123" s="71"/>
      <c r="C123" s="404" t="s">
        <v>87</v>
      </c>
      <c r="D123" s="53">
        <f>(D122*$T$9)/$T$1</f>
        <v>52.975231213219573</v>
      </c>
      <c r="E123" s="407">
        <f t="shared" ref="E123:AI123" si="95">(E122*$T$9)/$T$1</f>
        <v>52.975231213219573</v>
      </c>
      <c r="F123" s="407">
        <f t="shared" si="95"/>
        <v>52.975231213219573</v>
      </c>
      <c r="G123" s="407">
        <f t="shared" si="95"/>
        <v>52.975231213219573</v>
      </c>
      <c r="H123" s="407">
        <f t="shared" si="95"/>
        <v>52.975231213219573</v>
      </c>
      <c r="I123" s="407">
        <f t="shared" si="95"/>
        <v>52.975231213219573</v>
      </c>
      <c r="J123" s="407">
        <f t="shared" si="95"/>
        <v>52.975231213219573</v>
      </c>
      <c r="K123" s="407">
        <f t="shared" si="95"/>
        <v>52.975231213219573</v>
      </c>
      <c r="L123" s="407">
        <f t="shared" si="95"/>
        <v>52.975231213219573</v>
      </c>
      <c r="M123" s="407">
        <f t="shared" si="95"/>
        <v>52.975231213219573</v>
      </c>
      <c r="N123" s="407">
        <f t="shared" si="95"/>
        <v>52.975231213219573</v>
      </c>
      <c r="O123" s="407">
        <f t="shared" si="95"/>
        <v>52.975231213219573</v>
      </c>
      <c r="P123" s="407">
        <f t="shared" si="95"/>
        <v>52.975231213219573</v>
      </c>
      <c r="Q123" s="407">
        <f t="shared" si="95"/>
        <v>52.975231213219573</v>
      </c>
      <c r="R123" s="407">
        <f t="shared" si="95"/>
        <v>52.975231213219573</v>
      </c>
      <c r="S123" s="407">
        <f t="shared" si="95"/>
        <v>52.975231213219573</v>
      </c>
      <c r="T123" s="407">
        <f t="shared" si="95"/>
        <v>52.975231213219573</v>
      </c>
      <c r="U123" s="407">
        <f t="shared" si="95"/>
        <v>52.975231213219573</v>
      </c>
      <c r="V123" s="407">
        <f t="shared" si="95"/>
        <v>52.975231213219573</v>
      </c>
      <c r="W123" s="407">
        <f t="shared" si="95"/>
        <v>52.975231213219573</v>
      </c>
      <c r="X123" s="407">
        <f t="shared" si="95"/>
        <v>52.975231213219573</v>
      </c>
      <c r="Y123" s="407">
        <f t="shared" si="95"/>
        <v>52.975231213219573</v>
      </c>
      <c r="Z123" s="407">
        <f t="shared" si="95"/>
        <v>52.975231213219573</v>
      </c>
      <c r="AA123" s="407">
        <f t="shared" si="95"/>
        <v>52.975231213219573</v>
      </c>
      <c r="AB123" s="407">
        <f t="shared" si="95"/>
        <v>52.975231213219573</v>
      </c>
      <c r="AC123" s="407">
        <f t="shared" si="95"/>
        <v>52.975231213219573</v>
      </c>
      <c r="AD123" s="407">
        <f t="shared" si="95"/>
        <v>52.975231213219573</v>
      </c>
      <c r="AE123" s="407">
        <f t="shared" si="95"/>
        <v>52.975231213219573</v>
      </c>
      <c r="AF123" s="407">
        <f t="shared" si="95"/>
        <v>52.975231213219573</v>
      </c>
      <c r="AG123" s="407">
        <f t="shared" si="95"/>
        <v>52.975231213219573</v>
      </c>
      <c r="AH123" s="407">
        <f t="shared" si="95"/>
        <v>52.975231213219573</v>
      </c>
      <c r="AI123" s="54">
        <f t="shared" si="95"/>
        <v>52.975231213219573</v>
      </c>
    </row>
    <row r="124" spans="1:35" x14ac:dyDescent="0.25">
      <c r="A124" s="71"/>
      <c r="C124" s="404" t="s">
        <v>88</v>
      </c>
      <c r="D124" s="53">
        <f t="shared" ref="D124:AI124" si="96">D25-D123</f>
        <v>-52.975231213219573</v>
      </c>
      <c r="E124" s="407">
        <f t="shared" si="96"/>
        <v>92.499451890492807</v>
      </c>
      <c r="F124" s="407">
        <f t="shared" si="96"/>
        <v>92.499451890492807</v>
      </c>
      <c r="G124" s="407">
        <f t="shared" si="96"/>
        <v>92.499451890492807</v>
      </c>
      <c r="H124" s="407">
        <f t="shared" si="96"/>
        <v>92.499451890492807</v>
      </c>
      <c r="I124" s="407">
        <f t="shared" si="96"/>
        <v>92.499451890492807</v>
      </c>
      <c r="J124" s="407">
        <f t="shared" si="96"/>
        <v>92.499451890492807</v>
      </c>
      <c r="K124" s="407">
        <f t="shared" si="96"/>
        <v>92.499451890492807</v>
      </c>
      <c r="L124" s="407">
        <f t="shared" si="96"/>
        <v>92.499451890492807</v>
      </c>
      <c r="M124" s="407">
        <f t="shared" si="96"/>
        <v>92.499451890492807</v>
      </c>
      <c r="N124" s="407">
        <f t="shared" si="96"/>
        <v>92.499451890492807</v>
      </c>
      <c r="O124" s="407">
        <f t="shared" si="96"/>
        <v>92.499451890492807</v>
      </c>
      <c r="P124" s="407">
        <f t="shared" si="96"/>
        <v>92.499451890492807</v>
      </c>
      <c r="Q124" s="407">
        <f t="shared" si="96"/>
        <v>92.499451890492807</v>
      </c>
      <c r="R124" s="407">
        <f t="shared" si="96"/>
        <v>92.499451890492807</v>
      </c>
      <c r="S124" s="407">
        <f t="shared" si="96"/>
        <v>92.499451890492807</v>
      </c>
      <c r="T124" s="407">
        <f t="shared" si="96"/>
        <v>92.499451890492807</v>
      </c>
      <c r="U124" s="407">
        <f t="shared" si="96"/>
        <v>92.499451890492807</v>
      </c>
      <c r="V124" s="407">
        <f t="shared" si="96"/>
        <v>92.499451890492807</v>
      </c>
      <c r="W124" s="407">
        <f t="shared" si="96"/>
        <v>92.499451890492807</v>
      </c>
      <c r="X124" s="407">
        <f t="shared" si="96"/>
        <v>92.499451890492807</v>
      </c>
      <c r="Y124" s="407">
        <f t="shared" si="96"/>
        <v>92.499451890492807</v>
      </c>
      <c r="Z124" s="407">
        <f t="shared" si="96"/>
        <v>92.499451890492807</v>
      </c>
      <c r="AA124" s="407">
        <f t="shared" si="96"/>
        <v>92.499451890492807</v>
      </c>
      <c r="AB124" s="407">
        <f t="shared" si="96"/>
        <v>92.499451890492807</v>
      </c>
      <c r="AC124" s="407">
        <f t="shared" si="96"/>
        <v>92.499451890492807</v>
      </c>
      <c r="AD124" s="407">
        <f t="shared" si="96"/>
        <v>92.499451890492807</v>
      </c>
      <c r="AE124" s="407">
        <f t="shared" si="96"/>
        <v>92.499451890492807</v>
      </c>
      <c r="AF124" s="407">
        <f t="shared" si="96"/>
        <v>92.499451890492807</v>
      </c>
      <c r="AG124" s="407">
        <f t="shared" si="96"/>
        <v>92.499451890492807</v>
      </c>
      <c r="AH124" s="407">
        <f t="shared" si="96"/>
        <v>92.499451890492807</v>
      </c>
      <c r="AI124" s="54">
        <f t="shared" si="96"/>
        <v>92.499451890492807</v>
      </c>
    </row>
    <row r="125" spans="1:35" ht="15.75" thickBot="1" x14ac:dyDescent="0.3">
      <c r="A125" s="72"/>
      <c r="B125" s="73"/>
      <c r="C125" s="77" t="s">
        <v>119</v>
      </c>
      <c r="D125" s="60">
        <f>D121/D124</f>
        <v>-415.6083635374149</v>
      </c>
      <c r="E125" s="61">
        <f t="shared" ref="E125:AI125" si="97">E121/E124</f>
        <v>-182.23718209858512</v>
      </c>
      <c r="F125" s="61">
        <f t="shared" si="97"/>
        <v>-162.34878915200716</v>
      </c>
      <c r="G125" s="61">
        <f t="shared" si="97"/>
        <v>-163.97006119946298</v>
      </c>
      <c r="H125" s="61">
        <f t="shared" si="97"/>
        <v>-196.13395151644016</v>
      </c>
      <c r="I125" s="61">
        <f t="shared" si="97"/>
        <v>-215.19116562837547</v>
      </c>
      <c r="J125" s="61">
        <f t="shared" si="97"/>
        <v>-228.31344964131389</v>
      </c>
      <c r="K125" s="61">
        <f t="shared" si="97"/>
        <v>-239.52455776645888</v>
      </c>
      <c r="L125" s="61">
        <f t="shared" si="97"/>
        <v>-251.92857439906666</v>
      </c>
      <c r="M125" s="61">
        <f t="shared" si="97"/>
        <v>-264.73709622603752</v>
      </c>
      <c r="N125" s="61">
        <f t="shared" si="97"/>
        <v>-275.25326954515225</v>
      </c>
      <c r="O125" s="61">
        <f t="shared" si="97"/>
        <v>-281.86216050021807</v>
      </c>
      <c r="P125" s="61">
        <f t="shared" si="97"/>
        <v>-295.3761749851721</v>
      </c>
      <c r="Q125" s="61">
        <f t="shared" si="97"/>
        <v>-305.9557424557525</v>
      </c>
      <c r="R125" s="61">
        <f t="shared" si="97"/>
        <v>-314.62590968032737</v>
      </c>
      <c r="S125" s="61">
        <f t="shared" si="97"/>
        <v>-323.0878688464453</v>
      </c>
      <c r="T125" s="61">
        <f t="shared" si="97"/>
        <v>-332.20646068513713</v>
      </c>
      <c r="U125" s="61">
        <f t="shared" si="97"/>
        <v>-339.66947968659099</v>
      </c>
      <c r="V125" s="61">
        <f t="shared" si="97"/>
        <v>-351.69574327522008</v>
      </c>
      <c r="W125" s="61">
        <f t="shared" si="97"/>
        <v>-360.90217106385603</v>
      </c>
      <c r="X125" s="61">
        <f t="shared" si="97"/>
        <v>-366.96579697554944</v>
      </c>
      <c r="Y125" s="61">
        <f t="shared" si="97"/>
        <v>-381.02777886104212</v>
      </c>
      <c r="Z125" s="61">
        <f t="shared" si="97"/>
        <v>-392.78168780783568</v>
      </c>
      <c r="AA125" s="61">
        <f t="shared" si="97"/>
        <v>-402.56446463892507</v>
      </c>
      <c r="AB125" s="61">
        <f t="shared" si="97"/>
        <v>-415.67043078060033</v>
      </c>
      <c r="AC125" s="61">
        <f t="shared" si="97"/>
        <v>-424.37591203945311</v>
      </c>
      <c r="AD125" s="61">
        <f t="shared" si="97"/>
        <v>-430.49195271114945</v>
      </c>
      <c r="AE125" s="61">
        <f t="shared" si="97"/>
        <v>-446.1534509534344</v>
      </c>
      <c r="AF125" s="61">
        <f t="shared" si="97"/>
        <v>-456.95264478753398</v>
      </c>
      <c r="AG125" s="61">
        <f t="shared" si="97"/>
        <v>-465.34214712072628</v>
      </c>
      <c r="AH125" s="61">
        <f t="shared" si="97"/>
        <v>-476.71242455878883</v>
      </c>
      <c r="AI125" s="62">
        <f t="shared" si="97"/>
        <v>-484.82164658579552</v>
      </c>
    </row>
    <row r="126" spans="1:35" x14ac:dyDescent="0.25">
      <c r="A126" s="51" t="s">
        <v>124</v>
      </c>
      <c r="B126" s="496" t="s">
        <v>611</v>
      </c>
      <c r="C126" s="497" t="s">
        <v>612</v>
      </c>
      <c r="D126" s="502"/>
      <c r="E126" s="503">
        <v>19.788136999999999</v>
      </c>
      <c r="F126" s="503">
        <v>20.396485999999999</v>
      </c>
      <c r="G126" s="503">
        <v>21.208925000000001</v>
      </c>
      <c r="H126" s="503">
        <v>21.622437000000001</v>
      </c>
      <c r="I126" s="503">
        <v>22.455853999999999</v>
      </c>
      <c r="J126" s="503">
        <v>23.190774999999999</v>
      </c>
      <c r="K126" s="503">
        <v>24.052572000000001</v>
      </c>
      <c r="L126" s="503">
        <v>25.308731000000002</v>
      </c>
      <c r="M126" s="503">
        <v>26.410557000000001</v>
      </c>
      <c r="N126" s="503">
        <v>28.402387999999998</v>
      </c>
      <c r="O126" s="503">
        <v>29.242397</v>
      </c>
      <c r="P126" s="503">
        <v>30.566122</v>
      </c>
      <c r="Q126" s="503">
        <v>31.517831999999999</v>
      </c>
      <c r="R126" s="503">
        <v>32.65802</v>
      </c>
      <c r="S126" s="503">
        <v>33.633769999999998</v>
      </c>
      <c r="T126" s="503">
        <v>34.799244000000002</v>
      </c>
      <c r="U126" s="503">
        <v>35.906436999999997</v>
      </c>
      <c r="V126" s="503">
        <v>37.143135000000001</v>
      </c>
      <c r="W126" s="503">
        <v>37.972752</v>
      </c>
      <c r="X126" s="503">
        <v>39.444046</v>
      </c>
      <c r="Y126" s="503">
        <v>40.668427000000001</v>
      </c>
      <c r="Z126" s="503">
        <v>41.822150999999998</v>
      </c>
      <c r="AA126" s="503">
        <v>43.044823000000001</v>
      </c>
      <c r="AB126" s="503">
        <v>44.230671000000001</v>
      </c>
      <c r="AC126" s="503">
        <v>45.040413000000001</v>
      </c>
      <c r="AD126" s="503">
        <v>46.837200000000003</v>
      </c>
      <c r="AE126" s="503">
        <v>48.300316000000002</v>
      </c>
      <c r="AF126" s="503">
        <v>49.822819000000003</v>
      </c>
      <c r="AG126" s="503">
        <v>51.148045000000003</v>
      </c>
      <c r="AH126" s="503">
        <v>52.695495999999999</v>
      </c>
      <c r="AI126" s="503">
        <v>52.695495999999999</v>
      </c>
    </row>
    <row r="127" spans="1:35" x14ac:dyDescent="0.25">
      <c r="A127" s="71"/>
      <c r="B127" s="498" t="s">
        <v>614</v>
      </c>
      <c r="C127" s="462" t="s">
        <v>613</v>
      </c>
      <c r="D127" s="504"/>
      <c r="E127" s="483">
        <f t="shared" ref="E127:AG127" si="98">E126/$D$6</f>
        <v>2.297185036193</v>
      </c>
      <c r="F127" s="483">
        <f t="shared" si="98"/>
        <v>2.3678076632540002</v>
      </c>
      <c r="G127" s="483">
        <f t="shared" si="98"/>
        <v>2.4621228943250002</v>
      </c>
      <c r="H127" s="483">
        <f t="shared" si="98"/>
        <v>2.5101270888930003</v>
      </c>
      <c r="I127" s="483">
        <f t="shared" si="98"/>
        <v>2.6068776350059997</v>
      </c>
      <c r="J127" s="483">
        <f t="shared" si="98"/>
        <v>2.692193878975</v>
      </c>
      <c r="K127" s="483">
        <f t="shared" si="98"/>
        <v>2.7922390309080001</v>
      </c>
      <c r="L127" s="483">
        <f t="shared" si="98"/>
        <v>2.9380652730590002</v>
      </c>
      <c r="M127" s="483">
        <f t="shared" si="98"/>
        <v>3.0659751515730003</v>
      </c>
      <c r="N127" s="483">
        <f t="shared" si="98"/>
        <v>3.2972048205319999</v>
      </c>
      <c r="O127" s="483">
        <f t="shared" si="98"/>
        <v>3.394720625333</v>
      </c>
      <c r="P127" s="483">
        <f t="shared" si="98"/>
        <v>3.5483905368580002</v>
      </c>
      <c r="Q127" s="483">
        <f t="shared" si="98"/>
        <v>3.6588735990479999</v>
      </c>
      <c r="R127" s="483">
        <f t="shared" si="98"/>
        <v>3.7912368837799999</v>
      </c>
      <c r="S127" s="483">
        <f t="shared" si="98"/>
        <v>3.9045107255299998</v>
      </c>
      <c r="T127" s="483">
        <f t="shared" si="98"/>
        <v>4.0398094367160002</v>
      </c>
      <c r="U127" s="483">
        <f t="shared" si="98"/>
        <v>4.1683423648929994</v>
      </c>
      <c r="V127" s="483">
        <f t="shared" si="98"/>
        <v>4.3119093990150006</v>
      </c>
      <c r="W127" s="483">
        <f t="shared" si="98"/>
        <v>4.4082188069279997</v>
      </c>
      <c r="X127" s="483">
        <f t="shared" si="98"/>
        <v>4.5790198560939999</v>
      </c>
      <c r="Y127" s="483">
        <f t="shared" si="98"/>
        <v>4.7211570220030001</v>
      </c>
      <c r="Z127" s="483">
        <f t="shared" si="98"/>
        <v>4.8550916874389998</v>
      </c>
      <c r="AA127" s="483">
        <f t="shared" si="98"/>
        <v>4.9970304572469999</v>
      </c>
      <c r="AB127" s="483">
        <f t="shared" si="98"/>
        <v>5.1346943657190005</v>
      </c>
      <c r="AC127" s="483">
        <f t="shared" si="98"/>
        <v>5.228696504757</v>
      </c>
      <c r="AD127" s="483">
        <f t="shared" si="98"/>
        <v>5.4372837108000001</v>
      </c>
      <c r="AE127" s="483">
        <f t="shared" si="98"/>
        <v>5.6071353841240006</v>
      </c>
      <c r="AF127" s="483">
        <f t="shared" si="98"/>
        <v>5.783881234891</v>
      </c>
      <c r="AG127" s="483">
        <f t="shared" si="98"/>
        <v>5.9377253960050007</v>
      </c>
      <c r="AH127" s="483">
        <f>AH126/$D$6</f>
        <v>6.1173674351439997</v>
      </c>
      <c r="AI127" s="505">
        <f>AI126/$D$6</f>
        <v>6.1173674351439997</v>
      </c>
    </row>
    <row r="128" spans="1:35" x14ac:dyDescent="0.25">
      <c r="A128" s="71"/>
      <c r="B128" s="468" t="s">
        <v>615</v>
      </c>
      <c r="C128" s="527">
        <f>'Fuel Factors'!I5</f>
        <v>0.33943333333333325</v>
      </c>
      <c r="D128" s="68"/>
      <c r="E128" s="406">
        <f t="shared" ref="E128:AI128" si="99">E127-$C$128</f>
        <v>1.9577517028596667</v>
      </c>
      <c r="F128" s="406">
        <f t="shared" si="99"/>
        <v>2.0283743299206671</v>
      </c>
      <c r="G128" s="406">
        <f t="shared" si="99"/>
        <v>2.1226895609916667</v>
      </c>
      <c r="H128" s="406">
        <f t="shared" si="99"/>
        <v>2.1706937555596673</v>
      </c>
      <c r="I128" s="406">
        <f t="shared" si="99"/>
        <v>2.2674443016726666</v>
      </c>
      <c r="J128" s="406">
        <f t="shared" si="99"/>
        <v>2.3527605456416669</v>
      </c>
      <c r="K128" s="406">
        <f t="shared" si="99"/>
        <v>2.452805697574667</v>
      </c>
      <c r="L128" s="406">
        <f t="shared" si="99"/>
        <v>2.5986319397256672</v>
      </c>
      <c r="M128" s="406">
        <f t="shared" si="99"/>
        <v>2.7265418182396672</v>
      </c>
      <c r="N128" s="406">
        <f t="shared" si="99"/>
        <v>2.9577714871986664</v>
      </c>
      <c r="O128" s="406">
        <f t="shared" si="99"/>
        <v>3.055287291999667</v>
      </c>
      <c r="P128" s="406">
        <f t="shared" si="99"/>
        <v>3.2089572035246672</v>
      </c>
      <c r="Q128" s="406">
        <f t="shared" si="99"/>
        <v>3.3194402657146664</v>
      </c>
      <c r="R128" s="406">
        <f t="shared" si="99"/>
        <v>3.4518035504466669</v>
      </c>
      <c r="S128" s="406">
        <f t="shared" si="99"/>
        <v>3.5650773921966668</v>
      </c>
      <c r="T128" s="406">
        <f t="shared" si="99"/>
        <v>3.7003761033826672</v>
      </c>
      <c r="U128" s="406">
        <f t="shared" si="99"/>
        <v>3.8289090315596663</v>
      </c>
      <c r="V128" s="406">
        <f t="shared" si="99"/>
        <v>3.9724760656816676</v>
      </c>
      <c r="W128" s="406">
        <f t="shared" si="99"/>
        <v>4.0687854735946667</v>
      </c>
      <c r="X128" s="406">
        <f t="shared" si="99"/>
        <v>4.2395865227606668</v>
      </c>
      <c r="Y128" s="406">
        <f t="shared" si="99"/>
        <v>4.3817236886696671</v>
      </c>
      <c r="Z128" s="406">
        <f t="shared" si="99"/>
        <v>4.5156583541056667</v>
      </c>
      <c r="AA128" s="406">
        <f t="shared" si="99"/>
        <v>4.6575971239136669</v>
      </c>
      <c r="AB128" s="406">
        <f t="shared" si="99"/>
        <v>4.7952610323856675</v>
      </c>
      <c r="AC128" s="406">
        <f t="shared" si="99"/>
        <v>4.889263171423667</v>
      </c>
      <c r="AD128" s="406">
        <f t="shared" si="99"/>
        <v>5.097850377466667</v>
      </c>
      <c r="AE128" s="406">
        <f t="shared" si="99"/>
        <v>5.2677020507906676</v>
      </c>
      <c r="AF128" s="406">
        <f t="shared" si="99"/>
        <v>5.444447901557667</v>
      </c>
      <c r="AG128" s="406">
        <f t="shared" si="99"/>
        <v>5.5982920626716677</v>
      </c>
      <c r="AH128" s="406">
        <f t="shared" si="99"/>
        <v>5.7779341018106667</v>
      </c>
      <c r="AI128" s="70">
        <f t="shared" si="99"/>
        <v>5.7779341018106667</v>
      </c>
    </row>
    <row r="129" spans="1:35" x14ac:dyDescent="0.25">
      <c r="A129" s="71"/>
      <c r="B129" s="468"/>
      <c r="C129" s="499" t="s">
        <v>619</v>
      </c>
      <c r="D129" s="68"/>
      <c r="E129" s="406">
        <f t="shared" ref="E129:AI129" si="100">E130/$D$10</f>
        <v>0.30685763367706376</v>
      </c>
      <c r="F129" s="406">
        <f t="shared" si="100"/>
        <v>0.31792701095935222</v>
      </c>
      <c r="G129" s="406">
        <f t="shared" si="100"/>
        <v>0.33270996253787877</v>
      </c>
      <c r="H129" s="406">
        <f t="shared" si="100"/>
        <v>0.34023413096546512</v>
      </c>
      <c r="I129" s="406">
        <f t="shared" si="100"/>
        <v>0.35539879336562175</v>
      </c>
      <c r="J129" s="406">
        <f t="shared" si="100"/>
        <v>0.36877124539838041</v>
      </c>
      <c r="K129" s="406">
        <f t="shared" si="100"/>
        <v>0.38445230369508887</v>
      </c>
      <c r="L129" s="406">
        <f t="shared" si="100"/>
        <v>0.4073090814617033</v>
      </c>
      <c r="M129" s="406">
        <f t="shared" si="100"/>
        <v>0.42735765176170332</v>
      </c>
      <c r="N129" s="406">
        <f t="shared" si="100"/>
        <v>0.46360054658286315</v>
      </c>
      <c r="O129" s="406">
        <f t="shared" si="100"/>
        <v>0.47888515548584121</v>
      </c>
      <c r="P129" s="406">
        <f t="shared" si="100"/>
        <v>0.50297134851483816</v>
      </c>
      <c r="Q129" s="406">
        <f t="shared" si="100"/>
        <v>0.52028844290198539</v>
      </c>
      <c r="R129" s="406">
        <f t="shared" si="100"/>
        <v>0.54103503925496343</v>
      </c>
      <c r="S129" s="406">
        <f t="shared" si="100"/>
        <v>0.55878955990543366</v>
      </c>
      <c r="T129" s="406">
        <f t="shared" si="100"/>
        <v>0.57999625444869396</v>
      </c>
      <c r="U129" s="406">
        <f t="shared" si="100"/>
        <v>0.60014248143568438</v>
      </c>
      <c r="V129" s="406">
        <f t="shared" si="100"/>
        <v>0.62264515136076293</v>
      </c>
      <c r="W129" s="406">
        <f t="shared" si="100"/>
        <v>0.63774066984242417</v>
      </c>
      <c r="X129" s="406">
        <f t="shared" si="100"/>
        <v>0.66451199416311391</v>
      </c>
      <c r="Y129" s="406">
        <f t="shared" si="100"/>
        <v>0.68679054681342744</v>
      </c>
      <c r="Z129" s="406">
        <f t="shared" si="100"/>
        <v>0.70778344108239288</v>
      </c>
      <c r="AA129" s="406">
        <f t="shared" si="100"/>
        <v>0.73003089716515157</v>
      </c>
      <c r="AB129" s="406">
        <f t="shared" si="100"/>
        <v>0.75160831228615477</v>
      </c>
      <c r="AC129" s="406">
        <f t="shared" si="100"/>
        <v>0.7663421898783177</v>
      </c>
      <c r="AD129" s="406">
        <f t="shared" si="100"/>
        <v>0.79903610932079416</v>
      </c>
      <c r="AE129" s="406">
        <f t="shared" si="100"/>
        <v>0.82565862865057482</v>
      </c>
      <c r="AF129" s="406">
        <f t="shared" si="100"/>
        <v>0.85336174005606069</v>
      </c>
      <c r="AG129" s="406">
        <f t="shared" si="100"/>
        <v>0.87747524493286333</v>
      </c>
      <c r="AH129" s="406">
        <f t="shared" si="100"/>
        <v>0.90563230435903863</v>
      </c>
      <c r="AI129" s="70">
        <f t="shared" si="100"/>
        <v>0.90563230435903863</v>
      </c>
    </row>
    <row r="130" spans="1:35" x14ac:dyDescent="0.25">
      <c r="A130" s="71"/>
      <c r="B130" s="399"/>
      <c r="C130" s="79" t="s">
        <v>616</v>
      </c>
      <c r="D130" s="42"/>
      <c r="E130" s="408">
        <f t="shared" ref="E130:AI130" si="101">(($G$3/$G$5)*$G$9)*E128</f>
        <v>23014.322525779782</v>
      </c>
      <c r="F130" s="408">
        <f t="shared" si="101"/>
        <v>23844.525821951414</v>
      </c>
      <c r="G130" s="408">
        <f t="shared" si="101"/>
        <v>24953.24719034091</v>
      </c>
      <c r="H130" s="408">
        <f t="shared" si="101"/>
        <v>25517.559822409883</v>
      </c>
      <c r="I130" s="408">
        <f t="shared" si="101"/>
        <v>26654.909502421629</v>
      </c>
      <c r="J130" s="408">
        <f t="shared" si="101"/>
        <v>27657.843404878531</v>
      </c>
      <c r="K130" s="408">
        <f t="shared" si="101"/>
        <v>28833.922777131665</v>
      </c>
      <c r="L130" s="408">
        <f t="shared" si="101"/>
        <v>30548.181109627749</v>
      </c>
      <c r="M130" s="408">
        <f t="shared" si="101"/>
        <v>32051.823882127748</v>
      </c>
      <c r="N130" s="408">
        <f t="shared" si="101"/>
        <v>34770.040993714734</v>
      </c>
      <c r="O130" s="408">
        <f t="shared" si="101"/>
        <v>35916.38666143809</v>
      </c>
      <c r="P130" s="408">
        <f t="shared" si="101"/>
        <v>37722.851138612859</v>
      </c>
      <c r="Q130" s="408">
        <f t="shared" si="101"/>
        <v>39021.633217648901</v>
      </c>
      <c r="R130" s="408">
        <f t="shared" si="101"/>
        <v>40577.627944122258</v>
      </c>
      <c r="S130" s="408">
        <f t="shared" si="101"/>
        <v>41909.216992907524</v>
      </c>
      <c r="T130" s="408">
        <f t="shared" si="101"/>
        <v>43499.719083652046</v>
      </c>
      <c r="U130" s="408">
        <f t="shared" si="101"/>
        <v>45010.686107676331</v>
      </c>
      <c r="V130" s="408">
        <f t="shared" si="101"/>
        <v>46698.386352057219</v>
      </c>
      <c r="W130" s="408">
        <f t="shared" si="101"/>
        <v>47830.550238181815</v>
      </c>
      <c r="X130" s="408">
        <f t="shared" si="101"/>
        <v>49838.399562233542</v>
      </c>
      <c r="Y130" s="408">
        <f t="shared" si="101"/>
        <v>51509.291011007059</v>
      </c>
      <c r="Z130" s="408">
        <f t="shared" si="101"/>
        <v>53083.758081179469</v>
      </c>
      <c r="AA130" s="408">
        <f t="shared" si="101"/>
        <v>54752.317287386366</v>
      </c>
      <c r="AB130" s="408">
        <f t="shared" si="101"/>
        <v>56370.623421461605</v>
      </c>
      <c r="AC130" s="408">
        <f t="shared" si="101"/>
        <v>57475.664240873826</v>
      </c>
      <c r="AD130" s="408">
        <f t="shared" si="101"/>
        <v>59927.708199059562</v>
      </c>
      <c r="AE130" s="408">
        <f t="shared" si="101"/>
        <v>61924.397148793112</v>
      </c>
      <c r="AF130" s="408">
        <f t="shared" si="101"/>
        <v>64002.13050420455</v>
      </c>
      <c r="AG130" s="408">
        <f t="shared" si="101"/>
        <v>65810.643369964746</v>
      </c>
      <c r="AH130" s="408">
        <f t="shared" si="101"/>
        <v>67922.422826927897</v>
      </c>
      <c r="AI130" s="44">
        <f t="shared" si="101"/>
        <v>67922.422826927897</v>
      </c>
    </row>
    <row r="131" spans="1:35" x14ac:dyDescent="0.25">
      <c r="A131" s="71"/>
      <c r="B131" s="399"/>
      <c r="C131" s="79" t="s">
        <v>617</v>
      </c>
      <c r="D131" s="53"/>
      <c r="E131" s="407">
        <f t="shared" ref="E131:AI131" si="102">$D$10/$G$5</f>
        <v>11755.485893416928</v>
      </c>
      <c r="F131" s="407">
        <f t="shared" si="102"/>
        <v>11755.485893416928</v>
      </c>
      <c r="G131" s="407">
        <f t="shared" si="102"/>
        <v>11755.485893416928</v>
      </c>
      <c r="H131" s="407">
        <f t="shared" si="102"/>
        <v>11755.485893416928</v>
      </c>
      <c r="I131" s="407">
        <f t="shared" si="102"/>
        <v>11755.485893416928</v>
      </c>
      <c r="J131" s="407">
        <f t="shared" si="102"/>
        <v>11755.485893416928</v>
      </c>
      <c r="K131" s="407">
        <f t="shared" si="102"/>
        <v>11755.485893416928</v>
      </c>
      <c r="L131" s="407">
        <f t="shared" si="102"/>
        <v>11755.485893416928</v>
      </c>
      <c r="M131" s="407">
        <f t="shared" si="102"/>
        <v>11755.485893416928</v>
      </c>
      <c r="N131" s="407">
        <f t="shared" si="102"/>
        <v>11755.485893416928</v>
      </c>
      <c r="O131" s="407">
        <f t="shared" si="102"/>
        <v>11755.485893416928</v>
      </c>
      <c r="P131" s="407">
        <f t="shared" si="102"/>
        <v>11755.485893416928</v>
      </c>
      <c r="Q131" s="407">
        <f t="shared" si="102"/>
        <v>11755.485893416928</v>
      </c>
      <c r="R131" s="407">
        <f t="shared" si="102"/>
        <v>11755.485893416928</v>
      </c>
      <c r="S131" s="407">
        <f t="shared" si="102"/>
        <v>11755.485893416928</v>
      </c>
      <c r="T131" s="407">
        <f t="shared" si="102"/>
        <v>11755.485893416928</v>
      </c>
      <c r="U131" s="407">
        <f t="shared" si="102"/>
        <v>11755.485893416928</v>
      </c>
      <c r="V131" s="407">
        <f t="shared" si="102"/>
        <v>11755.485893416928</v>
      </c>
      <c r="W131" s="407">
        <f t="shared" si="102"/>
        <v>11755.485893416928</v>
      </c>
      <c r="X131" s="407">
        <f t="shared" si="102"/>
        <v>11755.485893416928</v>
      </c>
      <c r="Y131" s="407">
        <f t="shared" si="102"/>
        <v>11755.485893416928</v>
      </c>
      <c r="Z131" s="407">
        <f t="shared" si="102"/>
        <v>11755.485893416928</v>
      </c>
      <c r="AA131" s="407">
        <f t="shared" si="102"/>
        <v>11755.485893416928</v>
      </c>
      <c r="AB131" s="407">
        <f t="shared" si="102"/>
        <v>11755.485893416928</v>
      </c>
      <c r="AC131" s="407">
        <f t="shared" si="102"/>
        <v>11755.485893416928</v>
      </c>
      <c r="AD131" s="407">
        <f t="shared" si="102"/>
        <v>11755.485893416928</v>
      </c>
      <c r="AE131" s="407">
        <f t="shared" si="102"/>
        <v>11755.485893416928</v>
      </c>
      <c r="AF131" s="407">
        <f t="shared" si="102"/>
        <v>11755.485893416928</v>
      </c>
      <c r="AG131" s="407">
        <f t="shared" si="102"/>
        <v>11755.485893416928</v>
      </c>
      <c r="AH131" s="407">
        <f t="shared" si="102"/>
        <v>11755.485893416928</v>
      </c>
      <c r="AI131" s="54">
        <f t="shared" si="102"/>
        <v>11755.485893416928</v>
      </c>
    </row>
    <row r="132" spans="1:35" x14ac:dyDescent="0.25">
      <c r="A132" s="71"/>
      <c r="B132" s="399"/>
      <c r="C132" s="34" t="s">
        <v>79</v>
      </c>
      <c r="D132" s="35"/>
      <c r="E132" s="408">
        <f>D10*M11</f>
        <v>27000</v>
      </c>
      <c r="F132" s="408">
        <f t="shared" ref="F132:AI132" si="103">E132*(1+$D$12)</f>
        <v>27648</v>
      </c>
      <c r="G132" s="408">
        <f t="shared" si="103"/>
        <v>28311.552</v>
      </c>
      <c r="H132" s="408">
        <f t="shared" si="103"/>
        <v>28991.029247999999</v>
      </c>
      <c r="I132" s="408">
        <f t="shared" si="103"/>
        <v>29686.813949952</v>
      </c>
      <c r="J132" s="408">
        <f t="shared" si="103"/>
        <v>30399.297484750849</v>
      </c>
      <c r="K132" s="408">
        <f t="shared" si="103"/>
        <v>31128.88062438487</v>
      </c>
      <c r="L132" s="408">
        <f t="shared" si="103"/>
        <v>31875.973759370107</v>
      </c>
      <c r="M132" s="408">
        <f t="shared" si="103"/>
        <v>32640.997129594991</v>
      </c>
      <c r="N132" s="408">
        <f t="shared" si="103"/>
        <v>33424.381060705273</v>
      </c>
      <c r="O132" s="408">
        <f t="shared" si="103"/>
        <v>34226.566206162199</v>
      </c>
      <c r="P132" s="408">
        <f t="shared" si="103"/>
        <v>35048.003795110089</v>
      </c>
      <c r="Q132" s="408">
        <f t="shared" si="103"/>
        <v>35889.155886192733</v>
      </c>
      <c r="R132" s="408">
        <f t="shared" si="103"/>
        <v>36750.495627461358</v>
      </c>
      <c r="S132" s="408">
        <f t="shared" si="103"/>
        <v>37632.507522520435</v>
      </c>
      <c r="T132" s="408">
        <f t="shared" si="103"/>
        <v>38535.687703060925</v>
      </c>
      <c r="U132" s="408">
        <f t="shared" si="103"/>
        <v>39460.544207934385</v>
      </c>
      <c r="V132" s="408">
        <f t="shared" si="103"/>
        <v>40407.597268924808</v>
      </c>
      <c r="W132" s="408">
        <f t="shared" si="103"/>
        <v>41377.379603379006</v>
      </c>
      <c r="X132" s="408">
        <f t="shared" si="103"/>
        <v>42370.436713860101</v>
      </c>
      <c r="Y132" s="408">
        <f t="shared" si="103"/>
        <v>43387.327194992744</v>
      </c>
      <c r="Z132" s="408">
        <f t="shared" si="103"/>
        <v>44428.623047672569</v>
      </c>
      <c r="AA132" s="408">
        <f t="shared" si="103"/>
        <v>45494.910000816708</v>
      </c>
      <c r="AB132" s="408">
        <f t="shared" si="103"/>
        <v>46586.78784083631</v>
      </c>
      <c r="AC132" s="408">
        <f t="shared" si="103"/>
        <v>47704.87074901638</v>
      </c>
      <c r="AD132" s="408">
        <f t="shared" si="103"/>
        <v>48849.787646992772</v>
      </c>
      <c r="AE132" s="408">
        <f t="shared" si="103"/>
        <v>50022.1825505206</v>
      </c>
      <c r="AF132" s="408">
        <f t="shared" si="103"/>
        <v>51222.714931733099</v>
      </c>
      <c r="AG132" s="408">
        <f t="shared" si="103"/>
        <v>52452.060090094696</v>
      </c>
      <c r="AH132" s="408">
        <f t="shared" si="103"/>
        <v>53710.90953225697</v>
      </c>
      <c r="AI132" s="44">
        <f t="shared" si="103"/>
        <v>54999.971361031137</v>
      </c>
    </row>
    <row r="133" spans="1:35" x14ac:dyDescent="0.25">
      <c r="A133" s="71"/>
      <c r="B133" s="399"/>
      <c r="C133" s="79" t="s">
        <v>80</v>
      </c>
      <c r="D133" s="42"/>
      <c r="E133" s="408">
        <f t="shared" ref="E133:AI133" si="104">E130+E132</f>
        <v>50014.322525779782</v>
      </c>
      <c r="F133" s="408">
        <f t="shared" si="104"/>
        <v>51492.525821951414</v>
      </c>
      <c r="G133" s="408">
        <f t="shared" si="104"/>
        <v>53264.799190340913</v>
      </c>
      <c r="H133" s="408">
        <f t="shared" si="104"/>
        <v>54508.589070409886</v>
      </c>
      <c r="I133" s="408">
        <f t="shared" si="104"/>
        <v>56341.723452373626</v>
      </c>
      <c r="J133" s="408">
        <f t="shared" si="104"/>
        <v>58057.14088962938</v>
      </c>
      <c r="K133" s="408">
        <f t="shared" si="104"/>
        <v>59962.803401516532</v>
      </c>
      <c r="L133" s="408">
        <f t="shared" si="104"/>
        <v>62424.154868997852</v>
      </c>
      <c r="M133" s="408">
        <f t="shared" si="104"/>
        <v>64692.821011722743</v>
      </c>
      <c r="N133" s="408">
        <f t="shared" si="104"/>
        <v>68194.422054420007</v>
      </c>
      <c r="O133" s="408">
        <f t="shared" si="104"/>
        <v>70142.952867600281</v>
      </c>
      <c r="P133" s="408">
        <f t="shared" si="104"/>
        <v>72770.854933722949</v>
      </c>
      <c r="Q133" s="408">
        <f t="shared" si="104"/>
        <v>74910.789103841642</v>
      </c>
      <c r="R133" s="408">
        <f t="shared" si="104"/>
        <v>77328.123571583623</v>
      </c>
      <c r="S133" s="408">
        <f t="shared" si="104"/>
        <v>79541.724515427952</v>
      </c>
      <c r="T133" s="408">
        <f t="shared" si="104"/>
        <v>82035.406786712963</v>
      </c>
      <c r="U133" s="408">
        <f t="shared" si="104"/>
        <v>84471.230315610708</v>
      </c>
      <c r="V133" s="408">
        <f t="shared" si="104"/>
        <v>87105.983620982035</v>
      </c>
      <c r="W133" s="408">
        <f t="shared" si="104"/>
        <v>89207.929841560821</v>
      </c>
      <c r="X133" s="408">
        <f t="shared" si="104"/>
        <v>92208.836276093643</v>
      </c>
      <c r="Y133" s="408">
        <f t="shared" si="104"/>
        <v>94896.61820599981</v>
      </c>
      <c r="Z133" s="408">
        <f t="shared" si="104"/>
        <v>97512.381128852037</v>
      </c>
      <c r="AA133" s="408">
        <f t="shared" si="104"/>
        <v>100247.22728820308</v>
      </c>
      <c r="AB133" s="408">
        <f t="shared" si="104"/>
        <v>102957.41126229792</v>
      </c>
      <c r="AC133" s="408">
        <f t="shared" si="104"/>
        <v>105180.53498989021</v>
      </c>
      <c r="AD133" s="408">
        <f t="shared" si="104"/>
        <v>108777.49584605233</v>
      </c>
      <c r="AE133" s="408">
        <f t="shared" si="104"/>
        <v>111946.5796993137</v>
      </c>
      <c r="AF133" s="408">
        <f t="shared" si="104"/>
        <v>115224.84543593765</v>
      </c>
      <c r="AG133" s="408">
        <f t="shared" si="104"/>
        <v>118262.70346005945</v>
      </c>
      <c r="AH133" s="408">
        <f t="shared" si="104"/>
        <v>121633.33235918486</v>
      </c>
      <c r="AI133" s="44">
        <f t="shared" si="104"/>
        <v>122922.39418795903</v>
      </c>
    </row>
    <row r="134" spans="1:35" x14ac:dyDescent="0.25">
      <c r="A134" s="71"/>
      <c r="B134" s="399"/>
      <c r="C134" s="500" t="s">
        <v>620</v>
      </c>
      <c r="D134" s="42"/>
      <c r="E134" s="408">
        <f t="shared" ref="E134:AI134" si="105">E133-E24</f>
        <v>-10481.681656983536</v>
      </c>
      <c r="F134" s="408">
        <f t="shared" si="105"/>
        <v>-9210.0170286774883</v>
      </c>
      <c r="G134" s="408">
        <f t="shared" si="105"/>
        <v>-9731.7445551277779</v>
      </c>
      <c r="H134" s="408">
        <f t="shared" si="105"/>
        <v>-12063.680473581131</v>
      </c>
      <c r="I134" s="408">
        <f t="shared" si="105"/>
        <v>-12655.581505408307</v>
      </c>
      <c r="J134" s="408">
        <f t="shared" si="105"/>
        <v>-13280.213392003127</v>
      </c>
      <c r="K134" s="408">
        <f t="shared" si="105"/>
        <v>-13783.31332962618</v>
      </c>
      <c r="L134" s="408">
        <f t="shared" si="105"/>
        <v>-13792.247832674198</v>
      </c>
      <c r="M134" s="408">
        <f t="shared" si="105"/>
        <v>-14097.056299969059</v>
      </c>
      <c r="N134" s="408">
        <f t="shared" si="105"/>
        <v>-12994.304074058979</v>
      </c>
      <c r="O134" s="408">
        <f t="shared" si="105"/>
        <v>-14404.685269340102</v>
      </c>
      <c r="P134" s="408">
        <f t="shared" si="105"/>
        <v>-14337.497993192344</v>
      </c>
      <c r="Q134" s="408">
        <f t="shared" si="105"/>
        <v>-14874.286932174989</v>
      </c>
      <c r="R134" s="408">
        <f t="shared" si="105"/>
        <v>-14872.400955580582</v>
      </c>
      <c r="S134" s="408">
        <f t="shared" si="105"/>
        <v>-15036.407749385602</v>
      </c>
      <c r="T134" s="408">
        <f t="shared" si="105"/>
        <v>-15015.407364708226</v>
      </c>
      <c r="U134" s="408">
        <f t="shared" si="105"/>
        <v>-14939.136379180898</v>
      </c>
      <c r="V134" s="408">
        <f t="shared" si="105"/>
        <v>-15117.800536349911</v>
      </c>
      <c r="W134" s="408">
        <f t="shared" si="105"/>
        <v>-15752.816770119374</v>
      </c>
      <c r="X134" s="408">
        <f t="shared" si="105"/>
        <v>-15136.329352797242</v>
      </c>
      <c r="Y134" s="408">
        <f t="shared" si="105"/>
        <v>-15741.96996357743</v>
      </c>
      <c r="Z134" s="408">
        <f t="shared" si="105"/>
        <v>-16186.297334303992</v>
      </c>
      <c r="AA134" s="408">
        <f t="shared" si="105"/>
        <v>-16416.209649993791</v>
      </c>
      <c r="AB134" s="408">
        <f t="shared" si="105"/>
        <v>-17047.751179408515</v>
      </c>
      <c r="AC134" s="408">
        <f t="shared" si="105"/>
        <v>-17872.93199933393</v>
      </c>
      <c r="AD134" s="408">
        <f t="shared" si="105"/>
        <v>-17206.238407547848</v>
      </c>
      <c r="AE134" s="408">
        <f t="shared" si="105"/>
        <v>-17977.539220222825</v>
      </c>
      <c r="AF134" s="408">
        <f t="shared" si="105"/>
        <v>-18327.395721301538</v>
      </c>
      <c r="AG134" s="408">
        <f t="shared" si="105"/>
        <v>-18816.075941174116</v>
      </c>
      <c r="AH134" s="408">
        <f t="shared" si="105"/>
        <v>-19417.492004523287</v>
      </c>
      <c r="AI134" s="44">
        <f t="shared" si="105"/>
        <v>-21866.536241688736</v>
      </c>
    </row>
    <row r="135" spans="1:35" x14ac:dyDescent="0.25">
      <c r="A135" s="71"/>
      <c r="B135" s="399"/>
      <c r="C135" s="500" t="s">
        <v>87</v>
      </c>
      <c r="D135" s="53"/>
      <c r="E135" s="407">
        <f t="shared" ref="E135:AI135" si="106">(E131*$T$12)/2204.6</f>
        <v>138.10536362129113</v>
      </c>
      <c r="F135" s="407">
        <f t="shared" si="106"/>
        <v>138.10536362129113</v>
      </c>
      <c r="G135" s="407">
        <f t="shared" si="106"/>
        <v>138.10536362129113</v>
      </c>
      <c r="H135" s="407">
        <f t="shared" si="106"/>
        <v>138.10536362129113</v>
      </c>
      <c r="I135" s="407">
        <f t="shared" si="106"/>
        <v>138.10536362129113</v>
      </c>
      <c r="J135" s="407">
        <f t="shared" si="106"/>
        <v>138.10536362129113</v>
      </c>
      <c r="K135" s="407">
        <f t="shared" si="106"/>
        <v>138.10536362129113</v>
      </c>
      <c r="L135" s="407">
        <f t="shared" si="106"/>
        <v>138.10536362129113</v>
      </c>
      <c r="M135" s="407">
        <f t="shared" si="106"/>
        <v>138.10536362129113</v>
      </c>
      <c r="N135" s="407">
        <f t="shared" si="106"/>
        <v>138.10536362129113</v>
      </c>
      <c r="O135" s="407">
        <f t="shared" si="106"/>
        <v>138.10536362129113</v>
      </c>
      <c r="P135" s="407">
        <f t="shared" si="106"/>
        <v>138.10536362129113</v>
      </c>
      <c r="Q135" s="407">
        <f t="shared" si="106"/>
        <v>138.10536362129113</v>
      </c>
      <c r="R135" s="407">
        <f t="shared" si="106"/>
        <v>138.10536362129113</v>
      </c>
      <c r="S135" s="407">
        <f t="shared" si="106"/>
        <v>138.10536362129113</v>
      </c>
      <c r="T135" s="407">
        <f t="shared" si="106"/>
        <v>138.10536362129113</v>
      </c>
      <c r="U135" s="407">
        <f t="shared" si="106"/>
        <v>138.10536362129113</v>
      </c>
      <c r="V135" s="407">
        <f t="shared" si="106"/>
        <v>138.10536362129113</v>
      </c>
      <c r="W135" s="407">
        <f t="shared" si="106"/>
        <v>138.10536362129113</v>
      </c>
      <c r="X135" s="407">
        <f t="shared" si="106"/>
        <v>138.10536362129113</v>
      </c>
      <c r="Y135" s="407">
        <f t="shared" si="106"/>
        <v>138.10536362129113</v>
      </c>
      <c r="Z135" s="407">
        <f t="shared" si="106"/>
        <v>138.10536362129113</v>
      </c>
      <c r="AA135" s="407">
        <f t="shared" si="106"/>
        <v>138.10536362129113</v>
      </c>
      <c r="AB135" s="407">
        <f t="shared" si="106"/>
        <v>138.10536362129113</v>
      </c>
      <c r="AC135" s="407">
        <f t="shared" si="106"/>
        <v>138.10536362129113</v>
      </c>
      <c r="AD135" s="407">
        <f t="shared" si="106"/>
        <v>138.10536362129113</v>
      </c>
      <c r="AE135" s="407">
        <f t="shared" si="106"/>
        <v>138.10536362129113</v>
      </c>
      <c r="AF135" s="407">
        <f t="shared" si="106"/>
        <v>138.10536362129113</v>
      </c>
      <c r="AG135" s="407">
        <f t="shared" si="106"/>
        <v>138.10536362129113</v>
      </c>
      <c r="AH135" s="407">
        <f t="shared" si="106"/>
        <v>138.10536362129113</v>
      </c>
      <c r="AI135" s="54">
        <f t="shared" si="106"/>
        <v>138.10536362129113</v>
      </c>
    </row>
    <row r="136" spans="1:35" ht="15.75" thickBot="1" x14ac:dyDescent="0.3">
      <c r="A136" s="72"/>
      <c r="B136" s="73"/>
      <c r="C136" s="501" t="s">
        <v>623</v>
      </c>
      <c r="D136" s="48"/>
      <c r="E136" s="49">
        <f t="shared" ref="E136:AI136" si="107">E25-E135</f>
        <v>7.3693194824212469</v>
      </c>
      <c r="F136" s="49">
        <f t="shared" si="107"/>
        <v>7.3693194824212469</v>
      </c>
      <c r="G136" s="49">
        <f t="shared" si="107"/>
        <v>7.3693194824212469</v>
      </c>
      <c r="H136" s="49">
        <f t="shared" si="107"/>
        <v>7.3693194824212469</v>
      </c>
      <c r="I136" s="49">
        <f t="shared" si="107"/>
        <v>7.3693194824212469</v>
      </c>
      <c r="J136" s="49">
        <f t="shared" si="107"/>
        <v>7.3693194824212469</v>
      </c>
      <c r="K136" s="49">
        <f t="shared" si="107"/>
        <v>7.3693194824212469</v>
      </c>
      <c r="L136" s="49">
        <f t="shared" si="107"/>
        <v>7.3693194824212469</v>
      </c>
      <c r="M136" s="49">
        <f t="shared" si="107"/>
        <v>7.3693194824212469</v>
      </c>
      <c r="N136" s="49">
        <f t="shared" si="107"/>
        <v>7.3693194824212469</v>
      </c>
      <c r="O136" s="49">
        <f t="shared" si="107"/>
        <v>7.3693194824212469</v>
      </c>
      <c r="P136" s="49">
        <f t="shared" si="107"/>
        <v>7.3693194824212469</v>
      </c>
      <c r="Q136" s="49">
        <f t="shared" si="107"/>
        <v>7.3693194824212469</v>
      </c>
      <c r="R136" s="49">
        <f t="shared" si="107"/>
        <v>7.3693194824212469</v>
      </c>
      <c r="S136" s="49">
        <f t="shared" si="107"/>
        <v>7.3693194824212469</v>
      </c>
      <c r="T136" s="49">
        <f t="shared" si="107"/>
        <v>7.3693194824212469</v>
      </c>
      <c r="U136" s="49">
        <f t="shared" si="107"/>
        <v>7.3693194824212469</v>
      </c>
      <c r="V136" s="49">
        <f t="shared" si="107"/>
        <v>7.3693194824212469</v>
      </c>
      <c r="W136" s="49">
        <f t="shared" si="107"/>
        <v>7.3693194824212469</v>
      </c>
      <c r="X136" s="49">
        <f t="shared" si="107"/>
        <v>7.3693194824212469</v>
      </c>
      <c r="Y136" s="49">
        <f t="shared" si="107"/>
        <v>7.3693194824212469</v>
      </c>
      <c r="Z136" s="49">
        <f t="shared" si="107"/>
        <v>7.3693194824212469</v>
      </c>
      <c r="AA136" s="49">
        <f t="shared" si="107"/>
        <v>7.3693194824212469</v>
      </c>
      <c r="AB136" s="49">
        <f t="shared" si="107"/>
        <v>7.3693194824212469</v>
      </c>
      <c r="AC136" s="49">
        <f t="shared" si="107"/>
        <v>7.3693194824212469</v>
      </c>
      <c r="AD136" s="49">
        <f t="shared" si="107"/>
        <v>7.3693194824212469</v>
      </c>
      <c r="AE136" s="49">
        <f t="shared" si="107"/>
        <v>7.3693194824212469</v>
      </c>
      <c r="AF136" s="49">
        <f t="shared" si="107"/>
        <v>7.3693194824212469</v>
      </c>
      <c r="AG136" s="49">
        <f t="shared" si="107"/>
        <v>7.3693194824212469</v>
      </c>
      <c r="AH136" s="49">
        <f t="shared" si="107"/>
        <v>7.3693194824212469</v>
      </c>
      <c r="AI136" s="50">
        <f t="shared" si="107"/>
        <v>7.3693194824212469</v>
      </c>
    </row>
    <row r="140" spans="1:35" ht="18.75" x14ac:dyDescent="0.3">
      <c r="D140" s="365" t="s">
        <v>691</v>
      </c>
    </row>
    <row r="141" spans="1:35" x14ac:dyDescent="0.25">
      <c r="D141" s="366" t="s">
        <v>692</v>
      </c>
      <c r="E141" s="367" t="s">
        <v>41</v>
      </c>
      <c r="F141" s="367" t="s">
        <v>693</v>
      </c>
      <c r="G141" s="367" t="s">
        <v>694</v>
      </c>
      <c r="H141" s="367" t="s">
        <v>695</v>
      </c>
      <c r="I141" s="367" t="s">
        <v>696</v>
      </c>
      <c r="J141" s="367" t="s">
        <v>697</v>
      </c>
      <c r="K141" s="367" t="s">
        <v>698</v>
      </c>
    </row>
    <row r="142" spans="1:35" x14ac:dyDescent="0.25">
      <c r="D142" s="366" t="s">
        <v>699</v>
      </c>
      <c r="E142" s="368">
        <v>420.5</v>
      </c>
      <c r="F142" s="369">
        <v>8333.3333333333339</v>
      </c>
      <c r="G142" s="370">
        <v>5.4800000000000001E-2</v>
      </c>
      <c r="H142" s="370">
        <v>5.4800000000000001E-2</v>
      </c>
      <c r="I142" s="371">
        <v>31.83</v>
      </c>
      <c r="J142" s="372">
        <v>7.69</v>
      </c>
      <c r="K142" s="372">
        <v>7.69</v>
      </c>
    </row>
    <row r="143" spans="1:35" x14ac:dyDescent="0.25">
      <c r="D143" s="366"/>
      <c r="E143" s="367" t="s">
        <v>41</v>
      </c>
      <c r="F143" s="367" t="s">
        <v>693</v>
      </c>
      <c r="G143" s="367" t="s">
        <v>694</v>
      </c>
      <c r="H143" s="367" t="s">
        <v>695</v>
      </c>
      <c r="I143" s="367" t="s">
        <v>696</v>
      </c>
      <c r="J143" s="367" t="s">
        <v>697</v>
      </c>
      <c r="K143" s="367" t="s">
        <v>698</v>
      </c>
    </row>
    <row r="144" spans="1:35" x14ac:dyDescent="0.25">
      <c r="D144" s="366" t="s">
        <v>700</v>
      </c>
      <c r="E144" s="372">
        <v>80.333076923076916</v>
      </c>
      <c r="F144" s="373">
        <v>8333.3333333333339</v>
      </c>
      <c r="G144" s="370">
        <v>5.774615384615385E-2</v>
      </c>
      <c r="H144" s="370">
        <v>5.0480769230769225E-2</v>
      </c>
      <c r="I144" s="371">
        <v>31.83</v>
      </c>
      <c r="J144" s="372">
        <v>3.4239230769230771</v>
      </c>
      <c r="K144" s="372">
        <v>6.7307692307692308</v>
      </c>
    </row>
    <row r="145" spans="1:54" x14ac:dyDescent="0.25">
      <c r="D145" s="374"/>
      <c r="E145" s="375" t="s">
        <v>699</v>
      </c>
      <c r="F145" s="375" t="s">
        <v>700</v>
      </c>
      <c r="G145" s="374"/>
    </row>
    <row r="146" spans="1:54" x14ac:dyDescent="0.25">
      <c r="D146" s="376" t="s">
        <v>701</v>
      </c>
      <c r="E146" s="374">
        <f>B3</f>
        <v>19.2</v>
      </c>
      <c r="F146" s="374">
        <f>B3</f>
        <v>19.2</v>
      </c>
      <c r="G146" s="374" t="s">
        <v>702</v>
      </c>
    </row>
    <row r="147" spans="1:54" x14ac:dyDescent="0.25">
      <c r="D147" s="376" t="s">
        <v>752</v>
      </c>
      <c r="E147" s="377">
        <f>I142</f>
        <v>31.83</v>
      </c>
      <c r="F147" s="377">
        <f>I142</f>
        <v>31.83</v>
      </c>
      <c r="G147" s="374" t="s">
        <v>703</v>
      </c>
    </row>
    <row r="148" spans="1:54" x14ac:dyDescent="0.25">
      <c r="D148" s="376" t="s">
        <v>32</v>
      </c>
      <c r="E148" s="378">
        <f>J142</f>
        <v>7.69</v>
      </c>
      <c r="F148" s="378">
        <f>J144</f>
        <v>3.4239230769230771</v>
      </c>
      <c r="G148" s="379"/>
    </row>
    <row r="149" spans="1:54" x14ac:dyDescent="0.25">
      <c r="D149" s="376" t="s">
        <v>37</v>
      </c>
      <c r="E149" s="378">
        <f>K142</f>
        <v>7.69</v>
      </c>
      <c r="F149" s="378">
        <f>K144</f>
        <v>6.7307692307692308</v>
      </c>
      <c r="G149" s="374"/>
    </row>
    <row r="150" spans="1:54" x14ac:dyDescent="0.25">
      <c r="D150" s="376" t="s">
        <v>41</v>
      </c>
      <c r="E150" s="378">
        <f>IF(G9&lt;10,0,E142)</f>
        <v>0</v>
      </c>
      <c r="F150" s="378">
        <f>IF(G9&lt;10,0,E144)</f>
        <v>0</v>
      </c>
      <c r="G150" s="374"/>
    </row>
    <row r="151" spans="1:54" x14ac:dyDescent="0.25">
      <c r="D151" s="376" t="s">
        <v>753</v>
      </c>
      <c r="E151" s="379">
        <f>F142</f>
        <v>8333.3333333333339</v>
      </c>
      <c r="F151" s="383">
        <f>F144</f>
        <v>8333.3333333333339</v>
      </c>
      <c r="G151" s="374" t="s">
        <v>675</v>
      </c>
    </row>
    <row r="152" spans="1:54" x14ac:dyDescent="0.25">
      <c r="D152" s="376" t="s">
        <v>52</v>
      </c>
      <c r="E152" s="380">
        <f>G142</f>
        <v>5.4800000000000001E-2</v>
      </c>
      <c r="F152" s="381">
        <f>G144</f>
        <v>5.774615384615385E-2</v>
      </c>
      <c r="G152" s="374"/>
    </row>
    <row r="153" spans="1:54" x14ac:dyDescent="0.25">
      <c r="D153" s="376" t="s">
        <v>55</v>
      </c>
      <c r="E153" s="380">
        <f>H142</f>
        <v>5.4800000000000001E-2</v>
      </c>
      <c r="F153" s="381">
        <f>H144</f>
        <v>5.0480769230769225E-2</v>
      </c>
      <c r="G153" s="374"/>
    </row>
    <row r="154" spans="1:54" x14ac:dyDescent="0.25">
      <c r="D154" s="3"/>
      <c r="E154" s="14"/>
      <c r="F154" s="69">
        <f>E16</f>
        <v>2.1779999999999999</v>
      </c>
      <c r="G154" s="76"/>
    </row>
    <row r="155" spans="1:54" x14ac:dyDescent="0.25">
      <c r="A155" s="5" t="s">
        <v>764</v>
      </c>
      <c r="D155" s="3"/>
      <c r="E155" s="389">
        <v>2020</v>
      </c>
      <c r="F155">
        <v>2021</v>
      </c>
      <c r="G155">
        <v>2022</v>
      </c>
      <c r="H155">
        <v>2023</v>
      </c>
      <c r="I155">
        <v>2024</v>
      </c>
      <c r="J155">
        <v>2025</v>
      </c>
      <c r="K155">
        <v>2026</v>
      </c>
      <c r="L155">
        <v>2027</v>
      </c>
      <c r="M155">
        <v>2028</v>
      </c>
      <c r="N155">
        <v>2029</v>
      </c>
      <c r="O155">
        <v>2030</v>
      </c>
      <c r="P155">
        <v>2031</v>
      </c>
      <c r="Q155">
        <v>2032</v>
      </c>
      <c r="R155">
        <v>2033</v>
      </c>
      <c r="S155">
        <v>2034</v>
      </c>
      <c r="T155">
        <v>2035</v>
      </c>
      <c r="U155">
        <v>2036</v>
      </c>
      <c r="V155">
        <v>2037</v>
      </c>
      <c r="W155">
        <v>2038</v>
      </c>
      <c r="X155">
        <v>2039</v>
      </c>
      <c r="Y155">
        <v>2040</v>
      </c>
      <c r="Z155">
        <v>2041</v>
      </c>
      <c r="AA155">
        <v>2042</v>
      </c>
      <c r="AB155">
        <v>2043</v>
      </c>
      <c r="AC155">
        <v>2044</v>
      </c>
      <c r="AD155">
        <v>2045</v>
      </c>
      <c r="AE155">
        <v>2046</v>
      </c>
      <c r="AF155">
        <v>2047</v>
      </c>
      <c r="AG155">
        <v>2048</v>
      </c>
      <c r="AH155">
        <v>2049</v>
      </c>
      <c r="AI155">
        <v>2050</v>
      </c>
    </row>
    <row r="156" spans="1:54" x14ac:dyDescent="0.25">
      <c r="A156" t="s">
        <v>727</v>
      </c>
      <c r="E156">
        <v>0</v>
      </c>
      <c r="F156" s="428">
        <f t="shared" ref="F156:AI156" si="108">F14/E14</f>
        <v>1.0074663797952024</v>
      </c>
      <c r="G156" s="428">
        <f t="shared" si="108"/>
        <v>1.0544908709393936</v>
      </c>
      <c r="H156" s="428">
        <f t="shared" si="108"/>
        <v>1.0975277364270517</v>
      </c>
      <c r="I156" s="428">
        <f t="shared" si="108"/>
        <v>1.0500197740832051</v>
      </c>
      <c r="J156" s="428">
        <f t="shared" si="108"/>
        <v>1.0442615085176061</v>
      </c>
      <c r="K156" s="428">
        <f t="shared" si="108"/>
        <v>1.0437820455347817</v>
      </c>
      <c r="L156" s="428">
        <f t="shared" si="108"/>
        <v>1.0430597858838362</v>
      </c>
      <c r="M156" s="428">
        <f t="shared" si="108"/>
        <v>1.0434915806727325</v>
      </c>
      <c r="N156" s="428">
        <f t="shared" si="108"/>
        <v>1.0363909919601659</v>
      </c>
      <c r="O156" s="428">
        <f t="shared" si="108"/>
        <v>1.0591201408475157</v>
      </c>
      <c r="P156" s="428">
        <f t="shared" si="108"/>
        <v>1.0358623861047134</v>
      </c>
      <c r="Q156" s="428">
        <f t="shared" si="108"/>
        <v>1.036727939528338</v>
      </c>
      <c r="R156" s="428">
        <f t="shared" si="108"/>
        <v>1.0289312921006786</v>
      </c>
      <c r="S156" s="428">
        <f t="shared" si="108"/>
        <v>1.0266913041138066</v>
      </c>
      <c r="T156" s="428">
        <f t="shared" si="108"/>
        <v>1.0274333307352002</v>
      </c>
      <c r="U156" s="428">
        <f t="shared" si="108"/>
        <v>1.0237556925744677</v>
      </c>
      <c r="V156" s="428">
        <f t="shared" si="108"/>
        <v>1.0318287893376867</v>
      </c>
      <c r="W156" s="428">
        <f t="shared" si="108"/>
        <v>1.0287534738934583</v>
      </c>
      <c r="X156" s="428">
        <f t="shared" si="108"/>
        <v>1.0206188898056623</v>
      </c>
      <c r="Y156" s="428">
        <f t="shared" si="108"/>
        <v>1.0366544579815231</v>
      </c>
      <c r="Z156" s="428">
        <f t="shared" si="108"/>
        <v>1.0305583529777054</v>
      </c>
      <c r="AA156" s="428">
        <f t="shared" si="108"/>
        <v>1.0274024414096423</v>
      </c>
      <c r="AB156" s="428">
        <f t="shared" si="108"/>
        <v>1.0325346059658145</v>
      </c>
      <c r="AC156" s="428">
        <f t="shared" si="108"/>
        <v>1.0260857296001686</v>
      </c>
      <c r="AD156" s="428">
        <f t="shared" si="108"/>
        <v>1.0229505889860855</v>
      </c>
      <c r="AE156" s="428">
        <f t="shared" si="108"/>
        <v>1.0377838057241775</v>
      </c>
      <c r="AF156" s="428">
        <f t="shared" si="108"/>
        <v>1.0311043306519758</v>
      </c>
      <c r="AG156" s="428">
        <f t="shared" si="108"/>
        <v>1.0281117026005235</v>
      </c>
      <c r="AH156" s="428">
        <f t="shared" si="108"/>
        <v>1.0331683759186836</v>
      </c>
      <c r="AI156" s="428">
        <f t="shared" si="108"/>
        <v>1.0283090176298118</v>
      </c>
      <c r="AJ156" s="390"/>
      <c r="AK156" s="390"/>
      <c r="AL156" s="390"/>
      <c r="AM156" s="390"/>
      <c r="AN156" s="390"/>
      <c r="AO156" s="390"/>
      <c r="AP156" s="390"/>
      <c r="AQ156" s="390"/>
      <c r="AR156" s="390"/>
      <c r="AS156" s="390"/>
      <c r="AT156" s="390"/>
      <c r="AU156" s="390"/>
      <c r="AV156" s="390"/>
      <c r="AW156" s="390"/>
      <c r="AX156" s="390"/>
      <c r="AY156" s="390"/>
      <c r="AZ156" s="390"/>
      <c r="BA156" s="390"/>
      <c r="BB156" s="390"/>
    </row>
    <row r="157" spans="1:54" x14ac:dyDescent="0.25">
      <c r="A157" t="s">
        <v>402</v>
      </c>
      <c r="F157" s="390">
        <v>0</v>
      </c>
      <c r="G157" s="428">
        <f t="shared" ref="G157:AI157" si="109">G28/F28</f>
        <v>1.0522046096343676</v>
      </c>
      <c r="H157" s="428">
        <f t="shared" si="109"/>
        <v>1.0936388070084284</v>
      </c>
      <c r="I157" s="428">
        <f t="shared" si="109"/>
        <v>1.0481960055009134</v>
      </c>
      <c r="J157" s="428">
        <f t="shared" si="109"/>
        <v>1.0427218950012536</v>
      </c>
      <c r="K157" s="428">
        <f t="shared" si="109"/>
        <v>1.0423215068680809</v>
      </c>
      <c r="L157" s="428">
        <f t="shared" si="109"/>
        <v>1.0416816654322063</v>
      </c>
      <c r="M157" s="428">
        <f t="shared" si="109"/>
        <v>1.042155337547926</v>
      </c>
      <c r="N157" s="428">
        <f t="shared" si="109"/>
        <v>1.035318135233892</v>
      </c>
      <c r="O157" s="428">
        <f t="shared" si="109"/>
        <v>1.0574366549872947</v>
      </c>
      <c r="P157" s="428">
        <f t="shared" si="109"/>
        <v>1.0348966491857705</v>
      </c>
      <c r="Q157" s="428">
        <f t="shared" si="109"/>
        <v>1.0357722446992381</v>
      </c>
      <c r="R157" s="428">
        <f t="shared" si="109"/>
        <v>1.0282044731665483</v>
      </c>
      <c r="S157" s="428">
        <f t="shared" si="109"/>
        <v>1.0260391522992889</v>
      </c>
      <c r="T157" s="428">
        <f t="shared" si="109"/>
        <v>1.0267800595243581</v>
      </c>
      <c r="U157" s="428">
        <f t="shared" si="109"/>
        <v>1.0232047513743652</v>
      </c>
      <c r="V157" s="428">
        <f t="shared" si="109"/>
        <v>1.0311073577963774</v>
      </c>
      <c r="W157" s="428">
        <f t="shared" si="109"/>
        <v>1.0281214093300663</v>
      </c>
      <c r="X157" s="428">
        <f t="shared" si="109"/>
        <v>1.0201780386384647</v>
      </c>
      <c r="Y157" s="428">
        <f t="shared" si="109"/>
        <v>1.0358862522395667</v>
      </c>
      <c r="Z157" s="428">
        <f t="shared" si="109"/>
        <v>1.0299400965775689</v>
      </c>
      <c r="AA157" s="428">
        <f t="shared" si="109"/>
        <v>1.0268641518338599</v>
      </c>
      <c r="AB157" s="428">
        <f t="shared" si="109"/>
        <v>1.0319122207465405</v>
      </c>
      <c r="AC157" s="428">
        <f t="shared" si="109"/>
        <v>1.0256021433418241</v>
      </c>
      <c r="AD157" s="428">
        <f t="shared" si="109"/>
        <v>1.0225357439680971</v>
      </c>
      <c r="AE157" s="428">
        <f t="shared" si="109"/>
        <v>1.037115893726487</v>
      </c>
      <c r="AF157" s="428">
        <f t="shared" si="109"/>
        <v>1.0305741704593407</v>
      </c>
      <c r="AG157" s="428">
        <f t="shared" si="109"/>
        <v>1.0276467655548822</v>
      </c>
      <c r="AH157" s="428">
        <f t="shared" si="109"/>
        <v>1.0326345651272029</v>
      </c>
      <c r="AI157" s="428">
        <f t="shared" si="109"/>
        <v>1.0278678117584628</v>
      </c>
      <c r="AJ157" s="390"/>
      <c r="AK157" s="390"/>
      <c r="AL157" s="390"/>
      <c r="AM157" s="390"/>
      <c r="AN157" s="390"/>
      <c r="AO157" s="390"/>
      <c r="AP157" s="390"/>
      <c r="AQ157" s="390"/>
      <c r="AR157" s="390"/>
      <c r="AS157" s="390"/>
      <c r="AT157" s="390"/>
      <c r="AU157" s="390"/>
      <c r="AV157" s="390"/>
      <c r="AW157" s="390"/>
      <c r="AX157" s="390"/>
      <c r="AY157" s="390"/>
      <c r="AZ157" s="390"/>
      <c r="BA157" s="390"/>
      <c r="BB157" s="390"/>
    </row>
    <row r="158" spans="1:54" x14ac:dyDescent="0.25">
      <c r="A158" t="s">
        <v>90</v>
      </c>
      <c r="F158" s="390">
        <v>0</v>
      </c>
      <c r="G158" s="428">
        <f t="shared" ref="G158:AI158" si="110">G41/F41</f>
        <v>1.0522046096343676</v>
      </c>
      <c r="H158" s="428">
        <f t="shared" si="110"/>
        <v>1.0936388070084284</v>
      </c>
      <c r="I158" s="428">
        <f t="shared" si="110"/>
        <v>1.0481960055009134</v>
      </c>
      <c r="J158" s="428">
        <f t="shared" si="110"/>
        <v>1.0427218950012536</v>
      </c>
      <c r="K158" s="428">
        <f t="shared" si="110"/>
        <v>1.0423215068680809</v>
      </c>
      <c r="L158" s="428">
        <f t="shared" si="110"/>
        <v>1.0416816654322063</v>
      </c>
      <c r="M158" s="428">
        <f t="shared" si="110"/>
        <v>1.042155337547926</v>
      </c>
      <c r="N158" s="428">
        <f t="shared" si="110"/>
        <v>1.035318135233892</v>
      </c>
      <c r="O158" s="428">
        <f t="shared" si="110"/>
        <v>1.0574366549872947</v>
      </c>
      <c r="P158" s="428">
        <f t="shared" si="110"/>
        <v>1.0348966491857705</v>
      </c>
      <c r="Q158" s="428">
        <f t="shared" si="110"/>
        <v>1.0357722446992381</v>
      </c>
      <c r="R158" s="428">
        <f t="shared" si="110"/>
        <v>1.0282044731665483</v>
      </c>
      <c r="S158" s="428">
        <f t="shared" si="110"/>
        <v>1.0260391522992889</v>
      </c>
      <c r="T158" s="428">
        <f t="shared" si="110"/>
        <v>1.0267800595243581</v>
      </c>
      <c r="U158" s="428">
        <f t="shared" si="110"/>
        <v>1.0232047513743652</v>
      </c>
      <c r="V158" s="428">
        <f t="shared" si="110"/>
        <v>1.0311073577963774</v>
      </c>
      <c r="W158" s="428">
        <f t="shared" si="110"/>
        <v>1.0281214093300663</v>
      </c>
      <c r="X158" s="428">
        <f t="shared" si="110"/>
        <v>1.0201780386384647</v>
      </c>
      <c r="Y158" s="428">
        <f t="shared" si="110"/>
        <v>1.0358862522395667</v>
      </c>
      <c r="Z158" s="428">
        <f t="shared" si="110"/>
        <v>1.0299400965775689</v>
      </c>
      <c r="AA158" s="428">
        <f t="shared" si="110"/>
        <v>1.0268641518338599</v>
      </c>
      <c r="AB158" s="428">
        <f t="shared" si="110"/>
        <v>1.0319122207465405</v>
      </c>
      <c r="AC158" s="428">
        <f t="shared" si="110"/>
        <v>1.0256021433418241</v>
      </c>
      <c r="AD158" s="428">
        <f t="shared" si="110"/>
        <v>1.0225357439680971</v>
      </c>
      <c r="AE158" s="428">
        <f t="shared" si="110"/>
        <v>1.037115893726487</v>
      </c>
      <c r="AF158" s="428">
        <f t="shared" si="110"/>
        <v>1.0305741704593407</v>
      </c>
      <c r="AG158" s="428">
        <f t="shared" si="110"/>
        <v>1.0276467655548822</v>
      </c>
      <c r="AH158" s="428">
        <f t="shared" si="110"/>
        <v>1.0326345651272029</v>
      </c>
      <c r="AI158" s="428">
        <f t="shared" si="110"/>
        <v>1.0278678117584628</v>
      </c>
      <c r="AJ158" s="390"/>
      <c r="AK158" s="390"/>
      <c r="AL158" s="390"/>
      <c r="AM158" s="390"/>
      <c r="AN158" s="390"/>
      <c r="AO158" s="390"/>
      <c r="AP158" s="390"/>
      <c r="AQ158" s="390"/>
      <c r="AR158" s="390"/>
      <c r="AS158" s="390"/>
      <c r="AT158" s="390"/>
      <c r="AU158" s="390"/>
      <c r="AV158" s="390"/>
      <c r="AW158" s="390"/>
      <c r="AX158" s="390"/>
      <c r="AY158" s="390"/>
      <c r="AZ158" s="390"/>
      <c r="BA158" s="390"/>
      <c r="BB158" s="390"/>
    </row>
    <row r="159" spans="1:54" x14ac:dyDescent="0.25">
      <c r="A159" t="s">
        <v>94</v>
      </c>
      <c r="F159" s="390">
        <v>0</v>
      </c>
      <c r="G159" s="428">
        <f t="shared" ref="G159:AI159" si="111">G54/F54</f>
        <v>1.0544898229046797</v>
      </c>
      <c r="H159" s="428">
        <f t="shared" si="111"/>
        <v>1.0975259575838412</v>
      </c>
      <c r="I159" s="428">
        <f t="shared" si="111"/>
        <v>1.0500189428240314</v>
      </c>
      <c r="J159" s="428">
        <f t="shared" si="111"/>
        <v>1.0442608079923414</v>
      </c>
      <c r="K159" s="428">
        <f t="shared" si="111"/>
        <v>1.0437813819679636</v>
      </c>
      <c r="L159" s="428">
        <f t="shared" si="111"/>
        <v>1.0430591606378214</v>
      </c>
      <c r="M159" s="428">
        <f t="shared" si="111"/>
        <v>1.0434909752268682</v>
      </c>
      <c r="N159" s="428">
        <f t="shared" si="111"/>
        <v>1.0363905064757188</v>
      </c>
      <c r="O159" s="428">
        <f t="shared" si="111"/>
        <v>1.0591193798320875</v>
      </c>
      <c r="P159" s="428">
        <f t="shared" si="111"/>
        <v>1.0358619502394404</v>
      </c>
      <c r="Q159" s="428">
        <f t="shared" si="111"/>
        <v>1.0367275085973047</v>
      </c>
      <c r="R159" s="428">
        <f t="shared" si="111"/>
        <v>1.0289309646737352</v>
      </c>
      <c r="S159" s="428">
        <f t="shared" si="111"/>
        <v>1.0266910105313232</v>
      </c>
      <c r="T159" s="428">
        <f t="shared" si="111"/>
        <v>1.0274330368355109</v>
      </c>
      <c r="U159" s="428">
        <f t="shared" si="111"/>
        <v>1.023755444869477</v>
      </c>
      <c r="V159" s="428">
        <f t="shared" si="111"/>
        <v>1.0318284651541501</v>
      </c>
      <c r="W159" s="428">
        <f t="shared" si="111"/>
        <v>1.028753190066493</v>
      </c>
      <c r="X159" s="428">
        <f t="shared" si="111"/>
        <v>1.020618691964154</v>
      </c>
      <c r="Y159" s="428">
        <f t="shared" si="111"/>
        <v>1.0366541133814062</v>
      </c>
      <c r="Z159" s="428">
        <f t="shared" si="111"/>
        <v>1.0305580758469746</v>
      </c>
      <c r="AA159" s="428">
        <f t="shared" si="111"/>
        <v>1.02740220026838</v>
      </c>
      <c r="AB159" s="428">
        <f t="shared" si="111"/>
        <v>1.0325343272976657</v>
      </c>
      <c r="AC159" s="428">
        <f t="shared" si="111"/>
        <v>1.0260855132086322</v>
      </c>
      <c r="AD159" s="428">
        <f t="shared" si="111"/>
        <v>1.0229504034418091</v>
      </c>
      <c r="AE159" s="428">
        <f t="shared" si="111"/>
        <v>1.0377835071138339</v>
      </c>
      <c r="AF159" s="428">
        <f t="shared" si="111"/>
        <v>1.0311040937802394</v>
      </c>
      <c r="AG159" s="428">
        <f t="shared" si="111"/>
        <v>1.0281114949767776</v>
      </c>
      <c r="AH159" s="428">
        <f t="shared" si="111"/>
        <v>1.033168137646215</v>
      </c>
      <c r="AI159" s="428">
        <f t="shared" si="111"/>
        <v>1.0283088207943005</v>
      </c>
      <c r="AJ159" s="390"/>
      <c r="AK159" s="390"/>
      <c r="AL159" s="390"/>
      <c r="AM159" s="390"/>
      <c r="AN159" s="390"/>
      <c r="AO159" s="390"/>
      <c r="AP159" s="390"/>
      <c r="AQ159" s="390"/>
      <c r="AR159" s="390"/>
      <c r="AS159" s="390"/>
      <c r="AT159" s="390"/>
      <c r="AU159" s="390"/>
      <c r="AV159" s="390"/>
      <c r="AW159" s="390"/>
      <c r="AX159" s="390"/>
      <c r="AY159" s="390"/>
      <c r="AZ159" s="390"/>
      <c r="BA159" s="390"/>
      <c r="BB159" s="390"/>
    </row>
    <row r="160" spans="1:54" x14ac:dyDescent="0.25">
      <c r="A160" t="s">
        <v>728</v>
      </c>
      <c r="E160">
        <v>0</v>
      </c>
      <c r="F160" s="132">
        <v>0</v>
      </c>
      <c r="G160" s="428">
        <f t="shared" ref="G160:AI160" si="112">G66/F66</f>
        <v>1.0312126218850211</v>
      </c>
      <c r="H160" s="428">
        <f t="shared" si="112"/>
        <v>1.0445069128053757</v>
      </c>
      <c r="I160" s="428">
        <f t="shared" si="112"/>
        <v>1.0481666063960935</v>
      </c>
      <c r="J160" s="428">
        <f t="shared" si="112"/>
        <v>1.0443711065921018</v>
      </c>
      <c r="K160" s="428">
        <f t="shared" si="112"/>
        <v>1.0378136443600101</v>
      </c>
      <c r="L160" s="428">
        <f t="shared" si="112"/>
        <v>1.0515555400503842</v>
      </c>
      <c r="M160" s="428">
        <f t="shared" si="112"/>
        <v>1.038384716763052</v>
      </c>
      <c r="N160" s="428">
        <f t="shared" si="112"/>
        <v>1.0694789845421244</v>
      </c>
      <c r="O160" s="428">
        <f t="shared" si="112"/>
        <v>1.0363038733758847</v>
      </c>
      <c r="P160" s="428">
        <f t="shared" si="112"/>
        <v>1.0431282892720957</v>
      </c>
      <c r="Q160" s="428">
        <f t="shared" si="112"/>
        <v>1.0331995950896811</v>
      </c>
      <c r="R160" s="428">
        <f t="shared" si="112"/>
        <v>1.0296372699917891</v>
      </c>
      <c r="S160" s="428">
        <f t="shared" si="112"/>
        <v>1.0291573770107381</v>
      </c>
      <c r="T160" s="428">
        <f t="shared" si="112"/>
        <v>1.0307820992919579</v>
      </c>
      <c r="U160" s="428">
        <f t="shared" si="112"/>
        <v>1.0289308324945352</v>
      </c>
      <c r="V160" s="428">
        <f t="shared" si="112"/>
        <v>1.0310272638652556</v>
      </c>
      <c r="W160" s="428">
        <f t="shared" si="112"/>
        <v>1.0269480170529861</v>
      </c>
      <c r="X160" s="428">
        <f t="shared" si="112"/>
        <v>1.0328027090763787</v>
      </c>
      <c r="Y160" s="428">
        <f t="shared" si="112"/>
        <v>1.0316944070721128</v>
      </c>
      <c r="Z160" s="428">
        <f t="shared" si="112"/>
        <v>1.0272208602841224</v>
      </c>
      <c r="AA160" s="428">
        <f t="shared" si="112"/>
        <v>1.0320026007757532</v>
      </c>
      <c r="AB160" s="428">
        <f t="shared" si="112"/>
        <v>1.028925114186078</v>
      </c>
      <c r="AC160" s="428">
        <f t="shared" si="112"/>
        <v>1.0230069701925799</v>
      </c>
      <c r="AD160" s="428">
        <f t="shared" si="112"/>
        <v>1.03702830122098</v>
      </c>
      <c r="AE160" s="428">
        <f t="shared" si="112"/>
        <v>1.0361870824870922</v>
      </c>
      <c r="AF160" s="428">
        <f t="shared" si="112"/>
        <v>1.0315430204713649</v>
      </c>
      <c r="AG160" s="428">
        <f t="shared" si="112"/>
        <v>1.032597869713886</v>
      </c>
      <c r="AH160" s="428">
        <f t="shared" si="112"/>
        <v>1.0335201084124996</v>
      </c>
      <c r="AI160" s="428">
        <f t="shared" si="112"/>
        <v>1.3333660285355107</v>
      </c>
    </row>
    <row r="161" spans="1:35" x14ac:dyDescent="0.25">
      <c r="A161" t="s">
        <v>763</v>
      </c>
      <c r="F161" s="430">
        <f>IF(Inputs!$E5=$A$161,IF(Inputs!$E$32=Inputs!$F$32,F67,Inputs!$E$32),F67)</f>
        <v>1.3360444923180668</v>
      </c>
      <c r="G161" s="138">
        <f>F161*G160</f>
        <v>1.3777459438783555</v>
      </c>
      <c r="H161" s="138">
        <f t="shared" ref="H161:AI161" si="113">G161*H160</f>
        <v>1.4390651624705095</v>
      </c>
      <c r="I161" s="138">
        <f t="shared" si="113"/>
        <v>1.5083800477295568</v>
      </c>
      <c r="J161" s="138">
        <f t="shared" si="113"/>
        <v>1.5753085396087645</v>
      </c>
      <c r="K161" s="138">
        <f t="shared" si="113"/>
        <v>1.6348766964828172</v>
      </c>
      <c r="L161" s="138">
        <f t="shared" si="113"/>
        <v>1.719163647485777</v>
      </c>
      <c r="M161" s="138">
        <f t="shared" si="113"/>
        <v>1.785153257163854</v>
      </c>
      <c r="N161" s="138">
        <f t="shared" si="113"/>
        <v>1.9091838927236644</v>
      </c>
      <c r="O161" s="138">
        <f t="shared" si="113"/>
        <v>1.9784946630163829</v>
      </c>
      <c r="P161" s="138">
        <f t="shared" si="113"/>
        <v>2.0638237531662509</v>
      </c>
      <c r="Q161" s="138">
        <f t="shared" si="113"/>
        <v>2.1323418661078364</v>
      </c>
      <c r="R161" s="138">
        <f t="shared" si="113"/>
        <v>2.1955386577084695</v>
      </c>
      <c r="S161" s="138">
        <f t="shared" si="113"/>
        <v>2.2595548060929249</v>
      </c>
      <c r="T161" s="138">
        <f t="shared" si="113"/>
        <v>2.329108646489698</v>
      </c>
      <c r="U161" s="138">
        <f t="shared" si="113"/>
        <v>2.396491698602865</v>
      </c>
      <c r="V161" s="138">
        <f t="shared" si="113"/>
        <v>2.4708482788863106</v>
      </c>
      <c r="W161" s="138">
        <f t="shared" si="113"/>
        <v>2.5374327404410804</v>
      </c>
      <c r="X161" s="138">
        <f t="shared" si="113"/>
        <v>2.6206674084266477</v>
      </c>
      <c r="Y161" s="138">
        <f t="shared" si="113"/>
        <v>2.7037279080699408</v>
      </c>
      <c r="Z161" s="138">
        <f t="shared" si="113"/>
        <v>2.7773257077017952</v>
      </c>
      <c r="AA161" s="138">
        <f t="shared" si="113"/>
        <v>2.866207353549612</v>
      </c>
      <c r="AB161" s="138">
        <f t="shared" si="113"/>
        <v>2.9491127285320111</v>
      </c>
      <c r="AC161" s="138">
        <f t="shared" si="113"/>
        <v>3.0169628771719053</v>
      </c>
      <c r="AD161" s="138">
        <f t="shared" si="113"/>
        <v>3.1286758873603411</v>
      </c>
      <c r="AE161" s="138">
        <f t="shared" si="113"/>
        <v>3.2418935397716262</v>
      </c>
      <c r="AF161" s="138">
        <f t="shared" si="113"/>
        <v>3.3441526540626283</v>
      </c>
      <c r="AG161" s="138">
        <f t="shared" si="113"/>
        <v>3.4531649065831078</v>
      </c>
      <c r="AH161" s="138">
        <f t="shared" si="113"/>
        <v>3.5689153686180126</v>
      </c>
      <c r="AI161" s="138">
        <f t="shared" si="113"/>
        <v>4.7586705112335475</v>
      </c>
    </row>
    <row r="162" spans="1:35" x14ac:dyDescent="0.25">
      <c r="A162" t="s">
        <v>154</v>
      </c>
      <c r="E162">
        <v>0</v>
      </c>
      <c r="F162" s="139">
        <v>0</v>
      </c>
      <c r="G162" s="428">
        <f t="shared" ref="G162:AI162" si="114">G94/F94</f>
        <v>0.99014456404258</v>
      </c>
      <c r="H162" s="428">
        <f t="shared" si="114"/>
        <v>0.99438827707770427</v>
      </c>
      <c r="I162" s="428">
        <f t="shared" si="114"/>
        <v>1.0017945994360717</v>
      </c>
      <c r="J162" s="428">
        <f t="shared" si="114"/>
        <v>1.0199880291240884</v>
      </c>
      <c r="K162" s="428">
        <f t="shared" si="114"/>
        <v>1.0295471534510736</v>
      </c>
      <c r="L162" s="428">
        <f t="shared" si="114"/>
        <v>1.0273219895361387</v>
      </c>
      <c r="M162" s="428">
        <f t="shared" si="114"/>
        <v>1.027809817092993</v>
      </c>
      <c r="N162" s="428">
        <f t="shared" si="114"/>
        <v>1.0290508965447054</v>
      </c>
      <c r="O162" s="428">
        <f t="shared" si="114"/>
        <v>1.0229420527692026</v>
      </c>
      <c r="P162" s="428">
        <f t="shared" si="114"/>
        <v>1.0281724985386276</v>
      </c>
      <c r="Q162" s="428">
        <f t="shared" si="114"/>
        <v>1.0229408501880191</v>
      </c>
      <c r="R162" s="428">
        <f t="shared" si="114"/>
        <v>1.028622410210474</v>
      </c>
      <c r="S162" s="428">
        <f t="shared" si="114"/>
        <v>1.0235483670764587</v>
      </c>
      <c r="T162" s="428">
        <f t="shared" si="114"/>
        <v>1.0188680727488197</v>
      </c>
      <c r="U162" s="428">
        <f t="shared" si="114"/>
        <v>1.018303182545425</v>
      </c>
      <c r="V162" s="428">
        <f t="shared" si="114"/>
        <v>1.0182232400080831</v>
      </c>
      <c r="W162" s="428">
        <f t="shared" si="114"/>
        <v>1.016750691845105</v>
      </c>
      <c r="X162" s="428">
        <f t="shared" si="114"/>
        <v>1.0157685930356393</v>
      </c>
      <c r="Y162" s="428">
        <f t="shared" si="114"/>
        <v>1.0174813822323159</v>
      </c>
      <c r="Z162" s="428">
        <f t="shared" si="114"/>
        <v>1.0172489669682709</v>
      </c>
      <c r="AA162" s="428">
        <f t="shared" si="114"/>
        <v>1.0175925825987233</v>
      </c>
      <c r="AB162" s="428">
        <f t="shared" si="114"/>
        <v>1.0136145913788026</v>
      </c>
      <c r="AC162" s="428">
        <f t="shared" si="114"/>
        <v>1.0181883540492978</v>
      </c>
      <c r="AD162" s="428">
        <f t="shared" si="114"/>
        <v>1.0194732773929678</v>
      </c>
      <c r="AE162" s="428">
        <f t="shared" si="114"/>
        <v>1.0194829204213041</v>
      </c>
      <c r="AF162" s="428">
        <f t="shared" si="114"/>
        <v>1.0214274069507356</v>
      </c>
      <c r="AG162" s="428">
        <f t="shared" si="114"/>
        <v>1.023174317621663</v>
      </c>
      <c r="AH162" s="428">
        <f t="shared" si="114"/>
        <v>1.0231234359821635</v>
      </c>
      <c r="AI162" s="428">
        <f t="shared" si="114"/>
        <v>1.0208889478614744</v>
      </c>
    </row>
    <row r="163" spans="1:35" x14ac:dyDescent="0.25">
      <c r="A163" t="s">
        <v>112</v>
      </c>
      <c r="E163">
        <v>0</v>
      </c>
      <c r="F163" s="132">
        <v>0</v>
      </c>
      <c r="G163" s="428">
        <f t="shared" ref="G163:AI163" si="115">G104/F104</f>
        <v>1.099592638086611</v>
      </c>
      <c r="H163" s="428">
        <f t="shared" si="115"/>
        <v>0.96757859531355528</v>
      </c>
      <c r="I163" s="428">
        <f t="shared" si="115"/>
        <v>0.96952092995381545</v>
      </c>
      <c r="J163" s="428">
        <f t="shared" si="115"/>
        <v>1.0052956389442218</v>
      </c>
      <c r="K163" s="428">
        <f t="shared" si="115"/>
        <v>1.0235745279104289</v>
      </c>
      <c r="L163" s="428">
        <f t="shared" si="115"/>
        <v>1.0169385986296113</v>
      </c>
      <c r="M163" s="428">
        <f t="shared" si="115"/>
        <v>1.0197761895566984</v>
      </c>
      <c r="N163" s="428">
        <f t="shared" si="115"/>
        <v>1.0201784736621484</v>
      </c>
      <c r="O163" s="428">
        <f t="shared" si="115"/>
        <v>1.1191751924232718</v>
      </c>
      <c r="P163" s="428">
        <f t="shared" si="115"/>
        <v>1.0058490098121398</v>
      </c>
      <c r="Q163" s="428">
        <f t="shared" si="115"/>
        <v>1.0302556911244618</v>
      </c>
      <c r="R163" s="428">
        <f t="shared" si="115"/>
        <v>1.0217623206179143</v>
      </c>
      <c r="S163" s="428">
        <f t="shared" si="115"/>
        <v>1.0180938741051904</v>
      </c>
      <c r="T163" s="428">
        <f t="shared" si="115"/>
        <v>1.0179478047111246</v>
      </c>
      <c r="U163" s="428">
        <f t="shared" si="115"/>
        <v>1.0181113932513237</v>
      </c>
      <c r="V163" s="428">
        <f t="shared" si="115"/>
        <v>1.0177063918697669</v>
      </c>
      <c r="W163" s="428">
        <f t="shared" si="115"/>
        <v>1.0264851697731003</v>
      </c>
      <c r="X163" s="428">
        <f t="shared" si="115"/>
        <v>1.0201210232286821</v>
      </c>
      <c r="Y163" s="428">
        <f t="shared" si="115"/>
        <v>1.0274292712381023</v>
      </c>
      <c r="Z163" s="428">
        <f t="shared" si="115"/>
        <v>1.023539747629145</v>
      </c>
      <c r="AA163" s="428">
        <f t="shared" si="115"/>
        <v>1.0257246791996408</v>
      </c>
      <c r="AB163" s="428">
        <f t="shared" si="115"/>
        <v>1.0267580770416558</v>
      </c>
      <c r="AC163" s="428">
        <f t="shared" si="115"/>
        <v>1.0299415055646044</v>
      </c>
      <c r="AD163" s="428">
        <f t="shared" si="115"/>
        <v>1.0331891265092932</v>
      </c>
      <c r="AE163" s="428">
        <f t="shared" si="115"/>
        <v>1.0363398515344004</v>
      </c>
      <c r="AF163" s="428">
        <f t="shared" si="115"/>
        <v>1.0395758890135625</v>
      </c>
      <c r="AG163" s="428">
        <f t="shared" si="115"/>
        <v>1.0416268902934245</v>
      </c>
      <c r="AH163" s="428">
        <f t="shared" si="115"/>
        <v>1.0454476165769795</v>
      </c>
      <c r="AI163" s="428">
        <f t="shared" si="115"/>
        <v>1.0444159661002839</v>
      </c>
    </row>
    <row r="164" spans="1:35" x14ac:dyDescent="0.25">
      <c r="A164" t="s">
        <v>761</v>
      </c>
      <c r="F164" s="138">
        <f>IF(Inputs!$E$5='Bus 2 Calc'!$H$68,IF(Inputs!$E$32=Inputs!$F$32,F104,Inputs!$E$32),F104)</f>
        <v>0.72927780000000009</v>
      </c>
      <c r="G164" s="138">
        <f>F164*G163</f>
        <v>0.80190850000000002</v>
      </c>
      <c r="H164" s="138">
        <f t="shared" ref="H164:AI164" si="116">G164*H163</f>
        <v>0.77590950000000014</v>
      </c>
      <c r="I164" s="138">
        <f t="shared" si="116"/>
        <v>0.75226050000000011</v>
      </c>
      <c r="J164" s="138">
        <f t="shared" si="116"/>
        <v>0.75624419999999992</v>
      </c>
      <c r="K164" s="138">
        <f t="shared" si="116"/>
        <v>0.77407229999999994</v>
      </c>
      <c r="L164" s="138">
        <f t="shared" si="116"/>
        <v>0.78718399999999999</v>
      </c>
      <c r="M164" s="138">
        <f t="shared" si="116"/>
        <v>0.80275150000000006</v>
      </c>
      <c r="N164" s="138">
        <f t="shared" si="116"/>
        <v>0.81894980000000017</v>
      </c>
      <c r="O164" s="138">
        <f t="shared" si="116"/>
        <v>0.91654830000000009</v>
      </c>
      <c r="P164" s="138">
        <f t="shared" si="116"/>
        <v>0.9219092000000001</v>
      </c>
      <c r="Q164" s="138">
        <f t="shared" si="116"/>
        <v>0.94980219999999982</v>
      </c>
      <c r="R164" s="138">
        <f t="shared" si="116"/>
        <v>0.97047210000000017</v>
      </c>
      <c r="S164" s="138">
        <f t="shared" si="116"/>
        <v>0.98803169999999985</v>
      </c>
      <c r="T164" s="138">
        <f t="shared" si="116"/>
        <v>1.0057647000000003</v>
      </c>
      <c r="U164" s="138">
        <f t="shared" si="116"/>
        <v>1.0239805</v>
      </c>
      <c r="V164" s="138">
        <f t="shared" si="116"/>
        <v>1.0421114999999999</v>
      </c>
      <c r="W164" s="138">
        <f t="shared" si="116"/>
        <v>1.069712</v>
      </c>
      <c r="X164" s="138">
        <f t="shared" si="116"/>
        <v>1.0912356999999999</v>
      </c>
      <c r="Y164" s="138">
        <f t="shared" si="116"/>
        <v>1.1211675000000003</v>
      </c>
      <c r="Z164" s="138">
        <f t="shared" si="116"/>
        <v>1.1475594999999998</v>
      </c>
      <c r="AA164" s="138">
        <f t="shared" si="116"/>
        <v>1.1770801</v>
      </c>
      <c r="AB164" s="138">
        <f t="shared" si="116"/>
        <v>1.2085764999999999</v>
      </c>
      <c r="AC164" s="138">
        <f t="shared" si="116"/>
        <v>1.2447631000000001</v>
      </c>
      <c r="AD164" s="138">
        <f t="shared" si="116"/>
        <v>1.2860757</v>
      </c>
      <c r="AE164" s="138">
        <f t="shared" si="116"/>
        <v>1.3328115000000003</v>
      </c>
      <c r="AF164" s="138">
        <f t="shared" si="116"/>
        <v>1.3855587</v>
      </c>
      <c r="AG164" s="138">
        <f t="shared" si="116"/>
        <v>1.4432351999999999</v>
      </c>
      <c r="AH164" s="138">
        <f t="shared" si="116"/>
        <v>1.5088268000000002</v>
      </c>
      <c r="AI164" s="138">
        <f t="shared" si="116"/>
        <v>1.5758428</v>
      </c>
    </row>
    <row r="165" spans="1:35" x14ac:dyDescent="0.25">
      <c r="A165" t="s">
        <v>762</v>
      </c>
      <c r="F165" s="138">
        <f>IF(Inputs!$E$5='Bus 2 Calc'!$H$68,IF(Inputs!$E$32=Inputs!$F$32,F115,Inputs!$E$32),F115)</f>
        <v>0.27927780000000002</v>
      </c>
      <c r="G165" s="138">
        <f>F165*G163</f>
        <v>0.30709181286102494</v>
      </c>
      <c r="H165" s="138">
        <f t="shared" ref="H165:AI165" si="117">G165*H163</f>
        <v>0.29713546492036369</v>
      </c>
      <c r="I165" s="138">
        <f t="shared" si="117"/>
        <v>0.28807905227185032</v>
      </c>
      <c r="J165" s="138">
        <f t="shared" si="117"/>
        <v>0.28960461492007566</v>
      </c>
      <c r="K165" s="138">
        <f t="shared" si="117"/>
        <v>0.296431906997498</v>
      </c>
      <c r="L165" s="138">
        <f t="shared" si="117"/>
        <v>0.30145304809113888</v>
      </c>
      <c r="M165" s="138">
        <f t="shared" si="117"/>
        <v>0.30741464071263375</v>
      </c>
      <c r="N165" s="138">
        <f t="shared" si="117"/>
        <v>0.31361779894361247</v>
      </c>
      <c r="O165" s="138">
        <f t="shared" si="117"/>
        <v>0.35099326048008045</v>
      </c>
      <c r="P165" s="138">
        <f t="shared" si="117"/>
        <v>0.35304622350462339</v>
      </c>
      <c r="Q165" s="138">
        <f t="shared" si="117"/>
        <v>0.36372788099563697</v>
      </c>
      <c r="R165" s="138">
        <f t="shared" si="117"/>
        <v>0.37164344375953856</v>
      </c>
      <c r="S165" s="138">
        <f t="shared" si="117"/>
        <v>0.37836791344294307</v>
      </c>
      <c r="T165" s="138">
        <f t="shared" si="117"/>
        <v>0.3851587868623727</v>
      </c>
      <c r="U165" s="138">
        <f t="shared" si="117"/>
        <v>0.39213454911543993</v>
      </c>
      <c r="V165" s="138">
        <f t="shared" si="117"/>
        <v>0.39907783710775224</v>
      </c>
      <c r="W165" s="138">
        <f t="shared" si="117"/>
        <v>0.40964748137623275</v>
      </c>
      <c r="X165" s="138">
        <f t="shared" si="117"/>
        <v>0.41789000786457509</v>
      </c>
      <c r="Y165" s="138">
        <f t="shared" si="117"/>
        <v>0.42935242623798525</v>
      </c>
      <c r="Z165" s="138">
        <f t="shared" si="117"/>
        <v>0.43945927399558854</v>
      </c>
      <c r="AA165" s="138">
        <f t="shared" si="117"/>
        <v>0.4507642228404321</v>
      </c>
      <c r="AB165" s="138">
        <f t="shared" si="117"/>
        <v>0.46282580664281847</v>
      </c>
      <c r="AC165" s="138">
        <f t="shared" si="117"/>
        <v>0.47668350810785692</v>
      </c>
      <c r="AD165" s="138">
        <f t="shared" si="117"/>
        <v>0.49250421736334227</v>
      </c>
      <c r="AE165" s="138">
        <f t="shared" si="117"/>
        <v>0.5104017475023922</v>
      </c>
      <c r="AF165" s="138">
        <f t="shared" si="117"/>
        <v>0.53060135041387524</v>
      </c>
      <c r="AG165" s="138">
        <f t="shared" si="117"/>
        <v>0.5526886346170965</v>
      </c>
      <c r="AH165" s="138">
        <f t="shared" si="117"/>
        <v>0.57780701576962856</v>
      </c>
      <c r="AI165" s="138">
        <f t="shared" si="117"/>
        <v>0.60347087259455856</v>
      </c>
    </row>
    <row r="166" spans="1:35" x14ac:dyDescent="0.25">
      <c r="A166" t="s">
        <v>124</v>
      </c>
      <c r="E166">
        <v>0</v>
      </c>
      <c r="F166" s="139">
        <v>1</v>
      </c>
      <c r="G166" s="428">
        <f t="shared" ref="G166:AG166" si="118">G126/F126</f>
        <v>1.0398323024858303</v>
      </c>
      <c r="H166" s="428">
        <f t="shared" si="118"/>
        <v>1.0194970749342553</v>
      </c>
      <c r="I166" s="428">
        <f t="shared" si="118"/>
        <v>1.038544082704461</v>
      </c>
      <c r="J166" s="428">
        <f t="shared" si="118"/>
        <v>1.0327273681063298</v>
      </c>
      <c r="K166" s="428">
        <f t="shared" si="118"/>
        <v>1.0371611987956419</v>
      </c>
      <c r="L166" s="428">
        <f t="shared" si="118"/>
        <v>1.0522255582479911</v>
      </c>
      <c r="M166" s="428">
        <f t="shared" si="118"/>
        <v>1.0435354107639769</v>
      </c>
      <c r="N166" s="428">
        <f t="shared" si="118"/>
        <v>1.0754179853154933</v>
      </c>
      <c r="O166" s="428">
        <f t="shared" si="118"/>
        <v>1.0295752948660515</v>
      </c>
      <c r="P166" s="428">
        <f t="shared" si="118"/>
        <v>1.0452673219640647</v>
      </c>
      <c r="Q166" s="428">
        <f t="shared" si="118"/>
        <v>1.0311361055223165</v>
      </c>
      <c r="R166" s="428">
        <f t="shared" si="118"/>
        <v>1.0361759654026965</v>
      </c>
      <c r="S166" s="428">
        <f t="shared" si="118"/>
        <v>1.0298778064316207</v>
      </c>
      <c r="T166" s="428">
        <f t="shared" si="118"/>
        <v>1.0346518989693989</v>
      </c>
      <c r="U166" s="428">
        <f t="shared" si="118"/>
        <v>1.0318165819924132</v>
      </c>
      <c r="V166" s="428">
        <f t="shared" si="118"/>
        <v>1.0344422366385171</v>
      </c>
      <c r="W166" s="428">
        <f t="shared" si="118"/>
        <v>1.0223356752196604</v>
      </c>
      <c r="X166" s="428">
        <f t="shared" si="118"/>
        <v>1.0387460461122229</v>
      </c>
      <c r="Y166" s="428">
        <f t="shared" si="118"/>
        <v>1.0310409586278244</v>
      </c>
      <c r="Z166" s="428">
        <f t="shared" si="118"/>
        <v>1.0283690342879501</v>
      </c>
      <c r="AA166" s="428">
        <f t="shared" si="118"/>
        <v>1.0292350338460594</v>
      </c>
      <c r="AB166" s="428">
        <f t="shared" si="118"/>
        <v>1.027549143366207</v>
      </c>
      <c r="AC166" s="428">
        <f t="shared" si="118"/>
        <v>1.0183072510927993</v>
      </c>
      <c r="AD166" s="428">
        <f t="shared" si="118"/>
        <v>1.0398927736297623</v>
      </c>
      <c r="AE166" s="428">
        <f t="shared" si="118"/>
        <v>1.0312383319241969</v>
      </c>
      <c r="AF166" s="428">
        <f t="shared" si="118"/>
        <v>1.0315215950139953</v>
      </c>
      <c r="AG166" s="428">
        <f t="shared" si="118"/>
        <v>1.0265987759544477</v>
      </c>
      <c r="AH166" s="428">
        <f>AH126/AG126</f>
        <v>1.0302543528301031</v>
      </c>
      <c r="AI166" s="428">
        <f>AI126/AH126</f>
        <v>1</v>
      </c>
    </row>
  </sheetData>
  <mergeCells count="8">
    <mergeCell ref="B88:C88"/>
    <mergeCell ref="B115:C115"/>
    <mergeCell ref="A14:B15"/>
    <mergeCell ref="B26:C26"/>
    <mergeCell ref="B39:C39"/>
    <mergeCell ref="B52:C52"/>
    <mergeCell ref="B65:C65"/>
    <mergeCell ref="C13:C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1465-7856-45B8-AEEE-7616983C5972}">
  <sheetPr codeName="Sheet9"/>
  <dimension ref="A1:AU178"/>
  <sheetViews>
    <sheetView topLeftCell="H50" workbookViewId="0">
      <selection activeCell="L32" sqref="L32"/>
    </sheetView>
  </sheetViews>
  <sheetFormatPr defaultRowHeight="15" x14ac:dyDescent="0.25"/>
  <cols>
    <col min="1" max="1" width="35.5703125" customWidth="1"/>
    <col min="2" max="2" width="18.42578125" customWidth="1"/>
    <col min="3" max="3" width="14" customWidth="1"/>
    <col min="4" max="4" width="13.42578125" customWidth="1"/>
    <col min="6" max="6" width="18.28515625" customWidth="1"/>
    <col min="7" max="7" width="21.7109375" bestFit="1" customWidth="1"/>
    <col min="9" max="9" width="11.7109375" customWidth="1"/>
    <col min="10" max="10" width="11.140625" customWidth="1"/>
    <col min="12" max="12" width="12.28515625" customWidth="1"/>
    <col min="27" max="27" width="12.85546875" customWidth="1"/>
    <col min="28" max="28" width="15.42578125" customWidth="1"/>
  </cols>
  <sheetData>
    <row r="1" spans="1:47" x14ac:dyDescent="0.25">
      <c r="A1" s="5"/>
      <c r="B1" s="5"/>
      <c r="X1" s="143"/>
      <c r="Y1" s="143"/>
      <c r="Z1" s="143"/>
      <c r="AA1" s="143"/>
      <c r="AB1" s="143"/>
      <c r="AC1" s="143"/>
      <c r="AD1" s="144"/>
      <c r="AF1" s="145" t="s">
        <v>282</v>
      </c>
    </row>
    <row r="2" spans="1:47" x14ac:dyDescent="0.25">
      <c r="A2" s="5"/>
      <c r="B2" s="5"/>
      <c r="X2" s="143"/>
      <c r="Y2" s="143"/>
      <c r="Z2" s="143"/>
      <c r="AA2" s="143"/>
      <c r="AB2" s="143"/>
      <c r="AC2" s="143"/>
      <c r="AD2" s="146"/>
      <c r="AE2" s="145"/>
      <c r="AF2" s="145">
        <v>10.38</v>
      </c>
      <c r="AG2" s="145">
        <v>1.22</v>
      </c>
    </row>
    <row r="3" spans="1:47" x14ac:dyDescent="0.25">
      <c r="A3" s="5"/>
      <c r="B3" s="5"/>
      <c r="E3">
        <f>(E7*2204.62)/1000</f>
        <v>0.99487302530241217</v>
      </c>
      <c r="X3" s="143"/>
      <c r="Y3" s="143"/>
      <c r="Z3" s="143"/>
      <c r="AA3" s="143"/>
      <c r="AB3" s="143"/>
      <c r="AC3" s="143"/>
      <c r="AD3" s="147"/>
      <c r="AF3" s="3" t="s">
        <v>283</v>
      </c>
      <c r="AG3">
        <v>2.2000000000000001E-3</v>
      </c>
      <c r="AH3" t="s">
        <v>12</v>
      </c>
      <c r="AM3" t="s">
        <v>284</v>
      </c>
      <c r="AN3" t="s">
        <v>285</v>
      </c>
      <c r="AO3" t="s">
        <v>286</v>
      </c>
    </row>
    <row r="4" spans="1:47" ht="15.75" thickBot="1" x14ac:dyDescent="0.3">
      <c r="A4" s="5"/>
      <c r="B4" s="5"/>
      <c r="X4" s="143"/>
      <c r="Y4" s="143"/>
      <c r="Z4" s="143"/>
      <c r="AA4" s="143"/>
      <c r="AB4" s="143"/>
      <c r="AC4" s="143"/>
      <c r="AD4" s="148"/>
      <c r="AF4" s="3" t="s">
        <v>287</v>
      </c>
      <c r="AG4" s="137">
        <v>3.6</v>
      </c>
      <c r="AH4" t="s">
        <v>288</v>
      </c>
      <c r="AL4" t="s">
        <v>289</v>
      </c>
      <c r="AM4" s="137">
        <f>AVERAGE(Z58,W58,T58,Q58,AC58)</f>
        <v>97.538186434891983</v>
      </c>
      <c r="AN4">
        <v>10.38</v>
      </c>
      <c r="AO4" s="137">
        <f>SUM(AM4:AN4)</f>
        <v>107.91818643489198</v>
      </c>
    </row>
    <row r="5" spans="1:47" s="150" customFormat="1" ht="29.25" customHeight="1" thickBot="1" x14ac:dyDescent="0.3">
      <c r="A5" s="149" t="s">
        <v>290</v>
      </c>
      <c r="B5" s="149"/>
      <c r="C5" s="870">
        <v>2010</v>
      </c>
      <c r="D5" s="871"/>
      <c r="E5" s="872"/>
      <c r="F5" s="873">
        <v>2011</v>
      </c>
      <c r="G5" s="874"/>
      <c r="H5" s="875"/>
      <c r="I5" s="870">
        <v>2012</v>
      </c>
      <c r="J5" s="871"/>
      <c r="K5" s="872"/>
      <c r="L5" s="873">
        <v>2013</v>
      </c>
      <c r="M5" s="874"/>
      <c r="N5" s="875"/>
      <c r="O5" s="870">
        <v>2014</v>
      </c>
      <c r="P5" s="871"/>
      <c r="Q5" s="872"/>
      <c r="R5" s="873">
        <v>2015</v>
      </c>
      <c r="S5" s="874"/>
      <c r="T5" s="875"/>
      <c r="U5" s="870">
        <v>2016</v>
      </c>
      <c r="V5" s="871"/>
      <c r="W5" s="872"/>
      <c r="X5" s="879">
        <v>2017</v>
      </c>
      <c r="Y5" s="880"/>
      <c r="Z5" s="881"/>
      <c r="AA5" s="882">
        <v>2018</v>
      </c>
      <c r="AB5" s="883"/>
      <c r="AC5" s="884"/>
      <c r="AD5" s="148"/>
      <c r="AE5"/>
      <c r="AF5" s="3" t="s">
        <v>291</v>
      </c>
      <c r="AG5" s="40">
        <v>3600</v>
      </c>
      <c r="AH5" t="s">
        <v>288</v>
      </c>
      <c r="AI5"/>
    </row>
    <row r="6" spans="1:47" s="150" customFormat="1" ht="15.75" x14ac:dyDescent="0.25">
      <c r="A6" s="149" t="s">
        <v>292</v>
      </c>
      <c r="B6" s="151" t="s">
        <v>293</v>
      </c>
      <c r="C6" s="152" t="s">
        <v>294</v>
      </c>
      <c r="D6" s="153" t="s">
        <v>295</v>
      </c>
      <c r="E6" s="154" t="s">
        <v>296</v>
      </c>
      <c r="F6" s="155" t="s">
        <v>294</v>
      </c>
      <c r="G6" s="156" t="s">
        <v>295</v>
      </c>
      <c r="H6" s="157" t="s">
        <v>296</v>
      </c>
      <c r="I6" s="152" t="s">
        <v>294</v>
      </c>
      <c r="J6" s="153" t="s">
        <v>295</v>
      </c>
      <c r="K6" s="154" t="s">
        <v>296</v>
      </c>
      <c r="L6" s="155" t="s">
        <v>294</v>
      </c>
      <c r="M6" s="156" t="s">
        <v>295</v>
      </c>
      <c r="N6" s="157" t="s">
        <v>296</v>
      </c>
      <c r="O6" s="152" t="s">
        <v>294</v>
      </c>
      <c r="P6" s="153" t="s">
        <v>295</v>
      </c>
      <c r="Q6" s="154" t="s">
        <v>296</v>
      </c>
      <c r="R6" s="155" t="s">
        <v>294</v>
      </c>
      <c r="S6" s="156" t="s">
        <v>295</v>
      </c>
      <c r="T6" s="157" t="s">
        <v>296</v>
      </c>
      <c r="U6" s="152" t="s">
        <v>294</v>
      </c>
      <c r="V6" s="153" t="s">
        <v>295</v>
      </c>
      <c r="W6" s="154" t="s">
        <v>296</v>
      </c>
      <c r="X6" s="158" t="s">
        <v>294</v>
      </c>
      <c r="Y6" s="159" t="s">
        <v>295</v>
      </c>
      <c r="Z6" s="160" t="s">
        <v>296</v>
      </c>
      <c r="AA6" s="161" t="s">
        <v>294</v>
      </c>
      <c r="AB6" s="161" t="s">
        <v>295</v>
      </c>
      <c r="AC6" s="161" t="s">
        <v>296</v>
      </c>
      <c r="AD6" s="148"/>
      <c r="AE6" s="162" t="s">
        <v>284</v>
      </c>
      <c r="AF6" s="162" t="s">
        <v>297</v>
      </c>
      <c r="AG6" s="137" t="s">
        <v>298</v>
      </c>
      <c r="AI6" t="s">
        <v>299</v>
      </c>
      <c r="AJ6" t="s">
        <v>59</v>
      </c>
      <c r="AL6" s="150">
        <v>2013</v>
      </c>
      <c r="AM6" s="150">
        <v>2014</v>
      </c>
      <c r="AN6" s="150">
        <v>2015</v>
      </c>
      <c r="AO6" s="150">
        <v>2016</v>
      </c>
      <c r="AP6" s="150">
        <v>2017</v>
      </c>
      <c r="AQ6" s="150">
        <v>2018</v>
      </c>
      <c r="AS6" s="150" t="s">
        <v>300</v>
      </c>
    </row>
    <row r="7" spans="1:47" s="176" customFormat="1" ht="14.45" customHeight="1" x14ac:dyDescent="0.25">
      <c r="A7" s="163" t="s">
        <v>301</v>
      </c>
      <c r="B7" s="164" t="s">
        <v>302</v>
      </c>
      <c r="C7" s="165">
        <v>778669.2300000001</v>
      </c>
      <c r="D7" s="165">
        <v>351388</v>
      </c>
      <c r="E7" s="166">
        <f>D7/C7</f>
        <v>0.45126735006595797</v>
      </c>
      <c r="F7" s="165">
        <v>866523.2699999999</v>
      </c>
      <c r="G7" s="165">
        <v>244726.10399999999</v>
      </c>
      <c r="H7" s="167">
        <f>G7/F7</f>
        <v>0.28242300290446903</v>
      </c>
      <c r="I7" s="165">
        <v>772916.97999999986</v>
      </c>
      <c r="J7" s="165">
        <v>266285.57299999997</v>
      </c>
      <c r="K7" s="166">
        <f>J7/I7</f>
        <v>0.34452027823221071</v>
      </c>
      <c r="L7" s="165">
        <v>772644</v>
      </c>
      <c r="M7" s="165">
        <v>338760.25420000002</v>
      </c>
      <c r="N7" s="167">
        <f>M7/L7</f>
        <v>0.43844287174947327</v>
      </c>
      <c r="O7" s="165">
        <v>775493</v>
      </c>
      <c r="P7" s="165">
        <v>301225.90610000002</v>
      </c>
      <c r="Q7" s="166">
        <f>P7/O7</f>
        <v>0.3884314959645026</v>
      </c>
      <c r="R7" s="165">
        <v>754250.68999999983</v>
      </c>
      <c r="S7" s="165">
        <v>281028.99518675602</v>
      </c>
      <c r="T7" s="167">
        <f>S7/R7</f>
        <v>0.37259362028128351</v>
      </c>
      <c r="U7" s="165">
        <v>775754.19</v>
      </c>
      <c r="V7" s="165">
        <v>253053.71258526287</v>
      </c>
      <c r="W7" s="166">
        <f>V7/U7</f>
        <v>0.32620347507921665</v>
      </c>
      <c r="X7" s="168">
        <v>830376.17999999982</v>
      </c>
      <c r="Y7" s="168">
        <v>196249</v>
      </c>
      <c r="Z7" s="169">
        <f>Y7/X7</f>
        <v>0.23633746334101255</v>
      </c>
      <c r="AA7" s="170">
        <v>837162.08000000019</v>
      </c>
      <c r="AB7" s="170">
        <v>203014.86674500001</v>
      </c>
      <c r="AC7" s="171">
        <v>0.24250365800730003</v>
      </c>
      <c r="AD7" s="172">
        <f>AVERAGE(W7,T7,Q7,Z7,AC7)</f>
        <v>0.31321394253466306</v>
      </c>
      <c r="AE7" s="173">
        <f>AVERAGE(W7,T7,Q7,Z7,AC7)*(1000000/3600)</f>
        <v>87.003872926295287</v>
      </c>
      <c r="AF7" s="174">
        <f>$AG$2+((AE7-3.861269)/$AM$4)*$AF$2</f>
        <v>10.068024146225259</v>
      </c>
      <c r="AG7" s="175">
        <f>AE7+AF7</f>
        <v>97.071897072520542</v>
      </c>
      <c r="AH7" s="176">
        <f>AG7*AI7</f>
        <v>1.6800783535841228</v>
      </c>
      <c r="AI7" s="176">
        <f>AA7/$AA$54</f>
        <v>1.7307566909184526E-2</v>
      </c>
      <c r="AJ7" s="176">
        <f>(AG7*$AG$3)*$AG$4</f>
        <v>0.76880942481436276</v>
      </c>
      <c r="AK7" s="176">
        <f>AI7*AJ7</f>
        <v>1.3306220560386254E-2</v>
      </c>
      <c r="AL7" s="175">
        <f>N7*(1000000/3600)</f>
        <v>121.7896865970759</v>
      </c>
      <c r="AM7" s="175">
        <f>Q7*(1000000/3600)</f>
        <v>107.89763776791739</v>
      </c>
      <c r="AN7" s="175">
        <f>T7*(1000000/3600)</f>
        <v>103.49822785591208</v>
      </c>
      <c r="AO7" s="175">
        <f>W7*(1000000/3600)</f>
        <v>90.612076410893508</v>
      </c>
      <c r="AP7" s="175">
        <f>Z7*(1000000/3600)</f>
        <v>65.649295372503488</v>
      </c>
      <c r="AQ7" s="175">
        <f>AC7*(1000000/3600)</f>
        <v>67.362127224250003</v>
      </c>
      <c r="AS7" s="175">
        <f>AVERAGE(AM7:AQ7)</f>
        <v>87.003872926295301</v>
      </c>
      <c r="AT7" s="176">
        <f>AS7*AK7</f>
        <v>1.1576927227651035</v>
      </c>
    </row>
    <row r="8" spans="1:47" s="176" customFormat="1" ht="14.45" customHeight="1" x14ac:dyDescent="0.25">
      <c r="A8" s="163" t="s">
        <v>303</v>
      </c>
      <c r="B8" s="164" t="s">
        <v>302</v>
      </c>
      <c r="C8" s="165">
        <v>12971513</v>
      </c>
      <c r="D8" s="165">
        <v>9248689</v>
      </c>
      <c r="E8" s="166">
        <f t="shared" ref="E8:E52" si="0">D8/C8</f>
        <v>0.71300001780825417</v>
      </c>
      <c r="F8" s="165">
        <v>13274864</v>
      </c>
      <c r="G8" s="165">
        <v>8880884.0160000008</v>
      </c>
      <c r="H8" s="167">
        <f t="shared" ref="H8:H52" si="1">G8/F8</f>
        <v>0.66900000000000004</v>
      </c>
      <c r="I8" s="165">
        <v>13034356.620000001</v>
      </c>
      <c r="J8" s="165">
        <v>9137083.9906200003</v>
      </c>
      <c r="K8" s="166">
        <f t="shared" ref="K8:K52" si="2">J8/I8</f>
        <v>0.70099999999999996</v>
      </c>
      <c r="L8" s="165">
        <v>13351768.380000001</v>
      </c>
      <c r="M8" s="165">
        <v>9626625.0019800011</v>
      </c>
      <c r="N8" s="167">
        <f t="shared" ref="N8:N51" si="3">M8/L8</f>
        <v>0.72100000000000009</v>
      </c>
      <c r="O8" s="165">
        <v>13217911</v>
      </c>
      <c r="P8" s="165">
        <v>9582985</v>
      </c>
      <c r="Q8" s="166">
        <f t="shared" ref="Q8:Q51" si="4">P8/O8</f>
        <v>0.72499996406391298</v>
      </c>
      <c r="R8" s="165">
        <v>13119710.220000001</v>
      </c>
      <c r="S8" s="165">
        <v>9701719.4133436065</v>
      </c>
      <c r="T8" s="167">
        <f t="shared" ref="T8:T53" si="5">S8/R8</f>
        <v>0.73947665387868655</v>
      </c>
      <c r="U8" s="165">
        <v>12868974</v>
      </c>
      <c r="V8" s="165">
        <v>8409793.8836470395</v>
      </c>
      <c r="W8" s="166">
        <f t="shared" ref="W8:W53" si="6">V8/U8</f>
        <v>0.65349373490435525</v>
      </c>
      <c r="X8" s="168">
        <v>13200281.323330883</v>
      </c>
      <c r="Y8" s="168">
        <v>8616361</v>
      </c>
      <c r="Z8" s="169">
        <f t="shared" ref="Z8:Z53" si="7">Y8/X8</f>
        <v>0.65274070975828247</v>
      </c>
      <c r="AA8" s="170">
        <v>12867233</v>
      </c>
      <c r="AB8" s="170">
        <v>8682291.2892314382</v>
      </c>
      <c r="AC8" s="171">
        <v>0.67475977851892777</v>
      </c>
      <c r="AD8" s="172">
        <f t="shared" ref="AD8:AD53" si="8">AVERAGE(W8,T8,Q8,Z8,AC8)</f>
        <v>0.68909416822483305</v>
      </c>
      <c r="AE8" s="173">
        <f t="shared" ref="AE8:AE53" si="9">AVERAGE(W8,T8,Q8,Z8,AC8)*(1000000/3600)</f>
        <v>191.41504672912029</v>
      </c>
      <c r="AF8" s="174">
        <f t="shared" ref="AF8:AF53" si="10">$AG$2+((AE8-3.861269)/$AM$4)*$AF$2</f>
        <v>21.179446489481212</v>
      </c>
      <c r="AG8" s="175">
        <f t="shared" ref="AG8:AG53" si="11">AE8+AF8</f>
        <v>212.59449321860151</v>
      </c>
      <c r="AH8" s="176">
        <f t="shared" ref="AH8:AH53" si="12">AG8*AI8</f>
        <v>56.554041607351706</v>
      </c>
      <c r="AI8" s="176">
        <f t="shared" ref="AI8:AI53" si="13">AA8/$AA$54</f>
        <v>0.26601837494068903</v>
      </c>
      <c r="AJ8" s="176">
        <f t="shared" ref="AJ8:AJ53" si="14">(AG8*$AG$3)*$AG$4</f>
        <v>1.6837483862913241</v>
      </c>
      <c r="AK8" s="176">
        <f t="shared" ref="AK8:AK53" si="15">AI8*AJ8</f>
        <v>0.44790800953022553</v>
      </c>
      <c r="AL8" s="175">
        <f t="shared" ref="AL8:AL53" si="16">N8*(1000000/3600)</f>
        <v>200.2777777777778</v>
      </c>
      <c r="AM8" s="175">
        <f t="shared" ref="AM8:AM53" si="17">Q8*(1000000/3600)</f>
        <v>201.3888789066425</v>
      </c>
      <c r="AN8" s="175">
        <f t="shared" ref="AN8:AN53" si="18">T8*(1000000/3600)</f>
        <v>205.41018163296849</v>
      </c>
      <c r="AO8" s="175">
        <f t="shared" ref="AO8:AO53" si="19">W8*(1000000/3600)</f>
        <v>181.52603747343201</v>
      </c>
      <c r="AP8" s="175">
        <f t="shared" ref="AP8:AP53" si="20">Z8*(1000000/3600)</f>
        <v>181.31686382174513</v>
      </c>
      <c r="AQ8" s="175">
        <f>AC8*(1000000/3600)</f>
        <v>187.43327181081327</v>
      </c>
      <c r="AS8" s="175">
        <f t="shared" ref="AS8:AS53" si="21">AVERAGE(AM8:AQ8)</f>
        <v>191.41504672912029</v>
      </c>
      <c r="AT8" s="176">
        <f t="shared" ref="AT8:AT53" si="22">AS8*AK8</f>
        <v>85.736332574575371</v>
      </c>
    </row>
    <row r="9" spans="1:47" s="180" customFormat="1" ht="14.45" customHeight="1" x14ac:dyDescent="0.25">
      <c r="A9" s="177" t="s">
        <v>304</v>
      </c>
      <c r="B9" s="178" t="s">
        <v>302</v>
      </c>
      <c r="C9" s="168">
        <v>18763099</v>
      </c>
      <c r="D9" s="168">
        <v>9481692.4279999994</v>
      </c>
      <c r="E9" s="179">
        <f t="shared" si="0"/>
        <v>0.50533722750170429</v>
      </c>
      <c r="F9" s="168">
        <v>20035982</v>
      </c>
      <c r="G9" s="168">
        <v>8235219.0590000004</v>
      </c>
      <c r="H9" s="169">
        <f t="shared" si="1"/>
        <v>0.41102148419777979</v>
      </c>
      <c r="I9" s="168">
        <v>19390618</v>
      </c>
      <c r="J9" s="168">
        <v>7084166</v>
      </c>
      <c r="K9" s="179">
        <f t="shared" si="2"/>
        <v>0.3653398772540411</v>
      </c>
      <c r="L9" s="168">
        <v>19246780</v>
      </c>
      <c r="M9" s="168">
        <v>6955556</v>
      </c>
      <c r="N9" s="169">
        <f t="shared" si="3"/>
        <v>0.36138803477776543</v>
      </c>
      <c r="O9" s="168">
        <v>17885893</v>
      </c>
      <c r="P9" s="168">
        <v>6840611</v>
      </c>
      <c r="Q9" s="179">
        <f t="shared" si="4"/>
        <v>0.38245845482805918</v>
      </c>
      <c r="R9" s="168">
        <v>18218774</v>
      </c>
      <c r="S9" s="168">
        <v>7378916.2063595708</v>
      </c>
      <c r="T9" s="169">
        <f t="shared" si="5"/>
        <v>0.40501716560947354</v>
      </c>
      <c r="U9" s="168">
        <v>17280893</v>
      </c>
      <c r="V9" s="168">
        <v>6394875.3424662687</v>
      </c>
      <c r="W9" s="179">
        <f t="shared" si="6"/>
        <v>0.37005468076599218</v>
      </c>
      <c r="X9" s="168">
        <v>17524383.137000006</v>
      </c>
      <c r="Y9" s="168">
        <v>6916728</v>
      </c>
      <c r="Z9" s="169">
        <f t="shared" si="7"/>
        <v>0.39469166737152683</v>
      </c>
      <c r="AA9" s="170">
        <v>15998461.039166298</v>
      </c>
      <c r="AB9" s="170">
        <v>6105329.2516976334</v>
      </c>
      <c r="AC9" s="171">
        <v>0.38161978434994459</v>
      </c>
      <c r="AD9" s="172">
        <f t="shared" si="8"/>
        <v>0.38676835058499925</v>
      </c>
      <c r="AE9" s="173">
        <f t="shared" si="9"/>
        <v>107.43565294027756</v>
      </c>
      <c r="AF9" s="174">
        <f t="shared" si="10"/>
        <v>12.242371284478679</v>
      </c>
      <c r="AG9" s="175">
        <f t="shared" si="11"/>
        <v>119.67802422475624</v>
      </c>
      <c r="AH9" s="176">
        <f t="shared" si="12"/>
        <v>39.583946378927401</v>
      </c>
      <c r="AI9" s="176">
        <f t="shared" si="13"/>
        <v>0.33075367541653633</v>
      </c>
      <c r="AJ9" s="176">
        <f t="shared" si="14"/>
        <v>0.94784995186006948</v>
      </c>
      <c r="AK9" s="176">
        <f t="shared" si="15"/>
        <v>0.313504855321105</v>
      </c>
      <c r="AL9" s="175">
        <f t="shared" si="16"/>
        <v>100.38556521604595</v>
      </c>
      <c r="AM9" s="175">
        <f t="shared" si="17"/>
        <v>106.23845967446088</v>
      </c>
      <c r="AN9" s="175">
        <f t="shared" si="18"/>
        <v>112.50476822485376</v>
      </c>
      <c r="AO9" s="175">
        <f t="shared" si="19"/>
        <v>102.79296687944228</v>
      </c>
      <c r="AP9" s="175">
        <f t="shared" si="20"/>
        <v>109.63657426986856</v>
      </c>
      <c r="AQ9" s="175">
        <f>AC9*(1000000/3600)</f>
        <v>106.00549565276238</v>
      </c>
      <c r="AS9" s="175">
        <f t="shared" si="21"/>
        <v>107.43565294027758</v>
      </c>
      <c r="AT9" s="176">
        <f t="shared" si="22"/>
        <v>33.681598831370174</v>
      </c>
      <c r="AU9" s="176"/>
    </row>
    <row r="10" spans="1:47" ht="14.45" customHeight="1" x14ac:dyDescent="0.25">
      <c r="A10" s="181" t="s">
        <v>305</v>
      </c>
      <c r="B10" s="182" t="s">
        <v>306</v>
      </c>
      <c r="C10" s="183">
        <v>167216.02100000001</v>
      </c>
      <c r="D10" s="183">
        <v>9698.5292180000015</v>
      </c>
      <c r="E10" s="184">
        <f t="shared" si="0"/>
        <v>5.8000000000000003E-2</v>
      </c>
      <c r="F10" s="185">
        <v>174929.11799999999</v>
      </c>
      <c r="G10" s="185">
        <v>3323.6532419999999</v>
      </c>
      <c r="H10" s="186">
        <f t="shared" si="1"/>
        <v>1.9E-2</v>
      </c>
      <c r="I10" s="183">
        <v>177499.09099999999</v>
      </c>
      <c r="J10" s="183">
        <v>2593.2617195099997</v>
      </c>
      <c r="K10" s="184">
        <f t="shared" si="2"/>
        <v>1.461E-2</v>
      </c>
      <c r="L10" s="185">
        <v>182785</v>
      </c>
      <c r="M10" s="185">
        <v>3165.8361999999997</v>
      </c>
      <c r="N10" s="186">
        <f t="shared" si="3"/>
        <v>1.7319999999999999E-2</v>
      </c>
      <c r="O10" s="183">
        <v>171449.73800000001</v>
      </c>
      <c r="P10" s="183">
        <v>2909.5020538600002</v>
      </c>
      <c r="Q10" s="184">
        <f t="shared" si="4"/>
        <v>1.6969999999999999E-2</v>
      </c>
      <c r="R10" s="185">
        <v>174081</v>
      </c>
      <c r="S10" s="185">
        <v>2548.5458400000002</v>
      </c>
      <c r="T10" s="186">
        <f t="shared" si="5"/>
        <v>1.4640000000000002E-2</v>
      </c>
      <c r="U10" s="183">
        <v>171996.391</v>
      </c>
      <c r="V10" s="183">
        <v>2000.3180273299999</v>
      </c>
      <c r="W10" s="184">
        <f t="shared" si="6"/>
        <v>1.163E-2</v>
      </c>
      <c r="X10" s="187">
        <v>178618.94500000001</v>
      </c>
      <c r="Y10" s="187">
        <v>1597.3611883808398</v>
      </c>
      <c r="Z10" s="188">
        <f t="shared" si="7"/>
        <v>8.9428430359435821E-3</v>
      </c>
      <c r="AA10" s="189">
        <v>170820.18</v>
      </c>
      <c r="AB10" s="189">
        <v>2005.2522055852407</v>
      </c>
      <c r="AC10" s="190">
        <v>1.1738965534313573E-2</v>
      </c>
      <c r="AD10" s="191">
        <f>AVERAGE(W10,T10,Q10,Z10,AC10)</f>
        <v>1.2784361714051432E-2</v>
      </c>
      <c r="AE10" s="192">
        <f>AVERAGE(W10,T10,Q10,Z10,AC10)*(1000000/3600)</f>
        <v>3.5512115872365086</v>
      </c>
      <c r="AF10" s="17">
        <f t="shared" si="10"/>
        <v>1.1870037340028528</v>
      </c>
      <c r="AG10" s="193">
        <f t="shared" si="11"/>
        <v>4.7382153212393616</v>
      </c>
      <c r="AH10" s="176">
        <f t="shared" si="12"/>
        <v>1.6733255361031985E-2</v>
      </c>
      <c r="AI10" s="176">
        <f t="shared" si="13"/>
        <v>3.5315523306895884E-3</v>
      </c>
      <c r="AJ10" s="1">
        <f t="shared" si="14"/>
        <v>3.7526665344215747E-2</v>
      </c>
      <c r="AK10" s="176">
        <f t="shared" si="15"/>
        <v>1.3252738245937332E-4</v>
      </c>
      <c r="AL10" s="137">
        <f t="shared" si="16"/>
        <v>4.8111111111111109</v>
      </c>
      <c r="AM10" s="137">
        <f t="shared" si="17"/>
        <v>4.7138888888888886</v>
      </c>
      <c r="AN10" s="137">
        <f t="shared" si="18"/>
        <v>4.0666666666666673</v>
      </c>
      <c r="AO10" s="137">
        <f t="shared" si="19"/>
        <v>3.2305555555555552</v>
      </c>
      <c r="AP10" s="137">
        <f t="shared" si="20"/>
        <v>2.484123065539884</v>
      </c>
      <c r="AQ10" s="137">
        <f>AC10*(1000000/3600)</f>
        <v>3.2608237595315481</v>
      </c>
      <c r="AS10" s="175">
        <f t="shared" si="21"/>
        <v>3.5512115872365078</v>
      </c>
      <c r="AT10" s="176">
        <f t="shared" si="22"/>
        <v>4.7063277621585083E-4</v>
      </c>
      <c r="AU10" s="176"/>
    </row>
    <row r="11" spans="1:47" ht="14.45" customHeight="1" x14ac:dyDescent="0.25">
      <c r="A11" s="181" t="s">
        <v>307</v>
      </c>
      <c r="B11" s="182" t="s">
        <v>306</v>
      </c>
      <c r="C11" s="183">
        <v>134623.83499999999</v>
      </c>
      <c r="D11" s="183">
        <v>4439.13940533</v>
      </c>
      <c r="E11" s="184">
        <f t="shared" si="0"/>
        <v>3.2974394209836617E-2</v>
      </c>
      <c r="F11" s="185">
        <v>158496.652</v>
      </c>
      <c r="G11" s="185">
        <v>1890.4583380000001</v>
      </c>
      <c r="H11" s="186">
        <f t="shared" si="1"/>
        <v>1.192743388674229E-2</v>
      </c>
      <c r="I11" s="183">
        <v>165609.155</v>
      </c>
      <c r="J11" s="183">
        <v>2356.7665668</v>
      </c>
      <c r="K11" s="184">
        <f t="shared" si="2"/>
        <v>1.4230895428456234E-2</v>
      </c>
      <c r="L11" s="185">
        <v>173759.57338237777</v>
      </c>
      <c r="M11" s="185">
        <v>2739.4352383398596</v>
      </c>
      <c r="N11" s="186">
        <f t="shared" si="3"/>
        <v>1.5765665079709994E-2</v>
      </c>
      <c r="O11" s="183">
        <v>171312.49579450616</v>
      </c>
      <c r="P11" s="183">
        <v>2744.9143276225132</v>
      </c>
      <c r="Q11" s="184">
        <f t="shared" si="4"/>
        <v>1.6022849441847547E-2</v>
      </c>
      <c r="R11" s="185">
        <v>167952.52299999999</v>
      </c>
      <c r="S11" s="185">
        <v>2337.6169794506973</v>
      </c>
      <c r="T11" s="186">
        <f t="shared" si="5"/>
        <v>1.3918320116278917E-2</v>
      </c>
      <c r="U11" s="183">
        <v>173166.37699999998</v>
      </c>
      <c r="V11" s="183">
        <v>1907.053140355817</v>
      </c>
      <c r="W11" s="184">
        <f t="shared" si="6"/>
        <v>1.1012837326704694E-2</v>
      </c>
      <c r="X11" s="187">
        <v>180578.435</v>
      </c>
      <c r="Y11" s="187">
        <v>1524.9165621016052</v>
      </c>
      <c r="Z11" s="188">
        <f t="shared" si="7"/>
        <v>8.4446216520904348E-3</v>
      </c>
      <c r="AA11" s="189">
        <v>179666.76500000001</v>
      </c>
      <c r="AB11" s="189">
        <v>1986.9520669613976</v>
      </c>
      <c r="AC11" s="190">
        <v>1.105909636076209E-2</v>
      </c>
      <c r="AD11" s="191">
        <f t="shared" si="8"/>
        <v>1.2091544979536736E-2</v>
      </c>
      <c r="AE11" s="192">
        <f t="shared" si="9"/>
        <v>3.3587624943157599</v>
      </c>
      <c r="AF11" s="17">
        <f t="shared" si="10"/>
        <v>1.1665233287633026</v>
      </c>
      <c r="AG11" s="193">
        <f t="shared" si="11"/>
        <v>4.5252858230790629</v>
      </c>
      <c r="AH11" s="176">
        <f t="shared" si="12"/>
        <v>1.6808936403903654E-2</v>
      </c>
      <c r="AI11" s="176">
        <f t="shared" si="13"/>
        <v>3.7144474539437238E-3</v>
      </c>
      <c r="AJ11" s="1">
        <f t="shared" si="14"/>
        <v>3.5840263718786181E-2</v>
      </c>
      <c r="AK11" s="176">
        <f t="shared" si="15"/>
        <v>1.3312677631891696E-4</v>
      </c>
      <c r="AL11" s="137">
        <f t="shared" si="16"/>
        <v>4.3793514110305534</v>
      </c>
      <c r="AM11" s="137">
        <f t="shared" si="17"/>
        <v>4.4507915116243186</v>
      </c>
      <c r="AN11" s="137">
        <f t="shared" si="18"/>
        <v>3.866200032299699</v>
      </c>
      <c r="AO11" s="137">
        <f t="shared" si="19"/>
        <v>3.0591214796401927</v>
      </c>
      <c r="AP11" s="137">
        <f t="shared" si="20"/>
        <v>2.3457282366917873</v>
      </c>
      <c r="AQ11" s="137">
        <f t="shared" ref="AQ11:AQ53" si="23">AC11*(1000000/3600)</f>
        <v>3.0719712113228024</v>
      </c>
      <c r="AS11" s="175">
        <f t="shared" si="21"/>
        <v>3.3587624943157608</v>
      </c>
      <c r="AT11" s="176">
        <f t="shared" si="22"/>
        <v>4.4714122328914186E-4</v>
      </c>
      <c r="AU11" s="176"/>
    </row>
    <row r="12" spans="1:47" s="198" customFormat="1" ht="14.45" customHeight="1" x14ac:dyDescent="0.25">
      <c r="A12" s="194" t="s">
        <v>308</v>
      </c>
      <c r="B12" s="195" t="s">
        <v>306</v>
      </c>
      <c r="C12" s="196">
        <v>65530.595999999998</v>
      </c>
      <c r="D12" s="196">
        <v>3800.7745680000003</v>
      </c>
      <c r="E12" s="197">
        <f t="shared" si="0"/>
        <v>5.8000000000000003E-2</v>
      </c>
      <c r="F12" s="187">
        <v>67417.248999999996</v>
      </c>
      <c r="G12" s="187">
        <v>1280.927731</v>
      </c>
      <c r="H12" s="188">
        <f t="shared" si="1"/>
        <v>1.9E-2</v>
      </c>
      <c r="I12" s="196">
        <v>67839.679000000004</v>
      </c>
      <c r="J12" s="196">
        <v>991.13771019000001</v>
      </c>
      <c r="K12" s="197">
        <f t="shared" si="2"/>
        <v>1.461E-2</v>
      </c>
      <c r="L12" s="187">
        <v>67365.173999999999</v>
      </c>
      <c r="M12" s="187">
        <v>1166.7648136799999</v>
      </c>
      <c r="N12" s="188">
        <f t="shared" si="3"/>
        <v>1.7319999999999999E-2</v>
      </c>
      <c r="O12" s="196">
        <v>61450.764000000003</v>
      </c>
      <c r="P12" s="196">
        <v>1042.8194650799999</v>
      </c>
      <c r="Q12" s="197">
        <f t="shared" si="4"/>
        <v>1.6969999999999996E-2</v>
      </c>
      <c r="R12" s="187">
        <v>62970.792999999998</v>
      </c>
      <c r="S12" s="187">
        <v>921.89240952</v>
      </c>
      <c r="T12" s="188">
        <f t="shared" si="5"/>
        <v>1.464E-2</v>
      </c>
      <c r="U12" s="196">
        <v>65040.873</v>
      </c>
      <c r="V12" s="196">
        <v>756.42535298999996</v>
      </c>
      <c r="W12" s="197">
        <f t="shared" si="6"/>
        <v>1.163E-2</v>
      </c>
      <c r="X12" s="187">
        <v>68619.262870000006</v>
      </c>
      <c r="Y12" s="187">
        <v>613.65129708856159</v>
      </c>
      <c r="Z12" s="188">
        <f t="shared" si="7"/>
        <v>8.9428430359435821E-3</v>
      </c>
      <c r="AA12" s="189">
        <v>67044.736999999994</v>
      </c>
      <c r="AB12" s="189">
        <v>787.03585690011789</v>
      </c>
      <c r="AC12" s="190">
        <v>1.1738965534313573E-2</v>
      </c>
      <c r="AD12" s="191">
        <f t="shared" si="8"/>
        <v>1.2784361714051432E-2</v>
      </c>
      <c r="AE12" s="192">
        <f t="shared" si="9"/>
        <v>3.5512115872365086</v>
      </c>
      <c r="AF12" s="17">
        <f t="shared" si="10"/>
        <v>1.1870037340028528</v>
      </c>
      <c r="AG12" s="193">
        <f t="shared" si="11"/>
        <v>4.7382153212393616</v>
      </c>
      <c r="AH12" s="176">
        <f t="shared" si="12"/>
        <v>6.5675888225514645E-3</v>
      </c>
      <c r="AI12" s="176">
        <f t="shared" si="13"/>
        <v>1.3860891448119329E-3</v>
      </c>
      <c r="AJ12" s="1">
        <f t="shared" si="14"/>
        <v>3.7526665344215747E-2</v>
      </c>
      <c r="AK12" s="176">
        <f t="shared" si="15"/>
        <v>5.2015303474607602E-5</v>
      </c>
      <c r="AL12" s="137">
        <f t="shared" si="16"/>
        <v>4.8111111111111109</v>
      </c>
      <c r="AM12" s="137">
        <f t="shared" si="17"/>
        <v>4.7138888888888877</v>
      </c>
      <c r="AN12" s="137">
        <f t="shared" si="18"/>
        <v>4.0666666666666664</v>
      </c>
      <c r="AO12" s="137">
        <f t="shared" si="19"/>
        <v>3.2305555555555552</v>
      </c>
      <c r="AP12" s="137">
        <f t="shared" si="20"/>
        <v>2.484123065539884</v>
      </c>
      <c r="AQ12" s="137">
        <f t="shared" si="23"/>
        <v>3.2608237595315481</v>
      </c>
      <c r="AS12" s="175">
        <f t="shared" si="21"/>
        <v>3.5512115872365078</v>
      </c>
      <c r="AT12" s="176">
        <f t="shared" si="22"/>
        <v>1.847173484126499E-4</v>
      </c>
      <c r="AU12" s="176"/>
    </row>
    <row r="13" spans="1:47" s="198" customFormat="1" ht="14.45" customHeight="1" x14ac:dyDescent="0.25">
      <c r="A13" s="194" t="s">
        <v>309</v>
      </c>
      <c r="B13" s="195" t="s">
        <v>306</v>
      </c>
      <c r="C13" s="196">
        <v>170378.05900000001</v>
      </c>
      <c r="D13" s="196">
        <v>9881.9274220000007</v>
      </c>
      <c r="E13" s="197">
        <f t="shared" si="0"/>
        <v>5.8000000000000003E-2</v>
      </c>
      <c r="F13" s="187">
        <v>176805.503</v>
      </c>
      <c r="G13" s="187">
        <v>3359.3045569999999</v>
      </c>
      <c r="H13" s="188">
        <f t="shared" si="1"/>
        <v>1.9E-2</v>
      </c>
      <c r="I13" s="196">
        <v>175747.61300000001</v>
      </c>
      <c r="J13" s="196">
        <v>2567.6726259300003</v>
      </c>
      <c r="K13" s="197">
        <f t="shared" si="2"/>
        <v>1.4610000000000001E-2</v>
      </c>
      <c r="L13" s="187">
        <v>179631.709</v>
      </c>
      <c r="M13" s="187">
        <v>3111.2211998799999</v>
      </c>
      <c r="N13" s="188">
        <f t="shared" si="3"/>
        <v>1.7319999999999999E-2</v>
      </c>
      <c r="O13" s="196">
        <v>176123.26800000001</v>
      </c>
      <c r="P13" s="196">
        <v>2988.81185796</v>
      </c>
      <c r="Q13" s="197">
        <f t="shared" si="4"/>
        <v>1.6969999999999999E-2</v>
      </c>
      <c r="R13" s="187">
        <v>175948.73</v>
      </c>
      <c r="S13" s="187">
        <v>2575.8894072000003</v>
      </c>
      <c r="T13" s="188">
        <f t="shared" si="5"/>
        <v>1.464E-2</v>
      </c>
      <c r="U13" s="196">
        <v>177131.85</v>
      </c>
      <c r="V13" s="196">
        <v>2060.0434154999998</v>
      </c>
      <c r="W13" s="197">
        <f t="shared" si="6"/>
        <v>1.1629999999999998E-2</v>
      </c>
      <c r="X13" s="187">
        <v>187916.035</v>
      </c>
      <c r="Y13" s="187">
        <v>1680.5036049418804</v>
      </c>
      <c r="Z13" s="188">
        <f t="shared" si="7"/>
        <v>8.9428430359435821E-3</v>
      </c>
      <c r="AA13" s="189">
        <v>191026.52900000001</v>
      </c>
      <c r="AB13" s="189">
        <v>2242.4538400705524</v>
      </c>
      <c r="AC13" s="190">
        <v>1.1738965534313573E-2</v>
      </c>
      <c r="AD13" s="191">
        <f t="shared" si="8"/>
        <v>1.2784361714051432E-2</v>
      </c>
      <c r="AE13" s="192">
        <f>AVERAGE(W13,T13,Q13,Z13,AC13)*(1000000/3600)</f>
        <v>3.5512115872365086</v>
      </c>
      <c r="AF13" s="17">
        <f t="shared" si="10"/>
        <v>1.1870037340028528</v>
      </c>
      <c r="AG13" s="193">
        <f t="shared" si="11"/>
        <v>4.7382153212393616</v>
      </c>
      <c r="AH13" s="176">
        <f t="shared" si="12"/>
        <v>1.8712635067405867E-2</v>
      </c>
      <c r="AI13" s="176">
        <f t="shared" si="13"/>
        <v>3.9493002742035065E-3</v>
      </c>
      <c r="AJ13" s="1">
        <f t="shared" si="14"/>
        <v>3.7526665344215747E-2</v>
      </c>
      <c r="AK13" s="176">
        <f t="shared" si="15"/>
        <v>1.4820406973385447E-4</v>
      </c>
      <c r="AL13" s="137">
        <f t="shared" si="16"/>
        <v>4.8111111111111109</v>
      </c>
      <c r="AM13" s="137">
        <f t="shared" si="17"/>
        <v>4.7138888888888886</v>
      </c>
      <c r="AN13" s="137">
        <f t="shared" si="18"/>
        <v>4.0666666666666664</v>
      </c>
      <c r="AO13" s="137">
        <f t="shared" si="19"/>
        <v>3.2305555555555547</v>
      </c>
      <c r="AP13" s="137">
        <f t="shared" si="20"/>
        <v>2.484123065539884</v>
      </c>
      <c r="AQ13" s="137">
        <f t="shared" si="23"/>
        <v>3.2608237595315481</v>
      </c>
      <c r="AS13" s="175">
        <f t="shared" si="21"/>
        <v>3.5512115872365078</v>
      </c>
      <c r="AT13" s="176">
        <f t="shared" si="22"/>
        <v>5.2630400971447142E-4</v>
      </c>
      <c r="AU13" s="176"/>
    </row>
    <row r="14" spans="1:47" s="198" customFormat="1" ht="14.45" customHeight="1" x14ac:dyDescent="0.25">
      <c r="A14" s="199" t="s">
        <v>310</v>
      </c>
      <c r="B14" s="195" t="s">
        <v>306</v>
      </c>
      <c r="C14" s="196">
        <v>19625.115000000002</v>
      </c>
      <c r="D14" s="196">
        <v>1138.2566700000002</v>
      </c>
      <c r="E14" s="197">
        <f t="shared" si="0"/>
        <v>5.8000000000000003E-2</v>
      </c>
      <c r="F14" s="187">
        <v>19882.865000000002</v>
      </c>
      <c r="G14" s="187">
        <v>377.77443500000004</v>
      </c>
      <c r="H14" s="188">
        <f t="shared" si="1"/>
        <v>1.9E-2</v>
      </c>
      <c r="I14" s="196">
        <v>18979.071</v>
      </c>
      <c r="J14" s="196">
        <v>277.28422731000001</v>
      </c>
      <c r="K14" s="197">
        <f t="shared" si="2"/>
        <v>1.461E-2</v>
      </c>
      <c r="L14" s="187">
        <v>19640.64</v>
      </c>
      <c r="M14" s="187">
        <v>340.17588479999995</v>
      </c>
      <c r="N14" s="188">
        <f t="shared" si="3"/>
        <v>1.7319999999999999E-2</v>
      </c>
      <c r="O14" s="196">
        <v>20264.384999999998</v>
      </c>
      <c r="P14" s="196">
        <v>343.88661344999997</v>
      </c>
      <c r="Q14" s="197">
        <f t="shared" si="4"/>
        <v>1.6969999999999999E-2</v>
      </c>
      <c r="R14" s="187">
        <v>20080.84</v>
      </c>
      <c r="S14" s="187">
        <v>293.98349760000002</v>
      </c>
      <c r="T14" s="188">
        <f t="shared" si="5"/>
        <v>1.464E-2</v>
      </c>
      <c r="U14" s="196">
        <v>20653.087</v>
      </c>
      <c r="V14" s="196">
        <v>240.19540180999999</v>
      </c>
      <c r="W14" s="197">
        <f t="shared" si="6"/>
        <v>1.163E-2</v>
      </c>
      <c r="X14" s="187">
        <v>23129.99</v>
      </c>
      <c r="Y14" s="187">
        <v>206.84786999294471</v>
      </c>
      <c r="Z14" s="188">
        <f t="shared" si="7"/>
        <v>8.9428430359435821E-3</v>
      </c>
      <c r="AA14" s="189">
        <v>23665.404999999999</v>
      </c>
      <c r="AB14" s="189">
        <v>277.80737365057212</v>
      </c>
      <c r="AC14" s="190">
        <v>1.1738965534313575E-2</v>
      </c>
      <c r="AD14" s="191">
        <f t="shared" si="8"/>
        <v>1.2784361714051432E-2</v>
      </c>
      <c r="AE14" s="192">
        <f t="shared" si="9"/>
        <v>3.5512115872365086</v>
      </c>
      <c r="AF14" s="17">
        <f t="shared" si="10"/>
        <v>1.1870037340028528</v>
      </c>
      <c r="AG14" s="193">
        <f t="shared" si="11"/>
        <v>4.7382153212393616</v>
      </c>
      <c r="AH14" s="176">
        <f t="shared" si="12"/>
        <v>2.3182229704197892E-3</v>
      </c>
      <c r="AI14" s="176">
        <f t="shared" si="13"/>
        <v>4.8926078982274241E-4</v>
      </c>
      <c r="AJ14" s="1">
        <f t="shared" si="14"/>
        <v>3.7526665344215747E-2</v>
      </c>
      <c r="AK14" s="176">
        <f t="shared" si="15"/>
        <v>1.8360325925724733E-5</v>
      </c>
      <c r="AL14" s="137">
        <f t="shared" si="16"/>
        <v>4.8111111111111109</v>
      </c>
      <c r="AM14" s="137">
        <f t="shared" si="17"/>
        <v>4.7138888888888886</v>
      </c>
      <c r="AN14" s="137">
        <f t="shared" si="18"/>
        <v>4.0666666666666664</v>
      </c>
      <c r="AO14" s="137">
        <f t="shared" si="19"/>
        <v>3.2305555555555552</v>
      </c>
      <c r="AP14" s="137">
        <f t="shared" si="20"/>
        <v>2.484123065539884</v>
      </c>
      <c r="AQ14" s="137">
        <f t="shared" si="23"/>
        <v>3.2608237595315486</v>
      </c>
      <c r="AS14" s="175">
        <f t="shared" si="21"/>
        <v>3.5512115872365078</v>
      </c>
      <c r="AT14" s="176">
        <f t="shared" si="22"/>
        <v>6.5201402172872534E-5</v>
      </c>
      <c r="AU14" s="176"/>
    </row>
    <row r="15" spans="1:47" ht="14.45" customHeight="1" x14ac:dyDescent="0.25">
      <c r="A15" s="181" t="s">
        <v>311</v>
      </c>
      <c r="B15" s="182" t="s">
        <v>306</v>
      </c>
      <c r="C15" s="183">
        <v>664563.43599999999</v>
      </c>
      <c r="D15" s="183">
        <v>17434.00723911</v>
      </c>
      <c r="E15" s="184">
        <f t="shared" si="0"/>
        <v>2.6233774376822623E-2</v>
      </c>
      <c r="F15" s="185">
        <v>692387.16100000008</v>
      </c>
      <c r="G15" s="185">
        <v>7777.4131465</v>
      </c>
      <c r="H15" s="186">
        <f t="shared" si="1"/>
        <v>1.1232751825246509E-2</v>
      </c>
      <c r="I15" s="183">
        <v>695335.46</v>
      </c>
      <c r="J15" s="183">
        <v>10137.015256799999</v>
      </c>
      <c r="K15" s="184">
        <f t="shared" si="2"/>
        <v>1.457859672049517E-2</v>
      </c>
      <c r="L15" s="185">
        <v>729576.80592557357</v>
      </c>
      <c r="M15" s="185">
        <v>12550.206388101933</v>
      </c>
      <c r="N15" s="186">
        <f t="shared" si="3"/>
        <v>1.7202035873632501E-2</v>
      </c>
      <c r="O15" s="183">
        <v>715952.81664253096</v>
      </c>
      <c r="P15" s="183">
        <v>12142.100213324622</v>
      </c>
      <c r="Q15" s="184">
        <f t="shared" si="4"/>
        <v>1.6959358118409453E-2</v>
      </c>
      <c r="R15" s="185">
        <v>714868.84000000008</v>
      </c>
      <c r="S15" s="185">
        <v>10429.097946532222</v>
      </c>
      <c r="T15" s="186">
        <f t="shared" si="5"/>
        <v>1.4588827156786161E-2</v>
      </c>
      <c r="U15" s="183">
        <v>739560.90500000014</v>
      </c>
      <c r="V15" s="183">
        <v>8534.8950104576597</v>
      </c>
      <c r="W15" s="184">
        <f t="shared" si="6"/>
        <v>1.1540489705114494E-2</v>
      </c>
      <c r="X15" s="187">
        <v>797631.48199999996</v>
      </c>
      <c r="Y15" s="187">
        <v>7063.1922878321793</v>
      </c>
      <c r="Z15" s="188">
        <f t="shared" si="7"/>
        <v>8.8552075077600548E-3</v>
      </c>
      <c r="AA15" s="189">
        <v>765895.44000000006</v>
      </c>
      <c r="AB15" s="189">
        <v>8892.7379914829453</v>
      </c>
      <c r="AC15" s="190">
        <v>1.1610903430216198E-2</v>
      </c>
      <c r="AD15" s="191">
        <f t="shared" si="8"/>
        <v>1.271095718365727E-2</v>
      </c>
      <c r="AE15" s="192">
        <f t="shared" si="9"/>
        <v>3.530821439904797</v>
      </c>
      <c r="AF15" s="17">
        <f t="shared" si="10"/>
        <v>1.184833817408756</v>
      </c>
      <c r="AG15" s="193">
        <f t="shared" si="11"/>
        <v>4.7156552573135535</v>
      </c>
      <c r="AH15" s="176">
        <f t="shared" si="12"/>
        <v>7.4668598993306551E-2</v>
      </c>
      <c r="AI15" s="176">
        <f t="shared" si="13"/>
        <v>1.583419374804855E-2</v>
      </c>
      <c r="AJ15" s="1">
        <f t="shared" si="14"/>
        <v>3.7347989637923351E-2</v>
      </c>
      <c r="AK15" s="176">
        <f t="shared" si="15"/>
        <v>5.9137530402698793E-4</v>
      </c>
      <c r="AL15" s="137">
        <f t="shared" si="16"/>
        <v>4.7783432982312499</v>
      </c>
      <c r="AM15" s="137">
        <f t="shared" si="17"/>
        <v>4.7109328106692923</v>
      </c>
      <c r="AN15" s="137">
        <f t="shared" si="18"/>
        <v>4.0524519879961556</v>
      </c>
      <c r="AO15" s="137">
        <f t="shared" si="19"/>
        <v>3.2056915847540259</v>
      </c>
      <c r="AP15" s="137">
        <f t="shared" si="20"/>
        <v>2.4597798632666819</v>
      </c>
      <c r="AQ15" s="137">
        <f t="shared" si="23"/>
        <v>3.2252509528378326</v>
      </c>
      <c r="AS15" s="175">
        <f t="shared" si="21"/>
        <v>3.5308214399047984</v>
      </c>
      <c r="AT15" s="176">
        <f t="shared" si="22"/>
        <v>2.0880406024887076E-3</v>
      </c>
      <c r="AU15" s="176"/>
    </row>
    <row r="16" spans="1:47" s="198" customFormat="1" ht="14.45" customHeight="1" x14ac:dyDescent="0.25">
      <c r="A16" s="200" t="s">
        <v>312</v>
      </c>
      <c r="B16" s="195" t="s">
        <v>306</v>
      </c>
      <c r="C16" s="196">
        <v>1245539.7849999999</v>
      </c>
      <c r="D16" s="196">
        <v>72241.307530000005</v>
      </c>
      <c r="E16" s="197">
        <f t="shared" si="0"/>
        <v>5.800000000000001E-2</v>
      </c>
      <c r="F16" s="187">
        <v>1316057.825</v>
      </c>
      <c r="G16" s="187">
        <v>25005.098674999997</v>
      </c>
      <c r="H16" s="188">
        <f t="shared" si="1"/>
        <v>1.9E-2</v>
      </c>
      <c r="I16" s="196">
        <v>1349860.3470000001</v>
      </c>
      <c r="J16" s="196">
        <v>19721.459669669999</v>
      </c>
      <c r="K16" s="197">
        <f t="shared" si="2"/>
        <v>1.4609999999999998E-2</v>
      </c>
      <c r="L16" s="187">
        <v>1344383.2120000001</v>
      </c>
      <c r="M16" s="187">
        <v>23284.717231840001</v>
      </c>
      <c r="N16" s="188">
        <f t="shared" si="3"/>
        <v>1.7319999999999999E-2</v>
      </c>
      <c r="O16" s="196">
        <v>1293610.173</v>
      </c>
      <c r="P16" s="196">
        <v>21952.564635809998</v>
      </c>
      <c r="Q16" s="197">
        <f t="shared" si="4"/>
        <v>1.6969999999999999E-2</v>
      </c>
      <c r="R16" s="187">
        <v>1273125.8600000001</v>
      </c>
      <c r="S16" s="187">
        <v>18638.562590400001</v>
      </c>
      <c r="T16" s="188">
        <f t="shared" si="5"/>
        <v>1.464E-2</v>
      </c>
      <c r="U16" s="196">
        <v>1297461.8589999999</v>
      </c>
      <c r="V16" s="196">
        <v>15089.481420169999</v>
      </c>
      <c r="W16" s="197">
        <f t="shared" si="6"/>
        <v>1.163E-2</v>
      </c>
      <c r="X16" s="187">
        <v>1355640.7180000001</v>
      </c>
      <c r="Y16" s="187">
        <v>12123.282154207858</v>
      </c>
      <c r="Z16" s="188">
        <f t="shared" si="7"/>
        <v>8.9428430359435821E-3</v>
      </c>
      <c r="AA16" s="189">
        <v>1317606.4920000001</v>
      </c>
      <c r="AB16" s="189">
        <v>15467.337197375813</v>
      </c>
      <c r="AC16" s="190">
        <v>1.1738965534313573E-2</v>
      </c>
      <c r="AD16" s="191">
        <f t="shared" si="8"/>
        <v>1.2784361714051432E-2</v>
      </c>
      <c r="AE16" s="192">
        <f t="shared" si="9"/>
        <v>3.5512115872365086</v>
      </c>
      <c r="AF16" s="17">
        <f t="shared" si="10"/>
        <v>1.1870037340028528</v>
      </c>
      <c r="AG16" s="193">
        <f t="shared" si="11"/>
        <v>4.7382153212393616</v>
      </c>
      <c r="AH16" s="176">
        <f t="shared" si="12"/>
        <v>0.1290704991411995</v>
      </c>
      <c r="AI16" s="176">
        <f t="shared" si="13"/>
        <v>2.7240319485404667E-2</v>
      </c>
      <c r="AJ16" s="1">
        <f t="shared" si="14"/>
        <v>3.7526665344215747E-2</v>
      </c>
      <c r="AK16" s="176">
        <f t="shared" si="15"/>
        <v>1.0222383531983002E-3</v>
      </c>
      <c r="AL16" s="137">
        <f t="shared" si="16"/>
        <v>4.8111111111111109</v>
      </c>
      <c r="AM16" s="137">
        <f t="shared" si="17"/>
        <v>4.7138888888888886</v>
      </c>
      <c r="AN16" s="137">
        <f t="shared" si="18"/>
        <v>4.0666666666666664</v>
      </c>
      <c r="AO16" s="137">
        <f t="shared" si="19"/>
        <v>3.2305555555555552</v>
      </c>
      <c r="AP16" s="137">
        <f t="shared" si="20"/>
        <v>2.484123065539884</v>
      </c>
      <c r="AQ16" s="137">
        <f t="shared" si="23"/>
        <v>3.2608237595315481</v>
      </c>
      <c r="AS16" s="175">
        <f t="shared" si="21"/>
        <v>3.5512115872365078</v>
      </c>
      <c r="AT16" s="176">
        <f t="shared" si="22"/>
        <v>3.6301846847953696E-3</v>
      </c>
      <c r="AU16" s="176"/>
    </row>
    <row r="17" spans="1:47" s="198" customFormat="1" ht="14.45" customHeight="1" x14ac:dyDescent="0.25">
      <c r="A17" s="200" t="s">
        <v>313</v>
      </c>
      <c r="B17" s="195" t="s">
        <v>306</v>
      </c>
      <c r="C17" s="196">
        <v>1177975</v>
      </c>
      <c r="D17" s="196">
        <v>69552.755739465079</v>
      </c>
      <c r="E17" s="197">
        <f t="shared" si="0"/>
        <v>5.9044339429499847E-2</v>
      </c>
      <c r="F17" s="187">
        <v>1390792</v>
      </c>
      <c r="G17" s="187">
        <v>90809.708814133584</v>
      </c>
      <c r="H17" s="188">
        <f t="shared" si="1"/>
        <v>6.5293522549837488E-2</v>
      </c>
      <c r="I17" s="196">
        <v>1260414</v>
      </c>
      <c r="J17" s="196">
        <v>91424.75274908758</v>
      </c>
      <c r="K17" s="197">
        <f t="shared" si="2"/>
        <v>7.2535494487595012E-2</v>
      </c>
      <c r="L17" s="187">
        <v>1106359</v>
      </c>
      <c r="M17" s="187">
        <v>94986.024291457608</v>
      </c>
      <c r="N17" s="188">
        <f t="shared" si="3"/>
        <v>8.5854613458612991E-2</v>
      </c>
      <c r="O17" s="196">
        <v>1052318.1100000001</v>
      </c>
      <c r="P17" s="196">
        <v>66994.895957732107</v>
      </c>
      <c r="Q17" s="197">
        <f t="shared" si="4"/>
        <v>6.3664110045328501E-2</v>
      </c>
      <c r="R17" s="187">
        <v>1014207.9099999999</v>
      </c>
      <c r="S17" s="187">
        <v>73844.805358591126</v>
      </c>
      <c r="T17" s="188">
        <f t="shared" si="5"/>
        <v>7.2810322844544889E-2</v>
      </c>
      <c r="U17" s="196">
        <v>907707.07549999992</v>
      </c>
      <c r="V17" s="196">
        <v>27383.528708127931</v>
      </c>
      <c r="W17" s="197">
        <f t="shared" si="6"/>
        <v>3.0167803520804365E-2</v>
      </c>
      <c r="X17" s="187">
        <v>918190.43450000009</v>
      </c>
      <c r="Y17" s="187">
        <v>30292</v>
      </c>
      <c r="Z17" s="188">
        <f t="shared" si="7"/>
        <v>3.2990977537786577E-2</v>
      </c>
      <c r="AA17" s="189">
        <v>887377.00870000001</v>
      </c>
      <c r="AB17" s="189">
        <v>31722.855536241455</v>
      </c>
      <c r="AC17" s="190">
        <v>3.5749016737221057E-2</v>
      </c>
      <c r="AD17" s="191">
        <f t="shared" si="8"/>
        <v>4.707644613713708E-2</v>
      </c>
      <c r="AE17" s="192">
        <f>AVERAGE(W17,T17,Q17,Z17,AC17)*(1000000/3600)</f>
        <v>13.076790593649189</v>
      </c>
      <c r="AF17" s="17">
        <f t="shared" si="10"/>
        <v>2.2007145041181482</v>
      </c>
      <c r="AG17" s="193">
        <f t="shared" si="11"/>
        <v>15.277505097767337</v>
      </c>
      <c r="AH17" s="176">
        <f t="shared" si="12"/>
        <v>0.28027675485916337</v>
      </c>
      <c r="AI17" s="176">
        <f t="shared" si="13"/>
        <v>1.8345715027784423E-2</v>
      </c>
      <c r="AJ17" s="1">
        <f t="shared" si="14"/>
        <v>0.12099784037431732</v>
      </c>
      <c r="AK17" s="176">
        <f t="shared" si="15"/>
        <v>2.2197918984845741E-3</v>
      </c>
      <c r="AL17" s="137">
        <f t="shared" si="16"/>
        <v>23.848503738503609</v>
      </c>
      <c r="AM17" s="137">
        <f t="shared" si="17"/>
        <v>17.68447501259125</v>
      </c>
      <c r="AN17" s="137">
        <f t="shared" si="18"/>
        <v>20.225089679040245</v>
      </c>
      <c r="AO17" s="137">
        <f t="shared" si="19"/>
        <v>8.3799454224456564</v>
      </c>
      <c r="AP17" s="137">
        <f t="shared" si="20"/>
        <v>9.1641604271629387</v>
      </c>
      <c r="AQ17" s="137">
        <f t="shared" si="23"/>
        <v>9.9302824270058494</v>
      </c>
      <c r="AS17" s="175">
        <f t="shared" si="21"/>
        <v>13.076790593649189</v>
      </c>
      <c r="AT17" s="176">
        <f t="shared" si="22"/>
        <v>2.9027753817961754E-2</v>
      </c>
      <c r="AU17" s="176"/>
    </row>
    <row r="18" spans="1:47" ht="14.45" customHeight="1" x14ac:dyDescent="0.25">
      <c r="A18" s="201" t="s">
        <v>314</v>
      </c>
      <c r="B18" s="182" t="s">
        <v>306</v>
      </c>
      <c r="C18" s="183">
        <v>3641.8720000000003</v>
      </c>
      <c r="D18" s="183">
        <v>111.22382181</v>
      </c>
      <c r="E18" s="184">
        <f t="shared" si="0"/>
        <v>3.0540288568626242E-2</v>
      </c>
      <c r="F18" s="185">
        <v>58594.667000000001</v>
      </c>
      <c r="G18" s="185">
        <v>1083.9719735000001</v>
      </c>
      <c r="H18" s="186">
        <f t="shared" si="1"/>
        <v>1.8499498828110073E-2</v>
      </c>
      <c r="I18" s="183">
        <v>3894.1410000000001</v>
      </c>
      <c r="J18" s="183">
        <v>56.70409824</v>
      </c>
      <c r="K18" s="184">
        <f t="shared" si="2"/>
        <v>1.4561388054515746E-2</v>
      </c>
      <c r="L18" s="185">
        <v>4070.8921390819501</v>
      </c>
      <c r="M18" s="185">
        <v>69.999031237757805</v>
      </c>
      <c r="N18" s="186">
        <f t="shared" si="3"/>
        <v>1.7195010048471508E-2</v>
      </c>
      <c r="O18" s="183">
        <v>4143.9210999999996</v>
      </c>
      <c r="P18" s="183">
        <v>70.322341066999982</v>
      </c>
      <c r="Q18" s="184">
        <f t="shared" si="4"/>
        <v>1.6969999999999999E-2</v>
      </c>
      <c r="R18" s="185">
        <v>2031.5638232999995</v>
      </c>
      <c r="S18" s="185">
        <v>29.742094373111993</v>
      </c>
      <c r="T18" s="186">
        <f t="shared" si="5"/>
        <v>1.464E-2</v>
      </c>
      <c r="U18" s="183">
        <v>2207.1572736000003</v>
      </c>
      <c r="V18" s="183">
        <v>25.669239091968002</v>
      </c>
      <c r="W18" s="184">
        <f t="shared" si="6"/>
        <v>1.163E-2</v>
      </c>
      <c r="X18" s="187">
        <v>2423.7461642999997</v>
      </c>
      <c r="Y18" s="187">
        <v>21.667683106709106</v>
      </c>
      <c r="Z18" s="188">
        <f t="shared" si="7"/>
        <v>8.9397493128027007E-3</v>
      </c>
      <c r="AA18" s="189">
        <v>2374.0779933000003</v>
      </c>
      <c r="AB18" s="189">
        <v>27.819736542611331</v>
      </c>
      <c r="AC18" s="190">
        <v>1.1718122412626184E-2</v>
      </c>
      <c r="AD18" s="191">
        <f t="shared" si="8"/>
        <v>1.2779574345085776E-2</v>
      </c>
      <c r="AE18" s="192">
        <f t="shared" si="9"/>
        <v>3.5498817625238268</v>
      </c>
      <c r="AF18" s="17">
        <f t="shared" si="10"/>
        <v>1.1868622142450822</v>
      </c>
      <c r="AG18" s="193">
        <f t="shared" si="11"/>
        <v>4.736743976768909</v>
      </c>
      <c r="AH18" s="176">
        <f t="shared" si="12"/>
        <v>2.3248844071600033E-4</v>
      </c>
      <c r="AI18" s="176">
        <f t="shared" si="13"/>
        <v>4.9081909821646821E-5</v>
      </c>
      <c r="AJ18" s="1">
        <f t="shared" si="14"/>
        <v>3.7515012296009766E-2</v>
      </c>
      <c r="AK18" s="176">
        <f t="shared" si="15"/>
        <v>1.8413084504707229E-6</v>
      </c>
      <c r="AL18" s="137">
        <f t="shared" si="16"/>
        <v>4.776391680130974</v>
      </c>
      <c r="AM18" s="137">
        <f t="shared" si="17"/>
        <v>4.7138888888888886</v>
      </c>
      <c r="AN18" s="137">
        <f t="shared" si="18"/>
        <v>4.0666666666666664</v>
      </c>
      <c r="AO18" s="137">
        <f t="shared" si="19"/>
        <v>3.2305555555555552</v>
      </c>
      <c r="AP18" s="137">
        <f t="shared" si="20"/>
        <v>2.4832636980007501</v>
      </c>
      <c r="AQ18" s="137">
        <f t="shared" si="23"/>
        <v>3.2550340035072733</v>
      </c>
      <c r="AS18" s="175">
        <f t="shared" si="21"/>
        <v>3.5498817625238268</v>
      </c>
      <c r="AT18" s="176">
        <f t="shared" si="22"/>
        <v>6.5364272875070265E-6</v>
      </c>
      <c r="AU18" s="176"/>
    </row>
    <row r="19" spans="1:47" s="198" customFormat="1" ht="14.45" customHeight="1" x14ac:dyDescent="0.25">
      <c r="A19" s="194" t="s">
        <v>315</v>
      </c>
      <c r="B19" s="195" t="s">
        <v>306</v>
      </c>
      <c r="C19" s="196">
        <v>103947.34299999999</v>
      </c>
      <c r="D19" s="196">
        <v>6028.9458939999995</v>
      </c>
      <c r="E19" s="197">
        <f t="shared" si="0"/>
        <v>5.7999999999999996E-2</v>
      </c>
      <c r="F19" s="187">
        <v>108094.067</v>
      </c>
      <c r="G19" s="187">
        <v>2053.7872729999999</v>
      </c>
      <c r="H19" s="188">
        <f t="shared" si="1"/>
        <v>1.9E-2</v>
      </c>
      <c r="I19" s="196">
        <v>113091.963</v>
      </c>
      <c r="J19" s="196">
        <v>1652.2735794299999</v>
      </c>
      <c r="K19" s="197">
        <f t="shared" si="2"/>
        <v>1.461E-2</v>
      </c>
      <c r="L19" s="187">
        <v>113848.91899999999</v>
      </c>
      <c r="M19" s="187">
        <v>1971.8632770799998</v>
      </c>
      <c r="N19" s="188">
        <f t="shared" si="3"/>
        <v>1.7319999999999999E-2</v>
      </c>
      <c r="O19" s="196">
        <v>114624.16099999999</v>
      </c>
      <c r="P19" s="196">
        <v>1945.1720121699998</v>
      </c>
      <c r="Q19" s="197">
        <f t="shared" si="4"/>
        <v>1.6969999999999999E-2</v>
      </c>
      <c r="R19" s="187">
        <v>116597</v>
      </c>
      <c r="S19" s="187">
        <v>1706.98008</v>
      </c>
      <c r="T19" s="188">
        <f t="shared" si="5"/>
        <v>1.464E-2</v>
      </c>
      <c r="U19" s="196">
        <v>116521.25199999999</v>
      </c>
      <c r="V19" s="196">
        <v>1355.1421607599998</v>
      </c>
      <c r="W19" s="197">
        <f t="shared" si="6"/>
        <v>1.163E-2</v>
      </c>
      <c r="X19" s="187">
        <v>122830.887</v>
      </c>
      <c r="Y19" s="187">
        <v>1098.4573424067228</v>
      </c>
      <c r="Z19" s="188">
        <f t="shared" si="7"/>
        <v>8.9428430359435786E-3</v>
      </c>
      <c r="AA19" s="189">
        <v>117016.11900000001</v>
      </c>
      <c r="AB19" s="189">
        <v>1373.6481879001358</v>
      </c>
      <c r="AC19" s="190">
        <v>1.1738965534313573E-2</v>
      </c>
      <c r="AD19" s="191">
        <f t="shared" si="8"/>
        <v>1.2784361714051432E-2</v>
      </c>
      <c r="AE19" s="192">
        <f t="shared" si="9"/>
        <v>3.5512115872365086</v>
      </c>
      <c r="AF19" s="17">
        <f t="shared" si="10"/>
        <v>1.1870037340028528</v>
      </c>
      <c r="AG19" s="193">
        <f t="shared" si="11"/>
        <v>4.7382153212393616</v>
      </c>
      <c r="AH19" s="176">
        <f t="shared" si="12"/>
        <v>1.146270072179942E-2</v>
      </c>
      <c r="AI19" s="176">
        <f t="shared" si="13"/>
        <v>2.419202156224752E-3</v>
      </c>
      <c r="AJ19" s="1">
        <f t="shared" si="14"/>
        <v>3.7526665344215747E-2</v>
      </c>
      <c r="AK19" s="176">
        <f t="shared" si="15"/>
        <v>9.078458971665141E-5</v>
      </c>
      <c r="AL19" s="137">
        <f t="shared" si="16"/>
        <v>4.8111111111111109</v>
      </c>
      <c r="AM19" s="137">
        <f t="shared" si="17"/>
        <v>4.7138888888888886</v>
      </c>
      <c r="AN19" s="137">
        <f t="shared" si="18"/>
        <v>4.0666666666666664</v>
      </c>
      <c r="AO19" s="137">
        <f t="shared" si="19"/>
        <v>3.2305555555555552</v>
      </c>
      <c r="AP19" s="137">
        <f t="shared" si="20"/>
        <v>2.4841230655398827</v>
      </c>
      <c r="AQ19" s="137">
        <f t="shared" si="23"/>
        <v>3.2608237595315481</v>
      </c>
      <c r="AS19" s="175">
        <f t="shared" si="21"/>
        <v>3.5512115872365078</v>
      </c>
      <c r="AT19" s="176">
        <f t="shared" si="22"/>
        <v>3.223952869442848E-4</v>
      </c>
      <c r="AU19" s="176"/>
    </row>
    <row r="20" spans="1:47" s="198" customFormat="1" ht="14.45" customHeight="1" x14ac:dyDescent="0.25">
      <c r="A20" s="194" t="s">
        <v>316</v>
      </c>
      <c r="B20" s="195" t="s">
        <v>306</v>
      </c>
      <c r="C20" s="196">
        <v>26872.837</v>
      </c>
      <c r="D20" s="196">
        <v>1558.624546</v>
      </c>
      <c r="E20" s="197">
        <f t="shared" si="0"/>
        <v>5.8000000000000003E-2</v>
      </c>
      <c r="F20" s="187">
        <v>26990.069</v>
      </c>
      <c r="G20" s="187">
        <v>512.81131099999993</v>
      </c>
      <c r="H20" s="188">
        <f t="shared" si="1"/>
        <v>1.9E-2</v>
      </c>
      <c r="I20" s="196">
        <v>26939.864000000001</v>
      </c>
      <c r="J20" s="196">
        <v>393.59141304000002</v>
      </c>
      <c r="K20" s="197">
        <f t="shared" si="2"/>
        <v>1.461E-2</v>
      </c>
      <c r="L20" s="187">
        <v>25731.492999999999</v>
      </c>
      <c r="M20" s="187">
        <v>445.66945875999994</v>
      </c>
      <c r="N20" s="188">
        <f t="shared" si="3"/>
        <v>1.7319999999999999E-2</v>
      </c>
      <c r="O20" s="196">
        <v>25918.59</v>
      </c>
      <c r="P20" s="196">
        <v>439.83847229999998</v>
      </c>
      <c r="Q20" s="197">
        <f t="shared" si="4"/>
        <v>1.6969999999999999E-2</v>
      </c>
      <c r="R20" s="187">
        <v>26976.19</v>
      </c>
      <c r="S20" s="187">
        <v>394.93142159999996</v>
      </c>
      <c r="T20" s="188">
        <f t="shared" si="5"/>
        <v>1.464E-2</v>
      </c>
      <c r="U20" s="196">
        <v>27214.863000000001</v>
      </c>
      <c r="V20" s="196">
        <v>316.50885669000002</v>
      </c>
      <c r="W20" s="197">
        <f t="shared" si="6"/>
        <v>1.163E-2</v>
      </c>
      <c r="X20" s="187">
        <v>27580.741620000001</v>
      </c>
      <c r="Y20" s="187">
        <v>246.65024312257626</v>
      </c>
      <c r="Z20" s="188">
        <f t="shared" si="7"/>
        <v>8.9428430359435804E-3</v>
      </c>
      <c r="AA20" s="189">
        <v>26536.019</v>
      </c>
      <c r="AB20" s="189">
        <v>311.50541245889013</v>
      </c>
      <c r="AC20" s="190">
        <v>1.1738965534313573E-2</v>
      </c>
      <c r="AD20" s="191">
        <f t="shared" si="8"/>
        <v>1.2784361714051432E-2</v>
      </c>
      <c r="AE20" s="192">
        <f t="shared" si="9"/>
        <v>3.5512115872365086</v>
      </c>
      <c r="AF20" s="17">
        <f t="shared" si="10"/>
        <v>1.1870037340028528</v>
      </c>
      <c r="AG20" s="193">
        <f t="shared" si="11"/>
        <v>4.7382153212393616</v>
      </c>
      <c r="AH20" s="176">
        <f t="shared" si="12"/>
        <v>2.599423453319137E-3</v>
      </c>
      <c r="AI20" s="176">
        <f t="shared" si="13"/>
        <v>5.4860813135001497E-4</v>
      </c>
      <c r="AJ20" s="1">
        <f t="shared" si="14"/>
        <v>3.7526665344215747E-2</v>
      </c>
      <c r="AK20" s="176">
        <f t="shared" si="15"/>
        <v>2.0587433750287567E-5</v>
      </c>
      <c r="AL20" s="137">
        <f t="shared" si="16"/>
        <v>4.8111111111111109</v>
      </c>
      <c r="AM20" s="137">
        <f t="shared" si="17"/>
        <v>4.7138888888888886</v>
      </c>
      <c r="AN20" s="137">
        <f t="shared" si="18"/>
        <v>4.0666666666666664</v>
      </c>
      <c r="AO20" s="137">
        <f t="shared" si="19"/>
        <v>3.2305555555555552</v>
      </c>
      <c r="AP20" s="137">
        <f t="shared" si="20"/>
        <v>2.4841230655398836</v>
      </c>
      <c r="AQ20" s="137">
        <f t="shared" si="23"/>
        <v>3.2608237595315481</v>
      </c>
      <c r="AS20" s="175">
        <f t="shared" si="21"/>
        <v>3.5512115872365078</v>
      </c>
      <c r="AT20" s="176">
        <f t="shared" si="22"/>
        <v>7.3110333285485157E-5</v>
      </c>
      <c r="AU20" s="176"/>
    </row>
    <row r="21" spans="1:47" s="198" customFormat="1" ht="14.45" customHeight="1" x14ac:dyDescent="0.25">
      <c r="A21" s="200" t="s">
        <v>317</v>
      </c>
      <c r="B21" s="195" t="s">
        <v>306</v>
      </c>
      <c r="C21" s="196">
        <v>466481.06400000001</v>
      </c>
      <c r="D21" s="196">
        <v>27055.901712000003</v>
      </c>
      <c r="E21" s="197">
        <f t="shared" si="0"/>
        <v>5.8000000000000003E-2</v>
      </c>
      <c r="F21" s="187">
        <v>493446.92200000002</v>
      </c>
      <c r="G21" s="187">
        <v>9375.4915180000007</v>
      </c>
      <c r="H21" s="188">
        <f t="shared" si="1"/>
        <v>1.9E-2</v>
      </c>
      <c r="I21" s="196">
        <v>476033.712</v>
      </c>
      <c r="J21" s="196">
        <v>6954.8525323200001</v>
      </c>
      <c r="K21" s="197">
        <f t="shared" si="2"/>
        <v>1.461E-2</v>
      </c>
      <c r="L21" s="187">
        <v>483546.94500000001</v>
      </c>
      <c r="M21" s="187">
        <v>8375.0330873999992</v>
      </c>
      <c r="N21" s="188">
        <f t="shared" si="3"/>
        <v>1.7319999999999999E-2</v>
      </c>
      <c r="O21" s="196">
        <v>475149.93400000001</v>
      </c>
      <c r="P21" s="196">
        <v>8063.2943799799996</v>
      </c>
      <c r="Q21" s="197">
        <f t="shared" si="4"/>
        <v>1.6969999999999999E-2</v>
      </c>
      <c r="R21" s="187">
        <v>460062.57</v>
      </c>
      <c r="S21" s="187">
        <v>6735.3160248000004</v>
      </c>
      <c r="T21" s="188">
        <f t="shared" si="5"/>
        <v>1.464E-2</v>
      </c>
      <c r="U21" s="196">
        <v>483508.58254999999</v>
      </c>
      <c r="V21" s="196">
        <v>5623.2048150564997</v>
      </c>
      <c r="W21" s="197">
        <f t="shared" si="6"/>
        <v>1.163E-2</v>
      </c>
      <c r="X21" s="187">
        <v>519931.50400000002</v>
      </c>
      <c r="Y21" s="187">
        <v>4649.6658297140721</v>
      </c>
      <c r="Z21" s="188">
        <f t="shared" si="7"/>
        <v>8.9428430359435804E-3</v>
      </c>
      <c r="AA21" s="189">
        <v>495255.77100000001</v>
      </c>
      <c r="AB21" s="189">
        <v>5813.7904264388953</v>
      </c>
      <c r="AC21" s="190">
        <v>1.1738965534313573E-2</v>
      </c>
      <c r="AD21" s="191">
        <f t="shared" si="8"/>
        <v>1.2784361714051432E-2</v>
      </c>
      <c r="AE21" s="192">
        <f t="shared" si="9"/>
        <v>3.5512115872365086</v>
      </c>
      <c r="AF21" s="17">
        <f t="shared" si="10"/>
        <v>1.1870037340028528</v>
      </c>
      <c r="AG21" s="193">
        <f t="shared" si="11"/>
        <v>4.7382153212393616</v>
      </c>
      <c r="AH21" s="176">
        <f t="shared" si="12"/>
        <v>4.8514416067046526E-2</v>
      </c>
      <c r="AI21" s="176">
        <f t="shared" si="13"/>
        <v>1.0238963993378997E-2</v>
      </c>
      <c r="AJ21" s="1">
        <f t="shared" si="14"/>
        <v>3.7526665344215747E-2</v>
      </c>
      <c r="AK21" s="176">
        <f t="shared" si="15"/>
        <v>3.8423417525100848E-4</v>
      </c>
      <c r="AL21" s="137">
        <f t="shared" si="16"/>
        <v>4.8111111111111109</v>
      </c>
      <c r="AM21" s="137">
        <f t="shared" si="17"/>
        <v>4.7138888888888886</v>
      </c>
      <c r="AN21" s="137">
        <f t="shared" si="18"/>
        <v>4.0666666666666664</v>
      </c>
      <c r="AO21" s="137">
        <f t="shared" si="19"/>
        <v>3.2305555555555552</v>
      </c>
      <c r="AP21" s="137">
        <f t="shared" si="20"/>
        <v>2.4841230655398836</v>
      </c>
      <c r="AQ21" s="137">
        <f t="shared" si="23"/>
        <v>3.2608237595315481</v>
      </c>
      <c r="AS21" s="175">
        <f t="shared" si="21"/>
        <v>3.5512115872365078</v>
      </c>
      <c r="AT21" s="176">
        <f t="shared" si="22"/>
        <v>1.3644968553636443E-3</v>
      </c>
      <c r="AU21" s="176"/>
    </row>
    <row r="22" spans="1:47" s="198" customFormat="1" ht="14.45" customHeight="1" x14ac:dyDescent="0.25">
      <c r="A22" s="194" t="s">
        <v>318</v>
      </c>
      <c r="B22" s="195" t="s">
        <v>306</v>
      </c>
      <c r="C22" s="196">
        <v>7254</v>
      </c>
      <c r="D22" s="196">
        <v>420.73200000000003</v>
      </c>
      <c r="E22" s="197">
        <f t="shared" si="0"/>
        <v>5.8000000000000003E-2</v>
      </c>
      <c r="F22" s="187">
        <v>7384</v>
      </c>
      <c r="G22" s="187">
        <v>140.29599999999999</v>
      </c>
      <c r="H22" s="188">
        <f t="shared" si="1"/>
        <v>1.9E-2</v>
      </c>
      <c r="I22" s="196">
        <v>8005</v>
      </c>
      <c r="J22" s="196">
        <v>116.95305</v>
      </c>
      <c r="K22" s="197">
        <f t="shared" si="2"/>
        <v>1.461E-2</v>
      </c>
      <c r="L22" s="187">
        <v>8116</v>
      </c>
      <c r="M22" s="187">
        <v>140.56912</v>
      </c>
      <c r="N22" s="188">
        <f t="shared" si="3"/>
        <v>1.7319999999999999E-2</v>
      </c>
      <c r="O22" s="196">
        <v>8463</v>
      </c>
      <c r="P22" s="196">
        <v>165.64998910849249</v>
      </c>
      <c r="Q22" s="197">
        <f t="shared" si="4"/>
        <v>1.9573436028416932E-2</v>
      </c>
      <c r="R22" s="187">
        <v>8862.51</v>
      </c>
      <c r="S22" s="187">
        <v>129.74714639999999</v>
      </c>
      <c r="T22" s="188">
        <f t="shared" si="5"/>
        <v>1.4639999999999999E-2</v>
      </c>
      <c r="U22" s="196">
        <v>8086</v>
      </c>
      <c r="V22" s="196">
        <v>94.040179999999992</v>
      </c>
      <c r="W22" s="197">
        <f t="shared" si="6"/>
        <v>1.163E-2</v>
      </c>
      <c r="X22" s="187">
        <v>7438</v>
      </c>
      <c r="Y22" s="187">
        <v>66.516866501348346</v>
      </c>
      <c r="Z22" s="188">
        <f t="shared" si="7"/>
        <v>8.9428430359435804E-3</v>
      </c>
      <c r="AA22" s="189">
        <v>7328</v>
      </c>
      <c r="AB22" s="189">
        <v>86.023139435449863</v>
      </c>
      <c r="AC22" s="190">
        <v>1.1738965534313573E-2</v>
      </c>
      <c r="AD22" s="191">
        <f t="shared" si="8"/>
        <v>1.3305048919734816E-2</v>
      </c>
      <c r="AE22" s="192">
        <f t="shared" si="9"/>
        <v>3.6958469221485597</v>
      </c>
      <c r="AF22" s="17">
        <f t="shared" si="10"/>
        <v>1.20239580588015</v>
      </c>
      <c r="AG22" s="193">
        <f t="shared" si="11"/>
        <v>4.89824272802871</v>
      </c>
      <c r="AH22" s="176">
        <f t="shared" si="12"/>
        <v>7.4208257495417967E-4</v>
      </c>
      <c r="AI22" s="176">
        <f t="shared" si="13"/>
        <v>1.5149975535263635E-4</v>
      </c>
      <c r="AJ22" s="1">
        <f t="shared" si="14"/>
        <v>3.8794082405987383E-2</v>
      </c>
      <c r="AK22" s="176">
        <f t="shared" si="15"/>
        <v>5.8772939936371028E-6</v>
      </c>
      <c r="AL22" s="137">
        <f t="shared" si="16"/>
        <v>4.8111111111111109</v>
      </c>
      <c r="AM22" s="137">
        <f t="shared" si="17"/>
        <v>5.4370655634491474</v>
      </c>
      <c r="AN22" s="137">
        <f t="shared" si="18"/>
        <v>4.0666666666666664</v>
      </c>
      <c r="AO22" s="137">
        <f t="shared" si="19"/>
        <v>3.2305555555555552</v>
      </c>
      <c r="AP22" s="137">
        <f t="shared" si="20"/>
        <v>2.4841230655398836</v>
      </c>
      <c r="AQ22" s="137">
        <f t="shared" si="23"/>
        <v>3.2608237595315481</v>
      </c>
      <c r="AS22" s="175">
        <f t="shared" si="21"/>
        <v>3.6958469221485601</v>
      </c>
      <c r="AT22" s="176">
        <f t="shared" si="22"/>
        <v>2.1721578916945907E-5</v>
      </c>
      <c r="AU22" s="176"/>
    </row>
    <row r="23" spans="1:47" ht="14.45" customHeight="1" x14ac:dyDescent="0.25">
      <c r="A23" s="181" t="s">
        <v>319</v>
      </c>
      <c r="B23" s="182" t="s">
        <v>306</v>
      </c>
      <c r="C23" s="183">
        <v>370754.625</v>
      </c>
      <c r="D23" s="183">
        <v>10955.09643147</v>
      </c>
      <c r="E23" s="184">
        <f t="shared" si="0"/>
        <v>2.9548104575822888E-2</v>
      </c>
      <c r="F23" s="185">
        <v>400571.39500000002</v>
      </c>
      <c r="G23" s="185">
        <v>4811.2442440000004</v>
      </c>
      <c r="H23" s="186">
        <f t="shared" si="1"/>
        <v>1.2010953113614116E-2</v>
      </c>
      <c r="I23" s="183">
        <v>404489.52</v>
      </c>
      <c r="J23" s="183">
        <v>5817.6882081599997</v>
      </c>
      <c r="K23" s="184">
        <f t="shared" si="2"/>
        <v>1.4382790951320567E-2</v>
      </c>
      <c r="L23" s="185">
        <v>430980.95606199559</v>
      </c>
      <c r="M23" s="185">
        <v>7051.4870635497928</v>
      </c>
      <c r="N23" s="186">
        <f t="shared" si="3"/>
        <v>1.6361481787922558E-2</v>
      </c>
      <c r="O23" s="183">
        <v>415459.39763085789</v>
      </c>
      <c r="P23" s="183">
        <v>6655.8932963107518</v>
      </c>
      <c r="Q23" s="184">
        <f t="shared" si="4"/>
        <v>1.6020562621198945E-2</v>
      </c>
      <c r="R23" s="185">
        <v>411629.22600000008</v>
      </c>
      <c r="S23" s="185">
        <v>5683.5007460970191</v>
      </c>
      <c r="T23" s="186">
        <f t="shared" si="5"/>
        <v>1.3807330449604709E-2</v>
      </c>
      <c r="U23" s="183">
        <v>415922.49800000002</v>
      </c>
      <c r="V23" s="183">
        <v>4570.6484204154831</v>
      </c>
      <c r="W23" s="184">
        <f t="shared" si="6"/>
        <v>1.0989182942480507E-2</v>
      </c>
      <c r="X23" s="187">
        <v>443821.99499999988</v>
      </c>
      <c r="Y23" s="187">
        <v>3752.1439174664697</v>
      </c>
      <c r="Z23" s="188">
        <f t="shared" si="7"/>
        <v>8.4541639660433467E-3</v>
      </c>
      <c r="AA23" s="189">
        <v>428601.46900000004</v>
      </c>
      <c r="AB23" s="189">
        <v>4724.8487678687661</v>
      </c>
      <c r="AC23" s="190">
        <v>1.1023874413899327E-2</v>
      </c>
      <c r="AD23" s="191">
        <f t="shared" si="8"/>
        <v>1.2059022878645366E-2</v>
      </c>
      <c r="AE23" s="192">
        <f t="shared" si="9"/>
        <v>3.3497285774014904</v>
      </c>
      <c r="AF23" s="17">
        <f t="shared" si="10"/>
        <v>1.1655619406034694</v>
      </c>
      <c r="AG23" s="193">
        <f t="shared" si="11"/>
        <v>4.5152905180049601</v>
      </c>
      <c r="AH23" s="176">
        <f t="shared" si="12"/>
        <v>4.0009748787387986E-2</v>
      </c>
      <c r="AI23" s="176">
        <f t="shared" si="13"/>
        <v>8.8609467381660142E-3</v>
      </c>
      <c r="AJ23" s="1">
        <f t="shared" si="14"/>
        <v>3.5761100902599284E-2</v>
      </c>
      <c r="AK23" s="176">
        <f t="shared" si="15"/>
        <v>3.1687721039611283E-4</v>
      </c>
      <c r="AL23" s="137">
        <f t="shared" si="16"/>
        <v>4.5448560522007106</v>
      </c>
      <c r="AM23" s="137">
        <f t="shared" si="17"/>
        <v>4.4501562836663737</v>
      </c>
      <c r="AN23" s="137">
        <f t="shared" si="18"/>
        <v>3.8353695693346412</v>
      </c>
      <c r="AO23" s="137">
        <f t="shared" si="19"/>
        <v>3.0525508173556961</v>
      </c>
      <c r="AP23" s="137">
        <f t="shared" si="20"/>
        <v>2.3483788794564853</v>
      </c>
      <c r="AQ23" s="137">
        <f t="shared" si="23"/>
        <v>3.0621873371942576</v>
      </c>
      <c r="AS23" s="175">
        <f t="shared" si="21"/>
        <v>3.3497285774014904</v>
      </c>
      <c r="AT23" s="176">
        <f t="shared" si="22"/>
        <v>1.0614526471911239E-3</v>
      </c>
      <c r="AU23" s="176"/>
    </row>
    <row r="24" spans="1:47" ht="14.45" customHeight="1" x14ac:dyDescent="0.25">
      <c r="A24" s="201" t="s">
        <v>320</v>
      </c>
      <c r="B24" s="182" t="s">
        <v>306</v>
      </c>
      <c r="C24" s="183">
        <v>343283.57799999998</v>
      </c>
      <c r="D24" s="183">
        <v>10383.378621560001</v>
      </c>
      <c r="E24" s="184">
        <f t="shared" si="0"/>
        <v>3.0247233736185312E-2</v>
      </c>
      <c r="F24" s="185">
        <v>354512.55099999998</v>
      </c>
      <c r="G24" s="185">
        <v>4389.3422140000002</v>
      </c>
      <c r="H24" s="186">
        <f t="shared" si="1"/>
        <v>1.2381345037343968E-2</v>
      </c>
      <c r="I24" s="183">
        <v>356638.50799999997</v>
      </c>
      <c r="J24" s="183">
        <v>5209.6817646299996</v>
      </c>
      <c r="K24" s="184">
        <f t="shared" si="2"/>
        <v>1.4607737660875364E-2</v>
      </c>
      <c r="L24" s="185">
        <v>355308.86695475562</v>
      </c>
      <c r="M24" s="185">
        <v>6144.880988347797</v>
      </c>
      <c r="N24" s="186">
        <f t="shared" si="3"/>
        <v>1.7294476889962544E-2</v>
      </c>
      <c r="O24" s="183">
        <v>327399.41364251269</v>
      </c>
      <c r="P24" s="183">
        <v>5548.3489053541998</v>
      </c>
      <c r="Q24" s="184">
        <f t="shared" si="4"/>
        <v>1.6946728290150329E-2</v>
      </c>
      <c r="R24" s="185">
        <v>332800.10500000004</v>
      </c>
      <c r="S24" s="185">
        <v>4861.6117115925927</v>
      </c>
      <c r="T24" s="186">
        <f t="shared" si="5"/>
        <v>1.4608203659048101E-2</v>
      </c>
      <c r="U24" s="183">
        <v>339880.73099999997</v>
      </c>
      <c r="V24" s="183">
        <v>3952.8129015299996</v>
      </c>
      <c r="W24" s="184">
        <f t="shared" si="6"/>
        <v>1.163E-2</v>
      </c>
      <c r="X24" s="187">
        <v>352570.071</v>
      </c>
      <c r="Y24" s="187">
        <v>3152.9788041244838</v>
      </c>
      <c r="Z24" s="188">
        <f t="shared" si="7"/>
        <v>8.9428430359435804E-3</v>
      </c>
      <c r="AA24" s="189">
        <v>346040.89999999997</v>
      </c>
      <c r="AB24" s="189">
        <v>4062.1621985628494</v>
      </c>
      <c r="AC24" s="190">
        <v>1.1738965534313573E-2</v>
      </c>
      <c r="AD24" s="191">
        <f t="shared" si="8"/>
        <v>1.2773348103891117E-2</v>
      </c>
      <c r="AE24" s="192">
        <f t="shared" si="9"/>
        <v>3.5481522510808654</v>
      </c>
      <c r="AF24" s="17">
        <f t="shared" si="10"/>
        <v>1.186678159882026</v>
      </c>
      <c r="AG24" s="193">
        <f t="shared" si="11"/>
        <v>4.7348304109628909</v>
      </c>
      <c r="AH24" s="176">
        <f t="shared" si="12"/>
        <v>3.387336423818732E-2</v>
      </c>
      <c r="AI24" s="176">
        <f t="shared" si="13"/>
        <v>7.1540818356995214E-3</v>
      </c>
      <c r="AJ24" s="1">
        <f t="shared" si="14"/>
        <v>3.7499856854826097E-2</v>
      </c>
      <c r="AK24" s="176">
        <f t="shared" si="15"/>
        <v>2.6827704476644357E-4</v>
      </c>
      <c r="AL24" s="137">
        <f t="shared" si="16"/>
        <v>4.8040213583229292</v>
      </c>
      <c r="AM24" s="137">
        <f t="shared" si="17"/>
        <v>4.7074245250417581</v>
      </c>
      <c r="AN24" s="137">
        <f t="shared" si="18"/>
        <v>4.0578343497355833</v>
      </c>
      <c r="AO24" s="137">
        <f t="shared" si="19"/>
        <v>3.2305555555555552</v>
      </c>
      <c r="AP24" s="137">
        <f t="shared" si="20"/>
        <v>2.4841230655398836</v>
      </c>
      <c r="AQ24" s="137">
        <f t="shared" si="23"/>
        <v>3.2608237595315481</v>
      </c>
      <c r="AS24" s="175">
        <f t="shared" si="21"/>
        <v>3.5481522510808654</v>
      </c>
      <c r="AT24" s="176">
        <f t="shared" si="22"/>
        <v>9.5188780030137888E-4</v>
      </c>
      <c r="AU24" s="176"/>
    </row>
    <row r="25" spans="1:47" ht="14.45" customHeight="1" x14ac:dyDescent="0.25">
      <c r="A25" s="201" t="s">
        <v>321</v>
      </c>
      <c r="B25" s="182" t="s">
        <v>306</v>
      </c>
      <c r="C25" s="183">
        <v>149079.03999999998</v>
      </c>
      <c r="D25" s="183">
        <v>4363.0568726700003</v>
      </c>
      <c r="E25" s="184">
        <f t="shared" si="0"/>
        <v>2.9266735770970897E-2</v>
      </c>
      <c r="F25" s="185">
        <v>159840.565</v>
      </c>
      <c r="G25" s="185">
        <v>1938.149236</v>
      </c>
      <c r="H25" s="186">
        <f t="shared" si="1"/>
        <v>1.2125515422195862E-2</v>
      </c>
      <c r="I25" s="183">
        <v>158542.46600000001</v>
      </c>
      <c r="J25" s="183">
        <v>2315.3057097899996</v>
      </c>
      <c r="K25" s="184">
        <f t="shared" si="2"/>
        <v>1.4603694317395059E-2</v>
      </c>
      <c r="L25" s="185">
        <v>162195.426212939</v>
      </c>
      <c r="M25" s="185">
        <v>2799.3932303659508</v>
      </c>
      <c r="N25" s="186">
        <f t="shared" si="3"/>
        <v>1.7259384532155392E-2</v>
      </c>
      <c r="O25" s="183">
        <v>150837.24299999999</v>
      </c>
      <c r="P25" s="183">
        <v>2559.7080137099997</v>
      </c>
      <c r="Q25" s="184">
        <f t="shared" si="4"/>
        <v>1.6969999999999999E-2</v>
      </c>
      <c r="R25" s="185">
        <v>154085.215</v>
      </c>
      <c r="S25" s="185">
        <v>2255.8075475999999</v>
      </c>
      <c r="T25" s="186">
        <f t="shared" si="5"/>
        <v>1.464E-2</v>
      </c>
      <c r="U25" s="183">
        <v>155894.69099999999</v>
      </c>
      <c r="V25" s="183">
        <v>1813.0552563299998</v>
      </c>
      <c r="W25" s="184">
        <f t="shared" si="6"/>
        <v>1.163E-2</v>
      </c>
      <c r="X25" s="187">
        <v>167909.61800000002</v>
      </c>
      <c r="Y25" s="187">
        <v>1501.5893579992471</v>
      </c>
      <c r="Z25" s="188">
        <f t="shared" si="7"/>
        <v>8.9428430359435804E-3</v>
      </c>
      <c r="AA25" s="189">
        <v>161025.247</v>
      </c>
      <c r="AB25" s="189">
        <v>1890.2698246873301</v>
      </c>
      <c r="AC25" s="190">
        <v>1.1738965534313573E-2</v>
      </c>
      <c r="AD25" s="191">
        <f t="shared" si="8"/>
        <v>1.2784361714051432E-2</v>
      </c>
      <c r="AE25" s="192">
        <f t="shared" si="9"/>
        <v>3.5512115872365086</v>
      </c>
      <c r="AF25" s="17">
        <f t="shared" si="10"/>
        <v>1.1870037340028528</v>
      </c>
      <c r="AG25" s="193">
        <f t="shared" si="11"/>
        <v>4.7382153212393616</v>
      </c>
      <c r="AH25" s="176">
        <f t="shared" si="12"/>
        <v>1.5773760322839194E-2</v>
      </c>
      <c r="AI25" s="176">
        <f t="shared" si="13"/>
        <v>3.3290509724478493E-3</v>
      </c>
      <c r="AJ25" s="1">
        <f t="shared" si="14"/>
        <v>3.7526665344215747E-2</v>
      </c>
      <c r="AK25" s="176">
        <f t="shared" si="15"/>
        <v>1.2492818175688643E-4</v>
      </c>
      <c r="AL25" s="137">
        <f t="shared" si="16"/>
        <v>4.7942734811542751</v>
      </c>
      <c r="AM25" s="137">
        <f t="shared" si="17"/>
        <v>4.7138888888888886</v>
      </c>
      <c r="AN25" s="137">
        <f t="shared" si="18"/>
        <v>4.0666666666666664</v>
      </c>
      <c r="AO25" s="137">
        <f t="shared" si="19"/>
        <v>3.2305555555555552</v>
      </c>
      <c r="AP25" s="137">
        <f t="shared" si="20"/>
        <v>2.4841230655398836</v>
      </c>
      <c r="AQ25" s="137">
        <f t="shared" si="23"/>
        <v>3.2608237595315481</v>
      </c>
      <c r="AS25" s="175">
        <f t="shared" si="21"/>
        <v>3.5512115872365078</v>
      </c>
      <c r="AT25" s="176">
        <f t="shared" si="22"/>
        <v>4.4364640662744359E-4</v>
      </c>
      <c r="AU25" s="176"/>
    </row>
    <row r="26" spans="1:47" s="198" customFormat="1" ht="14.45" customHeight="1" x14ac:dyDescent="0.25">
      <c r="A26" s="194" t="s">
        <v>322</v>
      </c>
      <c r="B26" s="195" t="s">
        <v>306</v>
      </c>
      <c r="C26" s="196">
        <v>15524.75</v>
      </c>
      <c r="D26" s="196">
        <v>900.43550000000005</v>
      </c>
      <c r="E26" s="197">
        <f t="shared" si="0"/>
        <v>5.8000000000000003E-2</v>
      </c>
      <c r="F26" s="187">
        <v>16879.219000000001</v>
      </c>
      <c r="G26" s="187">
        <v>320.70516100000003</v>
      </c>
      <c r="H26" s="188">
        <f t="shared" si="1"/>
        <v>1.9E-2</v>
      </c>
      <c r="I26" s="196">
        <v>16485.560000000001</v>
      </c>
      <c r="J26" s="196">
        <v>240.85403160000001</v>
      </c>
      <c r="K26" s="197">
        <f t="shared" si="2"/>
        <v>1.461E-2</v>
      </c>
      <c r="L26" s="187">
        <v>16846.814999999999</v>
      </c>
      <c r="M26" s="187">
        <v>291.78683579999995</v>
      </c>
      <c r="N26" s="188">
        <f t="shared" si="3"/>
        <v>1.7319999999999999E-2</v>
      </c>
      <c r="O26" s="196">
        <v>16066.906999999999</v>
      </c>
      <c r="P26" s="196">
        <v>272.65541178999996</v>
      </c>
      <c r="Q26" s="197">
        <f t="shared" si="4"/>
        <v>1.6969999999999999E-2</v>
      </c>
      <c r="R26" s="187">
        <v>15881.7</v>
      </c>
      <c r="S26" s="187">
        <v>232.50808800000001</v>
      </c>
      <c r="T26" s="188">
        <f t="shared" si="5"/>
        <v>1.464E-2</v>
      </c>
      <c r="U26" s="196">
        <v>16233.08</v>
      </c>
      <c r="V26" s="196">
        <v>188.7907204</v>
      </c>
      <c r="W26" s="197">
        <f t="shared" si="6"/>
        <v>1.163E-2</v>
      </c>
      <c r="X26" s="187">
        <v>16819.8</v>
      </c>
      <c r="Y26" s="187">
        <v>150.41683129596382</v>
      </c>
      <c r="Z26" s="188">
        <f t="shared" si="7"/>
        <v>8.9428430359435804E-3</v>
      </c>
      <c r="AA26" s="189">
        <v>16434.5</v>
      </c>
      <c r="AB26" s="189">
        <v>192.92402907367642</v>
      </c>
      <c r="AC26" s="190">
        <v>1.1738965534313573E-2</v>
      </c>
      <c r="AD26" s="191">
        <f t="shared" si="8"/>
        <v>1.2784361714051432E-2</v>
      </c>
      <c r="AE26" s="192">
        <f t="shared" si="9"/>
        <v>3.5512115872365086</v>
      </c>
      <c r="AF26" s="17">
        <f t="shared" si="10"/>
        <v>1.1870037340028528</v>
      </c>
      <c r="AG26" s="193">
        <f t="shared" si="11"/>
        <v>4.7382153212393616</v>
      </c>
      <c r="AH26" s="176">
        <f t="shared" si="12"/>
        <v>1.6098957701067881E-3</v>
      </c>
      <c r="AI26" s="176">
        <f t="shared" si="13"/>
        <v>3.3976838555443533E-4</v>
      </c>
      <c r="AJ26" s="1">
        <f t="shared" si="14"/>
        <v>3.7526665344215747E-2</v>
      </c>
      <c r="AK26" s="176">
        <f t="shared" si="15"/>
        <v>1.2750374499245762E-5</v>
      </c>
      <c r="AL26" s="137">
        <f t="shared" si="16"/>
        <v>4.8111111111111109</v>
      </c>
      <c r="AM26" s="137">
        <f t="shared" si="17"/>
        <v>4.7138888888888886</v>
      </c>
      <c r="AN26" s="137">
        <f t="shared" si="18"/>
        <v>4.0666666666666664</v>
      </c>
      <c r="AO26" s="137">
        <f t="shared" si="19"/>
        <v>3.2305555555555552</v>
      </c>
      <c r="AP26" s="137">
        <f t="shared" si="20"/>
        <v>2.4841230655398836</v>
      </c>
      <c r="AQ26" s="137">
        <f t="shared" si="23"/>
        <v>3.2608237595315481</v>
      </c>
      <c r="AS26" s="175">
        <f t="shared" si="21"/>
        <v>3.5512115872365078</v>
      </c>
      <c r="AT26" s="176">
        <f t="shared" si="22"/>
        <v>4.5279277663326438E-5</v>
      </c>
      <c r="AU26" s="176"/>
    </row>
    <row r="27" spans="1:47" s="198" customFormat="1" ht="14.45" customHeight="1" x14ac:dyDescent="0.25">
      <c r="A27" s="200" t="s">
        <v>323</v>
      </c>
      <c r="B27" s="195" t="s">
        <v>306</v>
      </c>
      <c r="C27" s="196">
        <v>433121.16700000002</v>
      </c>
      <c r="D27" s="196">
        <v>24166.076588064105</v>
      </c>
      <c r="E27" s="197">
        <f t="shared" si="0"/>
        <v>5.5795187188494307E-2</v>
      </c>
      <c r="F27" s="187">
        <v>467266.91700000002</v>
      </c>
      <c r="G27" s="187">
        <v>14142</v>
      </c>
      <c r="H27" s="188">
        <f t="shared" si="1"/>
        <v>3.0265356877384065E-2</v>
      </c>
      <c r="I27" s="196">
        <v>426260.95</v>
      </c>
      <c r="J27" s="196">
        <v>6126.7196338414587</v>
      </c>
      <c r="K27" s="197">
        <f t="shared" si="2"/>
        <v>1.4373166563443025E-2</v>
      </c>
      <c r="L27" s="187">
        <v>421699.95</v>
      </c>
      <c r="M27" s="187">
        <v>7341.7419876771582</v>
      </c>
      <c r="N27" s="188">
        <f t="shared" si="3"/>
        <v>1.7409871610554278E-2</v>
      </c>
      <c r="O27" s="196">
        <v>544038.16</v>
      </c>
      <c r="P27" s="196">
        <v>66251.13500195439</v>
      </c>
      <c r="Q27" s="197">
        <f t="shared" si="4"/>
        <v>0.12177663236335184</v>
      </c>
      <c r="R27" s="187">
        <v>585234</v>
      </c>
      <c r="S27" s="187">
        <v>82302</v>
      </c>
      <c r="T27" s="188">
        <f t="shared" si="5"/>
        <v>0.14063092711633296</v>
      </c>
      <c r="U27" s="196">
        <v>596239.09</v>
      </c>
      <c r="V27" s="196">
        <v>64588</v>
      </c>
      <c r="W27" s="197">
        <f t="shared" si="6"/>
        <v>0.10832567183745032</v>
      </c>
      <c r="X27" s="187">
        <v>620333.23384999996</v>
      </c>
      <c r="Y27" s="187">
        <v>59177</v>
      </c>
      <c r="Z27" s="188">
        <f t="shared" si="7"/>
        <v>9.5395501596339319E-2</v>
      </c>
      <c r="AA27" s="189">
        <v>624036.69293200003</v>
      </c>
      <c r="AB27" s="189">
        <v>74546.039546327724</v>
      </c>
      <c r="AC27" s="190">
        <v>0.11945778251608491</v>
      </c>
      <c r="AD27" s="191">
        <f t="shared" si="8"/>
        <v>0.11711730308591187</v>
      </c>
      <c r="AE27" s="192">
        <f t="shared" si="9"/>
        <v>32.532584190531075</v>
      </c>
      <c r="AF27" s="17">
        <f t="shared" si="10"/>
        <v>4.2711973059532946</v>
      </c>
      <c r="AG27" s="193">
        <f t="shared" si="11"/>
        <v>36.803781496484369</v>
      </c>
      <c r="AH27" s="176">
        <f t="shared" si="12"/>
        <v>0.47482004096798414</v>
      </c>
      <c r="AI27" s="176">
        <f t="shared" si="13"/>
        <v>1.29013927825145E-2</v>
      </c>
      <c r="AJ27" s="1">
        <f t="shared" si="14"/>
        <v>0.29148594945215622</v>
      </c>
      <c r="AK27" s="176">
        <f t="shared" si="15"/>
        <v>3.7605747244664348E-3</v>
      </c>
      <c r="AL27" s="137">
        <f t="shared" si="16"/>
        <v>4.8360754473761878</v>
      </c>
      <c r="AM27" s="137">
        <f t="shared" si="17"/>
        <v>33.826842323153286</v>
      </c>
      <c r="AN27" s="137">
        <f t="shared" si="18"/>
        <v>39.064146421203596</v>
      </c>
      <c r="AO27" s="137">
        <f t="shared" si="19"/>
        <v>30.090464399291754</v>
      </c>
      <c r="AP27" s="137">
        <f t="shared" si="20"/>
        <v>26.498750443427589</v>
      </c>
      <c r="AQ27" s="137">
        <f t="shared" si="23"/>
        <v>33.182717365579144</v>
      </c>
      <c r="AS27" s="175">
        <f t="shared" si="21"/>
        <v>32.532584190531075</v>
      </c>
      <c r="AT27" s="176">
        <f t="shared" si="22"/>
        <v>0.12234121382848749</v>
      </c>
      <c r="AU27" s="176"/>
    </row>
    <row r="28" spans="1:47" s="198" customFormat="1" ht="14.45" customHeight="1" x14ac:dyDescent="0.25">
      <c r="A28" s="200" t="s">
        <v>9</v>
      </c>
      <c r="B28" s="195" t="s">
        <v>306</v>
      </c>
      <c r="C28" s="196">
        <v>2470581</v>
      </c>
      <c r="D28" s="196">
        <v>72744.072200374474</v>
      </c>
      <c r="E28" s="197">
        <f t="shared" si="0"/>
        <v>2.9444115453156353E-2</v>
      </c>
      <c r="F28" s="187">
        <v>2497185</v>
      </c>
      <c r="G28" s="187">
        <v>35598</v>
      </c>
      <c r="H28" s="188">
        <f t="shared" si="1"/>
        <v>1.4255251413091141E-2</v>
      </c>
      <c r="I28" s="196">
        <v>2463368</v>
      </c>
      <c r="J28" s="196">
        <v>31175.387790000001</v>
      </c>
      <c r="K28" s="197">
        <f t="shared" si="2"/>
        <v>1.2655595018689859E-2</v>
      </c>
      <c r="L28" s="187">
        <v>2498475</v>
      </c>
      <c r="M28" s="187">
        <v>50224.332060062276</v>
      </c>
      <c r="N28" s="188">
        <f t="shared" si="3"/>
        <v>2.010199504099992E-2</v>
      </c>
      <c r="O28" s="196">
        <v>2411839</v>
      </c>
      <c r="P28" s="196">
        <v>34136.088349999998</v>
      </c>
      <c r="Q28" s="197">
        <f t="shared" si="4"/>
        <v>1.4153551854000204E-2</v>
      </c>
      <c r="R28" s="187">
        <v>2377811</v>
      </c>
      <c r="S28" s="187">
        <v>30174.0648</v>
      </c>
      <c r="T28" s="188">
        <f t="shared" si="5"/>
        <v>1.268984995022733E-2</v>
      </c>
      <c r="U28" s="196">
        <v>2370939.078370437</v>
      </c>
      <c r="V28" s="196">
        <v>23298.669750000001</v>
      </c>
      <c r="W28" s="197">
        <f t="shared" si="6"/>
        <v>9.8267686262159624E-3</v>
      </c>
      <c r="X28" s="187">
        <v>2528227.3499999996</v>
      </c>
      <c r="Y28" s="187">
        <v>42278</v>
      </c>
      <c r="Z28" s="188">
        <f t="shared" si="7"/>
        <v>1.6722388514624684E-2</v>
      </c>
      <c r="AA28" s="189">
        <v>2412078.8900692808</v>
      </c>
      <c r="AB28" s="189">
        <v>35357.629153437694</v>
      </c>
      <c r="AC28" s="190">
        <v>1.4658570786804629E-2</v>
      </c>
      <c r="AD28" s="191">
        <f t="shared" si="8"/>
        <v>1.3610225946374562E-2</v>
      </c>
      <c r="AE28" s="192">
        <f t="shared" si="9"/>
        <v>3.7806183184373783</v>
      </c>
      <c r="AF28" s="17">
        <f t="shared" si="10"/>
        <v>1.2114171658791417</v>
      </c>
      <c r="AG28" s="193">
        <f t="shared" si="11"/>
        <v>4.9920354843165198</v>
      </c>
      <c r="AH28" s="176">
        <f t="shared" si="12"/>
        <v>0.24894054869009508</v>
      </c>
      <c r="AI28" s="176">
        <f t="shared" si="13"/>
        <v>4.9867543905124816E-2</v>
      </c>
      <c r="AJ28" s="1">
        <f t="shared" si="14"/>
        <v>3.9536921035786841E-2</v>
      </c>
      <c r="AK28" s="176">
        <f t="shared" si="15"/>
        <v>1.9716091456255533E-3</v>
      </c>
      <c r="AL28" s="137">
        <f t="shared" si="16"/>
        <v>5.5838875113888662</v>
      </c>
      <c r="AM28" s="137">
        <f t="shared" si="17"/>
        <v>3.9315421816667233</v>
      </c>
      <c r="AN28" s="137">
        <f t="shared" si="18"/>
        <v>3.5249583195075918</v>
      </c>
      <c r="AO28" s="137">
        <f t="shared" si="19"/>
        <v>2.7296579517266562</v>
      </c>
      <c r="AP28" s="137">
        <f t="shared" si="20"/>
        <v>4.6451079207290791</v>
      </c>
      <c r="AQ28" s="137">
        <f t="shared" si="23"/>
        <v>4.0718252185568415</v>
      </c>
      <c r="AS28" s="175">
        <f t="shared" si="21"/>
        <v>3.7806183184373787</v>
      </c>
      <c r="AT28" s="176">
        <f t="shared" si="22"/>
        <v>7.4539016527506363E-3</v>
      </c>
      <c r="AU28" s="176"/>
    </row>
    <row r="29" spans="1:47" s="198" customFormat="1" ht="14.45" customHeight="1" x14ac:dyDescent="0.25">
      <c r="A29" s="194" t="s">
        <v>324</v>
      </c>
      <c r="B29" s="195" t="s">
        <v>306</v>
      </c>
      <c r="C29" s="196">
        <v>234085</v>
      </c>
      <c r="D29" s="196">
        <v>12122.87</v>
      </c>
      <c r="E29" s="197">
        <f t="shared" si="0"/>
        <v>5.1788324753828739E-2</v>
      </c>
      <c r="F29" s="187">
        <v>244710</v>
      </c>
      <c r="G29" s="187">
        <v>4165.0659999999998</v>
      </c>
      <c r="H29" s="188">
        <f t="shared" si="1"/>
        <v>1.7020416002615339E-2</v>
      </c>
      <c r="I29" s="196">
        <v>240507</v>
      </c>
      <c r="J29" s="196">
        <v>3154.6642499999998</v>
      </c>
      <c r="K29" s="197">
        <f t="shared" si="2"/>
        <v>1.3116725292818919E-2</v>
      </c>
      <c r="L29" s="187">
        <v>254131.505</v>
      </c>
      <c r="M29" s="187">
        <v>3995.5075865999997</v>
      </c>
      <c r="N29" s="188">
        <f t="shared" si="3"/>
        <v>1.5722204874204792E-2</v>
      </c>
      <c r="O29" s="196">
        <v>256476.505</v>
      </c>
      <c r="P29" s="196">
        <v>3914.7669598499997</v>
      </c>
      <c r="Q29" s="197">
        <f t="shared" si="4"/>
        <v>1.5263647482446782E-2</v>
      </c>
      <c r="R29" s="187">
        <v>246387</v>
      </c>
      <c r="S29" s="187">
        <v>3228.5592000000001</v>
      </c>
      <c r="T29" s="188">
        <f t="shared" si="5"/>
        <v>1.3103610174238089E-2</v>
      </c>
      <c r="U29" s="196">
        <v>245219</v>
      </c>
      <c r="V29" s="196">
        <v>2553.9</v>
      </c>
      <c r="W29" s="197">
        <f t="shared" si="6"/>
        <v>1.0414772101672383E-2</v>
      </c>
      <c r="X29" s="187">
        <v>254434</v>
      </c>
      <c r="Y29" s="187">
        <v>2046.2387435833584</v>
      </c>
      <c r="Z29" s="188">
        <f t="shared" si="7"/>
        <v>8.042316449780134E-3</v>
      </c>
      <c r="AA29" s="189">
        <v>256361.78200000001</v>
      </c>
      <c r="AB29" s="189">
        <v>2706.9207203594833</v>
      </c>
      <c r="AC29" s="190">
        <v>1.0558986988003864E-2</v>
      </c>
      <c r="AD29" s="191">
        <f t="shared" si="8"/>
        <v>1.147666663922825E-2</v>
      </c>
      <c r="AE29" s="192">
        <f t="shared" si="9"/>
        <v>3.1879629553411806</v>
      </c>
      <c r="AF29" s="17">
        <f t="shared" si="10"/>
        <v>1.1483468659915699</v>
      </c>
      <c r="AG29" s="193">
        <f t="shared" si="11"/>
        <v>4.3363098213327502</v>
      </c>
      <c r="AH29" s="176">
        <f t="shared" si="12"/>
        <v>2.2982647539451655E-2</v>
      </c>
      <c r="AI29" s="176">
        <f t="shared" si="13"/>
        <v>5.3000473873861757E-3</v>
      </c>
      <c r="AJ29" s="1">
        <f t="shared" si="14"/>
        <v>3.4343573784955388E-2</v>
      </c>
      <c r="AK29" s="176">
        <f t="shared" si="15"/>
        <v>1.8202256851245716E-4</v>
      </c>
      <c r="AL29" s="137">
        <f t="shared" si="16"/>
        <v>4.3672791317235529</v>
      </c>
      <c r="AM29" s="137">
        <f t="shared" si="17"/>
        <v>4.2399020784574395</v>
      </c>
      <c r="AN29" s="137">
        <f t="shared" si="18"/>
        <v>3.6398917150661356</v>
      </c>
      <c r="AO29" s="137">
        <f t="shared" si="19"/>
        <v>2.8929922504645509</v>
      </c>
      <c r="AP29" s="137">
        <f t="shared" si="20"/>
        <v>2.2339767916055928</v>
      </c>
      <c r="AQ29" s="137">
        <f t="shared" si="23"/>
        <v>2.9330519411121845</v>
      </c>
      <c r="AS29" s="175">
        <f t="shared" si="21"/>
        <v>3.1879629553411806</v>
      </c>
      <c r="AT29" s="176">
        <f t="shared" si="22"/>
        <v>5.8028120545376542E-4</v>
      </c>
      <c r="AU29" s="176"/>
    </row>
    <row r="30" spans="1:47" s="198" customFormat="1" ht="14.45" customHeight="1" x14ac:dyDescent="0.25">
      <c r="A30" s="194" t="s">
        <v>325</v>
      </c>
      <c r="B30" s="195" t="s">
        <v>306</v>
      </c>
      <c r="C30" s="196">
        <v>67581</v>
      </c>
      <c r="D30" s="196">
        <v>3919.6980000000003</v>
      </c>
      <c r="E30" s="197">
        <f t="shared" si="0"/>
        <v>5.8000000000000003E-2</v>
      </c>
      <c r="F30" s="187">
        <v>63153</v>
      </c>
      <c r="G30" s="187">
        <v>1199.9069999999999</v>
      </c>
      <c r="H30" s="188">
        <f t="shared" si="1"/>
        <v>1.9E-2</v>
      </c>
      <c r="I30" s="196">
        <v>91286</v>
      </c>
      <c r="J30" s="196">
        <v>1333.6884600000001</v>
      </c>
      <c r="K30" s="197">
        <f t="shared" si="2"/>
        <v>1.4610000000000001E-2</v>
      </c>
      <c r="L30" s="187">
        <v>85747</v>
      </c>
      <c r="M30" s="187">
        <v>1485.1380399999998</v>
      </c>
      <c r="N30" s="188">
        <f t="shared" si="3"/>
        <v>1.7319999999999999E-2</v>
      </c>
      <c r="O30" s="196">
        <v>96186.923999999999</v>
      </c>
      <c r="P30" s="196">
        <v>1632.2921002799999</v>
      </c>
      <c r="Q30" s="197">
        <f t="shared" si="4"/>
        <v>1.6969999999999999E-2</v>
      </c>
      <c r="R30" s="187">
        <v>106333</v>
      </c>
      <c r="S30" s="187">
        <v>1556.7151200000001</v>
      </c>
      <c r="T30" s="188">
        <f t="shared" si="5"/>
        <v>1.464E-2</v>
      </c>
      <c r="U30" s="196">
        <v>107199</v>
      </c>
      <c r="V30" s="196">
        <v>1246.7243699999999</v>
      </c>
      <c r="W30" s="197">
        <f t="shared" si="6"/>
        <v>1.163E-2</v>
      </c>
      <c r="X30" s="187">
        <v>103134</v>
      </c>
      <c r="Y30" s="187">
        <v>922.31117366900526</v>
      </c>
      <c r="Z30" s="188">
        <f t="shared" si="7"/>
        <v>8.9428430359435804E-3</v>
      </c>
      <c r="AA30" s="189">
        <v>111277</v>
      </c>
      <c r="AB30" s="189">
        <v>1306.2768677618114</v>
      </c>
      <c r="AC30" s="190">
        <v>1.1738965534313573E-2</v>
      </c>
      <c r="AD30" s="191">
        <f t="shared" si="8"/>
        <v>1.2784361714051432E-2</v>
      </c>
      <c r="AE30" s="192">
        <f t="shared" si="9"/>
        <v>3.5512115872365086</v>
      </c>
      <c r="AF30" s="17">
        <f t="shared" si="10"/>
        <v>1.1870037340028528</v>
      </c>
      <c r="AG30" s="193">
        <f t="shared" si="11"/>
        <v>4.7382153212393616</v>
      </c>
      <c r="AH30" s="176">
        <f t="shared" si="12"/>
        <v>1.0900506350066815E-2</v>
      </c>
      <c r="AI30" s="176">
        <f t="shared" si="13"/>
        <v>2.3005510748328761E-3</v>
      </c>
      <c r="AJ30" s="1">
        <f t="shared" si="14"/>
        <v>3.7526665344215747E-2</v>
      </c>
      <c r="AK30" s="176">
        <f t="shared" si="15"/>
        <v>8.6332010292529185E-5</v>
      </c>
      <c r="AL30" s="137">
        <f t="shared" si="16"/>
        <v>4.8111111111111109</v>
      </c>
      <c r="AM30" s="137">
        <f t="shared" si="17"/>
        <v>4.7138888888888886</v>
      </c>
      <c r="AN30" s="137">
        <f t="shared" si="18"/>
        <v>4.0666666666666664</v>
      </c>
      <c r="AO30" s="137">
        <f t="shared" si="19"/>
        <v>3.2305555555555552</v>
      </c>
      <c r="AP30" s="137">
        <f t="shared" si="20"/>
        <v>2.4841230655398836</v>
      </c>
      <c r="AQ30" s="137">
        <f t="shared" si="23"/>
        <v>3.2608237595315481</v>
      </c>
      <c r="AS30" s="175">
        <f t="shared" si="21"/>
        <v>3.5512115872365078</v>
      </c>
      <c r="AT30" s="176">
        <f t="shared" si="22"/>
        <v>3.065832353002511E-4</v>
      </c>
      <c r="AU30" s="176"/>
    </row>
    <row r="31" spans="1:47" s="198" customFormat="1" ht="14.45" customHeight="1" x14ac:dyDescent="0.25">
      <c r="A31" s="200" t="s">
        <v>326</v>
      </c>
      <c r="B31" s="195" t="s">
        <v>306</v>
      </c>
      <c r="C31" s="196">
        <v>108527.33500000001</v>
      </c>
      <c r="D31" s="196">
        <v>6294.585430000001</v>
      </c>
      <c r="E31" s="197">
        <f t="shared" si="0"/>
        <v>5.8000000000000003E-2</v>
      </c>
      <c r="F31" s="187">
        <v>109376.92200000001</v>
      </c>
      <c r="G31" s="187">
        <v>2078.1615179999999</v>
      </c>
      <c r="H31" s="188">
        <f t="shared" si="1"/>
        <v>1.9E-2</v>
      </c>
      <c r="I31" s="196">
        <v>106436.933</v>
      </c>
      <c r="J31" s="196">
        <v>1555.0435911300001</v>
      </c>
      <c r="K31" s="197">
        <f t="shared" si="2"/>
        <v>1.461E-2</v>
      </c>
      <c r="L31" s="187">
        <v>111145.932</v>
      </c>
      <c r="M31" s="187">
        <v>1925.0475422399998</v>
      </c>
      <c r="N31" s="188">
        <f t="shared" si="3"/>
        <v>1.7319999999999999E-2</v>
      </c>
      <c r="O31" s="196">
        <v>109337.37300000001</v>
      </c>
      <c r="P31" s="196">
        <v>1855.45521981</v>
      </c>
      <c r="Q31" s="197">
        <f t="shared" si="4"/>
        <v>1.6969999999999999E-2</v>
      </c>
      <c r="R31" s="187">
        <v>107853.98</v>
      </c>
      <c r="S31" s="187">
        <v>1578.9822672</v>
      </c>
      <c r="T31" s="188">
        <f t="shared" si="5"/>
        <v>1.464E-2</v>
      </c>
      <c r="U31" s="196">
        <v>106700.985</v>
      </c>
      <c r="V31" s="196">
        <v>1240.93245555</v>
      </c>
      <c r="W31" s="197">
        <f t="shared" si="6"/>
        <v>1.163E-2</v>
      </c>
      <c r="X31" s="187">
        <v>113360.984</v>
      </c>
      <c r="Y31" s="187">
        <v>1013.7694863121117</v>
      </c>
      <c r="Z31" s="188">
        <f t="shared" si="7"/>
        <v>8.9428430359435804E-3</v>
      </c>
      <c r="AA31" s="189">
        <v>108142.802</v>
      </c>
      <c r="AB31" s="189">
        <v>1269.4846254620968</v>
      </c>
      <c r="AC31" s="190">
        <v>1.1738965534313573E-2</v>
      </c>
      <c r="AD31" s="191">
        <f t="shared" si="8"/>
        <v>1.2784361714051432E-2</v>
      </c>
      <c r="AE31" s="192">
        <f t="shared" si="9"/>
        <v>3.5512115872365086</v>
      </c>
      <c r="AF31" s="17">
        <f t="shared" si="10"/>
        <v>1.1870037340028528</v>
      </c>
      <c r="AG31" s="193">
        <f t="shared" si="11"/>
        <v>4.7382153212393616</v>
      </c>
      <c r="AH31" s="176">
        <f t="shared" si="12"/>
        <v>1.0593485625196745E-2</v>
      </c>
      <c r="AI31" s="176">
        <f t="shared" si="13"/>
        <v>2.2357543731097969E-3</v>
      </c>
      <c r="AJ31" s="1">
        <f t="shared" si="14"/>
        <v>3.7526665344215747E-2</v>
      </c>
      <c r="AK31" s="176">
        <f t="shared" si="15"/>
        <v>8.390040615155822E-5</v>
      </c>
      <c r="AL31" s="137">
        <f t="shared" si="16"/>
        <v>4.8111111111111109</v>
      </c>
      <c r="AM31" s="137">
        <f t="shared" si="17"/>
        <v>4.7138888888888886</v>
      </c>
      <c r="AN31" s="137">
        <f t="shared" si="18"/>
        <v>4.0666666666666664</v>
      </c>
      <c r="AO31" s="137">
        <f t="shared" si="19"/>
        <v>3.2305555555555552</v>
      </c>
      <c r="AP31" s="137">
        <f t="shared" si="20"/>
        <v>2.4841230655398836</v>
      </c>
      <c r="AQ31" s="137">
        <f t="shared" si="23"/>
        <v>3.2608237595315481</v>
      </c>
      <c r="AS31" s="175">
        <f t="shared" si="21"/>
        <v>3.5512115872365078</v>
      </c>
      <c r="AT31" s="176">
        <f t="shared" si="22"/>
        <v>2.9794809449926272E-4</v>
      </c>
      <c r="AU31" s="176"/>
    </row>
    <row r="32" spans="1:47" s="198" customFormat="1" ht="14.45" customHeight="1" x14ac:dyDescent="0.25">
      <c r="A32" s="194" t="s">
        <v>327</v>
      </c>
      <c r="B32" s="195" t="s">
        <v>306</v>
      </c>
      <c r="C32" s="196">
        <v>111612.201</v>
      </c>
      <c r="D32" s="196">
        <v>6473.5076580000004</v>
      </c>
      <c r="E32" s="197">
        <f t="shared" si="0"/>
        <v>5.8000000000000003E-2</v>
      </c>
      <c r="F32" s="187">
        <v>114007.505</v>
      </c>
      <c r="G32" s="187">
        <v>2166.1425950000003</v>
      </c>
      <c r="H32" s="188">
        <f t="shared" si="1"/>
        <v>1.9000000000000003E-2</v>
      </c>
      <c r="I32" s="196">
        <v>114218.091</v>
      </c>
      <c r="J32" s="196">
        <v>1668.72630951</v>
      </c>
      <c r="K32" s="197">
        <f t="shared" si="2"/>
        <v>1.461E-2</v>
      </c>
      <c r="L32" s="187">
        <v>118568.35400000001</v>
      </c>
      <c r="M32" s="187">
        <v>2053.60389128</v>
      </c>
      <c r="N32" s="188">
        <f t="shared" si="3"/>
        <v>1.7319999999999999E-2</v>
      </c>
      <c r="O32" s="196">
        <v>120376.014</v>
      </c>
      <c r="P32" s="196">
        <v>2042.7809575799997</v>
      </c>
      <c r="Q32" s="197">
        <f t="shared" si="4"/>
        <v>1.6969999999999999E-2</v>
      </c>
      <c r="R32" s="187">
        <v>120057.18</v>
      </c>
      <c r="S32" s="187">
        <v>1757.6371151999999</v>
      </c>
      <c r="T32" s="188">
        <f t="shared" si="5"/>
        <v>1.464E-2</v>
      </c>
      <c r="U32" s="196">
        <v>119821.91706000001</v>
      </c>
      <c r="V32" s="196">
        <v>1393.5288954078001</v>
      </c>
      <c r="W32" s="197">
        <f t="shared" si="6"/>
        <v>1.163E-2</v>
      </c>
      <c r="X32" s="187">
        <v>126069.878</v>
      </c>
      <c r="Y32" s="187">
        <v>1127.4231305145568</v>
      </c>
      <c r="Z32" s="188">
        <f t="shared" si="7"/>
        <v>8.9428430359435804E-3</v>
      </c>
      <c r="AA32" s="189">
        <v>123750.856</v>
      </c>
      <c r="AB32" s="189">
        <v>1452.7070334258021</v>
      </c>
      <c r="AC32" s="190">
        <v>1.1738965534313573E-2</v>
      </c>
      <c r="AD32" s="191">
        <f t="shared" si="8"/>
        <v>1.2784361714051432E-2</v>
      </c>
      <c r="AE32" s="192">
        <f t="shared" si="9"/>
        <v>3.5512115872365086</v>
      </c>
      <c r="AF32" s="17">
        <f t="shared" si="10"/>
        <v>1.1870037340028528</v>
      </c>
      <c r="AG32" s="193">
        <f t="shared" si="11"/>
        <v>4.7382153212393616</v>
      </c>
      <c r="AH32" s="176">
        <f t="shared" si="12"/>
        <v>1.2122424145638397E-2</v>
      </c>
      <c r="AI32" s="176">
        <f t="shared" si="13"/>
        <v>2.5584367369922666E-3</v>
      </c>
      <c r="AJ32" s="1">
        <f t="shared" si="14"/>
        <v>3.7526665344215747E-2</v>
      </c>
      <c r="AK32" s="176">
        <f t="shared" si="15"/>
        <v>9.6009599233456104E-5</v>
      </c>
      <c r="AL32" s="137">
        <f t="shared" si="16"/>
        <v>4.8111111111111109</v>
      </c>
      <c r="AM32" s="137">
        <f t="shared" si="17"/>
        <v>4.7138888888888886</v>
      </c>
      <c r="AN32" s="137">
        <f t="shared" si="18"/>
        <v>4.0666666666666664</v>
      </c>
      <c r="AO32" s="137">
        <f t="shared" si="19"/>
        <v>3.2305555555555552</v>
      </c>
      <c r="AP32" s="137">
        <f t="shared" si="20"/>
        <v>2.4841230655398836</v>
      </c>
      <c r="AQ32" s="137">
        <f t="shared" si="23"/>
        <v>3.2608237595315481</v>
      </c>
      <c r="AS32" s="175">
        <f t="shared" si="21"/>
        <v>3.5512115872365078</v>
      </c>
      <c r="AT32" s="176">
        <f t="shared" si="22"/>
        <v>3.4095040128378264E-4</v>
      </c>
      <c r="AU32" s="176"/>
    </row>
    <row r="33" spans="1:47" ht="14.45" customHeight="1" x14ac:dyDescent="0.25">
      <c r="A33" s="181" t="s">
        <v>328</v>
      </c>
      <c r="B33" s="182" t="s">
        <v>306</v>
      </c>
      <c r="C33" s="183">
        <v>233328.52799999999</v>
      </c>
      <c r="D33" s="183">
        <v>6575.0811075299998</v>
      </c>
      <c r="E33" s="184">
        <f t="shared" si="0"/>
        <v>2.8179499368932718E-2</v>
      </c>
      <c r="F33" s="185">
        <v>247504.14400000003</v>
      </c>
      <c r="G33" s="185">
        <v>2910.859582</v>
      </c>
      <c r="H33" s="186">
        <f t="shared" si="1"/>
        <v>1.176085189911002E-2</v>
      </c>
      <c r="I33" s="183">
        <v>241084.272</v>
      </c>
      <c r="J33" s="183">
        <v>3521.5957441199998</v>
      </c>
      <c r="K33" s="184">
        <f t="shared" si="2"/>
        <v>1.4607322638284757E-2</v>
      </c>
      <c r="L33" s="185">
        <v>250896.01965015507</v>
      </c>
      <c r="M33" s="185">
        <v>4318.5125745244659</v>
      </c>
      <c r="N33" s="186">
        <f t="shared" si="3"/>
        <v>1.7212359847502256E-2</v>
      </c>
      <c r="O33" s="183">
        <v>236253.03140270404</v>
      </c>
      <c r="P33" s="183">
        <v>3966.0503232285619</v>
      </c>
      <c r="Q33" s="184">
        <f t="shared" si="4"/>
        <v>1.6787299192230251E-2</v>
      </c>
      <c r="R33" s="185">
        <v>229804.92500000002</v>
      </c>
      <c r="S33" s="185">
        <v>3324.8628280740372</v>
      </c>
      <c r="T33" s="186">
        <f t="shared" si="5"/>
        <v>1.4468196571827331E-2</v>
      </c>
      <c r="U33" s="183">
        <v>236186.98200000002</v>
      </c>
      <c r="V33" s="183">
        <v>2735.3811404600001</v>
      </c>
      <c r="W33" s="184">
        <f t="shared" si="6"/>
        <v>1.1581422131301039E-2</v>
      </c>
      <c r="X33" s="187">
        <v>258876.91200000001</v>
      </c>
      <c r="Y33" s="187">
        <v>2306.9242456785464</v>
      </c>
      <c r="Z33" s="188">
        <f t="shared" si="7"/>
        <v>8.9112784444776837E-3</v>
      </c>
      <c r="AA33" s="189">
        <v>245149.45200000002</v>
      </c>
      <c r="AB33" s="189">
        <v>2866.6785327194084</v>
      </c>
      <c r="AC33" s="190">
        <v>1.1693595516254339E-2</v>
      </c>
      <c r="AD33" s="191">
        <f t="shared" si="8"/>
        <v>1.2688358371218128E-2</v>
      </c>
      <c r="AE33" s="192">
        <f t="shared" si="9"/>
        <v>3.5245439920050354</v>
      </c>
      <c r="AF33" s="17">
        <f t="shared" si="10"/>
        <v>1.1841657722914416</v>
      </c>
      <c r="AG33" s="193">
        <f t="shared" si="11"/>
        <v>4.7087097642964775</v>
      </c>
      <c r="AH33" s="176">
        <f t="shared" si="12"/>
        <v>2.3864883566254234E-2</v>
      </c>
      <c r="AI33" s="176">
        <f t="shared" si="13"/>
        <v>5.0682426313909488E-3</v>
      </c>
      <c r="AJ33" s="1">
        <f t="shared" si="14"/>
        <v>3.7292981333228108E-2</v>
      </c>
      <c r="AK33" s="176">
        <f t="shared" si="15"/>
        <v>1.8900987784473356E-4</v>
      </c>
      <c r="AL33" s="137">
        <f t="shared" si="16"/>
        <v>4.7812110687506264</v>
      </c>
      <c r="AM33" s="137">
        <f t="shared" si="17"/>
        <v>4.663138664508403</v>
      </c>
      <c r="AN33" s="137">
        <f t="shared" si="18"/>
        <v>4.0189434921742588</v>
      </c>
      <c r="AO33" s="137">
        <f t="shared" si="19"/>
        <v>3.2170617031391773</v>
      </c>
      <c r="AP33" s="137">
        <f t="shared" si="20"/>
        <v>2.4753551234660232</v>
      </c>
      <c r="AQ33" s="137">
        <f t="shared" si="23"/>
        <v>3.2482209767373162</v>
      </c>
      <c r="AS33" s="175">
        <f t="shared" si="21"/>
        <v>3.524543992005035</v>
      </c>
      <c r="AT33" s="176">
        <f t="shared" si="22"/>
        <v>6.6617362938726121E-4</v>
      </c>
      <c r="AU33" s="176"/>
    </row>
    <row r="34" spans="1:47" s="198" customFormat="1" ht="14.45" customHeight="1" x14ac:dyDescent="0.25">
      <c r="A34" s="194" t="s">
        <v>329</v>
      </c>
      <c r="B34" s="195" t="s">
        <v>306</v>
      </c>
      <c r="C34" s="196">
        <v>709331.93500000006</v>
      </c>
      <c r="D34" s="196">
        <v>39891.437499487591</v>
      </c>
      <c r="E34" s="197">
        <f t="shared" si="0"/>
        <v>5.6238039669661267E-2</v>
      </c>
      <c r="F34" s="187">
        <v>744915.07900000003</v>
      </c>
      <c r="G34" s="187">
        <v>13934</v>
      </c>
      <c r="H34" s="188">
        <f t="shared" si="1"/>
        <v>1.8705487904346743E-2</v>
      </c>
      <c r="I34" s="196">
        <v>732974.23</v>
      </c>
      <c r="J34" s="196">
        <v>10920.934359311917</v>
      </c>
      <c r="K34" s="197">
        <f t="shared" si="2"/>
        <v>1.4899479289076667E-2</v>
      </c>
      <c r="L34" s="187">
        <v>771073.53099999996</v>
      </c>
      <c r="M34" s="187">
        <v>13693.956344292359</v>
      </c>
      <c r="N34" s="188">
        <f t="shared" si="3"/>
        <v>1.7759598525620198E-2</v>
      </c>
      <c r="O34" s="196">
        <v>764710.06400000001</v>
      </c>
      <c r="P34" s="196">
        <v>13412.87574832543</v>
      </c>
      <c r="Q34" s="197">
        <f t="shared" si="4"/>
        <v>1.7539818526993298E-2</v>
      </c>
      <c r="R34" s="187">
        <v>750432.63</v>
      </c>
      <c r="S34" s="187">
        <v>12258.649738824706</v>
      </c>
      <c r="T34" s="188">
        <f t="shared" si="5"/>
        <v>1.6335443381272886E-2</v>
      </c>
      <c r="U34" s="196">
        <v>693485.321</v>
      </c>
      <c r="V34" s="196">
        <v>8065.2342832300001</v>
      </c>
      <c r="W34" s="197">
        <f t="shared" si="6"/>
        <v>1.163E-2</v>
      </c>
      <c r="X34" s="187">
        <v>643905.56200000003</v>
      </c>
      <c r="Y34" s="187">
        <v>5758.346370937038</v>
      </c>
      <c r="Z34" s="188">
        <f t="shared" si="7"/>
        <v>8.9428430359435804E-3</v>
      </c>
      <c r="AA34" s="189">
        <v>697221.33600000001</v>
      </c>
      <c r="AB34" s="189">
        <v>8184.6572330920635</v>
      </c>
      <c r="AC34" s="190">
        <v>1.1738965534313573E-2</v>
      </c>
      <c r="AD34" s="191">
        <f t="shared" si="8"/>
        <v>1.3237414095704669E-2</v>
      </c>
      <c r="AE34" s="192">
        <f t="shared" si="9"/>
        <v>3.6770594710290747</v>
      </c>
      <c r="AF34" s="17">
        <f t="shared" si="10"/>
        <v>1.2003964479901976</v>
      </c>
      <c r="AG34" s="193">
        <f t="shared" si="11"/>
        <v>4.8774559190192726</v>
      </c>
      <c r="AH34" s="176">
        <f t="shared" si="12"/>
        <v>7.0305692870512485E-2</v>
      </c>
      <c r="AI34" s="176">
        <f t="shared" si="13"/>
        <v>1.4414418917936444E-2</v>
      </c>
      <c r="AJ34" s="1">
        <f t="shared" si="14"/>
        <v>3.8629450878632642E-2</v>
      </c>
      <c r="AK34" s="176">
        <f t="shared" si="15"/>
        <v>5.5682108753445894E-4</v>
      </c>
      <c r="AL34" s="137">
        <f t="shared" si="16"/>
        <v>4.9332218126722776</v>
      </c>
      <c r="AM34" s="137">
        <f t="shared" si="17"/>
        <v>4.8721718130536935</v>
      </c>
      <c r="AN34" s="137">
        <f t="shared" si="18"/>
        <v>4.5376231614646905</v>
      </c>
      <c r="AO34" s="137">
        <f t="shared" si="19"/>
        <v>3.2305555555555552</v>
      </c>
      <c r="AP34" s="137">
        <f t="shared" si="20"/>
        <v>2.4841230655398836</v>
      </c>
      <c r="AQ34" s="137">
        <f t="shared" si="23"/>
        <v>3.2608237595315481</v>
      </c>
      <c r="AS34" s="175">
        <f t="shared" si="21"/>
        <v>3.6770594710290738</v>
      </c>
      <c r="AT34" s="176">
        <f t="shared" si="22"/>
        <v>2.0474642535872911E-3</v>
      </c>
      <c r="AU34" s="176"/>
    </row>
    <row r="35" spans="1:47" s="198" customFormat="1" ht="14.45" customHeight="1" x14ac:dyDescent="0.25">
      <c r="A35" s="200" t="s">
        <v>330</v>
      </c>
      <c r="B35" s="195" t="s">
        <v>306</v>
      </c>
      <c r="C35" s="196">
        <v>389475.92700000003</v>
      </c>
      <c r="D35" s="196">
        <v>22589.603766000004</v>
      </c>
      <c r="E35" s="197">
        <f t="shared" si="0"/>
        <v>5.8000000000000003E-2</v>
      </c>
      <c r="F35" s="187">
        <v>394867.609</v>
      </c>
      <c r="G35" s="187">
        <v>7502.484571</v>
      </c>
      <c r="H35" s="188">
        <f t="shared" si="1"/>
        <v>1.9E-2</v>
      </c>
      <c r="I35" s="196">
        <v>393417.99300000002</v>
      </c>
      <c r="J35" s="196">
        <v>5747.8368777300002</v>
      </c>
      <c r="K35" s="197">
        <f t="shared" si="2"/>
        <v>1.461E-2</v>
      </c>
      <c r="L35" s="187">
        <v>408940.80800000002</v>
      </c>
      <c r="M35" s="187">
        <v>7082.8547945599994</v>
      </c>
      <c r="N35" s="188">
        <f t="shared" si="3"/>
        <v>1.7319999999999999E-2</v>
      </c>
      <c r="O35" s="196">
        <v>396511.64600000001</v>
      </c>
      <c r="P35" s="196">
        <v>6728.8026326199997</v>
      </c>
      <c r="Q35" s="197">
        <f t="shared" si="4"/>
        <v>1.6969999999999999E-2</v>
      </c>
      <c r="R35" s="187">
        <v>397070.2</v>
      </c>
      <c r="S35" s="187">
        <v>5813.107728</v>
      </c>
      <c r="T35" s="188">
        <f t="shared" si="5"/>
        <v>1.464E-2</v>
      </c>
      <c r="U35" s="196">
        <v>410501.51498000004</v>
      </c>
      <c r="V35" s="196">
        <v>4774.1326192174001</v>
      </c>
      <c r="W35" s="197">
        <f t="shared" si="6"/>
        <v>1.163E-2</v>
      </c>
      <c r="X35" s="187">
        <v>443730.95603672008</v>
      </c>
      <c r="Y35" s="187">
        <v>3968.2162900255694</v>
      </c>
      <c r="Z35" s="188">
        <f t="shared" si="7"/>
        <v>8.9428430359435804E-3</v>
      </c>
      <c r="AA35" s="189">
        <v>427686.17</v>
      </c>
      <c r="AB35" s="189">
        <v>5020.5932091325758</v>
      </c>
      <c r="AC35" s="190">
        <v>1.1738965534313573E-2</v>
      </c>
      <c r="AD35" s="191">
        <f t="shared" si="8"/>
        <v>1.2784361714051432E-2</v>
      </c>
      <c r="AE35" s="192">
        <f t="shared" si="9"/>
        <v>3.5512115872365086</v>
      </c>
      <c r="AF35" s="17">
        <f t="shared" si="10"/>
        <v>1.1870037340028528</v>
      </c>
      <c r="AG35" s="193">
        <f t="shared" si="11"/>
        <v>4.7382153212393616</v>
      </c>
      <c r="AH35" s="176">
        <f t="shared" si="12"/>
        <v>4.1895412456489256E-2</v>
      </c>
      <c r="AI35" s="176">
        <f t="shared" si="13"/>
        <v>8.842023761286304E-3</v>
      </c>
      <c r="AJ35" s="1">
        <f t="shared" si="14"/>
        <v>3.7526665344215747E-2</v>
      </c>
      <c r="AK35" s="176">
        <f t="shared" si="15"/>
        <v>3.3181166665539489E-4</v>
      </c>
      <c r="AL35" s="137">
        <f t="shared" si="16"/>
        <v>4.8111111111111109</v>
      </c>
      <c r="AM35" s="137">
        <f t="shared" si="17"/>
        <v>4.7138888888888886</v>
      </c>
      <c r="AN35" s="137">
        <f t="shared" si="18"/>
        <v>4.0666666666666664</v>
      </c>
      <c r="AO35" s="137">
        <f t="shared" si="19"/>
        <v>3.2305555555555552</v>
      </c>
      <c r="AP35" s="137">
        <f t="shared" si="20"/>
        <v>2.4841230655398836</v>
      </c>
      <c r="AQ35" s="137">
        <f t="shared" si="23"/>
        <v>3.2608237595315481</v>
      </c>
      <c r="AS35" s="175">
        <f t="shared" si="21"/>
        <v>3.5512115872365078</v>
      </c>
      <c r="AT35" s="176">
        <f t="shared" si="22"/>
        <v>1.178333435406896E-3</v>
      </c>
      <c r="AU35" s="176"/>
    </row>
    <row r="36" spans="1:47" s="198" customFormat="1" ht="14.45" customHeight="1" x14ac:dyDescent="0.25">
      <c r="A36" s="194" t="s">
        <v>331</v>
      </c>
      <c r="B36" s="195" t="s">
        <v>306</v>
      </c>
      <c r="C36" s="196">
        <v>109695</v>
      </c>
      <c r="D36" s="196">
        <v>4851.9900000000007</v>
      </c>
      <c r="E36" s="197">
        <f t="shared" si="0"/>
        <v>4.423164228086969E-2</v>
      </c>
      <c r="F36" s="187">
        <v>110129</v>
      </c>
      <c r="G36" s="187">
        <v>1608.027</v>
      </c>
      <c r="H36" s="188">
        <f t="shared" si="1"/>
        <v>1.460130392539658E-2</v>
      </c>
      <c r="I36" s="196">
        <v>108291</v>
      </c>
      <c r="J36" s="196">
        <v>1205.325</v>
      </c>
      <c r="K36" s="197">
        <f t="shared" si="2"/>
        <v>1.1130426351220324E-2</v>
      </c>
      <c r="L36" s="187">
        <v>87762.335999999996</v>
      </c>
      <c r="M36" s="187">
        <v>1520.0436595199999</v>
      </c>
      <c r="N36" s="188">
        <f t="shared" si="3"/>
        <v>1.7319999999999999E-2</v>
      </c>
      <c r="O36" s="196">
        <v>110705.05499999999</v>
      </c>
      <c r="P36" s="196">
        <v>1441.0254533499999</v>
      </c>
      <c r="Q36" s="197">
        <f t="shared" si="4"/>
        <v>1.3016799037315866E-2</v>
      </c>
      <c r="R36" s="187">
        <v>131820.62</v>
      </c>
      <c r="S36" s="187">
        <v>1551.2488367999999</v>
      </c>
      <c r="T36" s="188">
        <f t="shared" si="5"/>
        <v>1.1767876958855146E-2</v>
      </c>
      <c r="U36" s="196">
        <v>128213</v>
      </c>
      <c r="V36" s="196">
        <v>1192.9821400000001</v>
      </c>
      <c r="W36" s="197">
        <f t="shared" si="6"/>
        <v>9.3046893840718192E-3</v>
      </c>
      <c r="X36" s="187">
        <v>138350</v>
      </c>
      <c r="Y36" s="187">
        <v>1006.7673833004563</v>
      </c>
      <c r="Z36" s="188">
        <f t="shared" si="7"/>
        <v>7.2769597636462334E-3</v>
      </c>
      <c r="AA36" s="189">
        <v>130945</v>
      </c>
      <c r="AB36" s="189">
        <v>1234.6574390369644</v>
      </c>
      <c r="AC36" s="190">
        <v>9.4288246136695897E-3</v>
      </c>
      <c r="AD36" s="191">
        <f t="shared" si="8"/>
        <v>1.0159029951511732E-2</v>
      </c>
      <c r="AE36" s="192">
        <f t="shared" si="9"/>
        <v>2.8219527643088145</v>
      </c>
      <c r="AF36" s="17">
        <f t="shared" si="10"/>
        <v>1.1093961132476489</v>
      </c>
      <c r="AG36" s="193">
        <f t="shared" si="11"/>
        <v>3.9313488775564633</v>
      </c>
      <c r="AH36" s="176">
        <f t="shared" si="12"/>
        <v>1.0642826363505546E-2</v>
      </c>
      <c r="AI36" s="176">
        <f t="shared" si="13"/>
        <v>2.707169140918527E-3</v>
      </c>
      <c r="AJ36" s="1">
        <f t="shared" si="14"/>
        <v>3.1136283110247194E-2</v>
      </c>
      <c r="AK36" s="176">
        <f t="shared" si="15"/>
        <v>8.4291184798963943E-5</v>
      </c>
      <c r="AL36" s="137">
        <f t="shared" si="16"/>
        <v>4.8111111111111109</v>
      </c>
      <c r="AM36" s="137">
        <f t="shared" si="17"/>
        <v>3.6157775103655183</v>
      </c>
      <c r="AN36" s="137">
        <f t="shared" si="18"/>
        <v>3.2688547107930961</v>
      </c>
      <c r="AO36" s="137">
        <f t="shared" si="19"/>
        <v>2.5846359400199499</v>
      </c>
      <c r="AP36" s="137">
        <f t="shared" si="20"/>
        <v>2.0213777121239538</v>
      </c>
      <c r="AQ36" s="137">
        <f t="shared" si="23"/>
        <v>2.6191179482415525</v>
      </c>
      <c r="AS36" s="175">
        <f t="shared" si="21"/>
        <v>2.821952764308814</v>
      </c>
      <c r="AT36" s="176">
        <f t="shared" si="22"/>
        <v>2.3786574195030138E-4</v>
      </c>
      <c r="AU36" s="176"/>
    </row>
    <row r="37" spans="1:47" s="198" customFormat="1" ht="14.45" customHeight="1" x14ac:dyDescent="0.25">
      <c r="A37" s="194" t="s">
        <v>332</v>
      </c>
      <c r="B37" s="195" t="s">
        <v>306</v>
      </c>
      <c r="C37" s="196">
        <v>68946.146999999997</v>
      </c>
      <c r="D37" s="196">
        <v>3998.876526</v>
      </c>
      <c r="E37" s="197">
        <f t="shared" si="0"/>
        <v>5.8000000000000003E-2</v>
      </c>
      <c r="F37" s="187">
        <v>73209.172999999995</v>
      </c>
      <c r="G37" s="187">
        <v>1390.9742869999998</v>
      </c>
      <c r="H37" s="188">
        <f t="shared" si="1"/>
        <v>1.9E-2</v>
      </c>
      <c r="I37" s="196">
        <v>71409.91</v>
      </c>
      <c r="J37" s="196">
        <v>1043.2987851</v>
      </c>
      <c r="K37" s="197">
        <f t="shared" si="2"/>
        <v>1.461E-2</v>
      </c>
      <c r="L37" s="187">
        <v>74429.842000000004</v>
      </c>
      <c r="M37" s="187">
        <v>1289.1248634399999</v>
      </c>
      <c r="N37" s="188">
        <f t="shared" si="3"/>
        <v>1.7319999999999999E-2</v>
      </c>
      <c r="O37" s="196">
        <v>72730.820999999996</v>
      </c>
      <c r="P37" s="196">
        <v>1234.2420323699998</v>
      </c>
      <c r="Q37" s="197">
        <f t="shared" si="4"/>
        <v>1.6969999999999999E-2</v>
      </c>
      <c r="R37" s="187">
        <v>71780.92</v>
      </c>
      <c r="S37" s="187">
        <v>1050.8726687999999</v>
      </c>
      <c r="T37" s="188">
        <f t="shared" si="5"/>
        <v>1.4639999999999999E-2</v>
      </c>
      <c r="U37" s="196">
        <v>71964.560540000006</v>
      </c>
      <c r="V37" s="196">
        <v>836.94783908020008</v>
      </c>
      <c r="W37" s="197">
        <f t="shared" si="6"/>
        <v>1.163E-2</v>
      </c>
      <c r="X37" s="187">
        <v>74998.100999999995</v>
      </c>
      <c r="Y37" s="187">
        <v>670.6962452368432</v>
      </c>
      <c r="Z37" s="188">
        <f t="shared" si="7"/>
        <v>8.9428430359435804E-3</v>
      </c>
      <c r="AA37" s="189">
        <v>70272.418000000005</v>
      </c>
      <c r="AB37" s="189">
        <v>824.92549291487683</v>
      </c>
      <c r="AC37" s="190">
        <v>1.1738965534313573E-2</v>
      </c>
      <c r="AD37" s="191">
        <f t="shared" si="8"/>
        <v>1.2784361714051432E-2</v>
      </c>
      <c r="AE37" s="192">
        <f t="shared" si="9"/>
        <v>3.5512115872365086</v>
      </c>
      <c r="AF37" s="17">
        <f t="shared" si="10"/>
        <v>1.1870037340028528</v>
      </c>
      <c r="AG37" s="193">
        <f t="shared" si="11"/>
        <v>4.7382153212393616</v>
      </c>
      <c r="AH37" s="176">
        <f t="shared" si="12"/>
        <v>6.8837669836853037E-3</v>
      </c>
      <c r="AI37" s="176">
        <f t="shared" si="13"/>
        <v>1.4528185227945141E-3</v>
      </c>
      <c r="AJ37" s="1">
        <f t="shared" si="14"/>
        <v>3.7526665344215747E-2</v>
      </c>
      <c r="AK37" s="176">
        <f t="shared" si="15"/>
        <v>5.4519434510787604E-5</v>
      </c>
      <c r="AL37" s="137">
        <f t="shared" si="16"/>
        <v>4.8111111111111109</v>
      </c>
      <c r="AM37" s="137">
        <f t="shared" si="17"/>
        <v>4.7138888888888886</v>
      </c>
      <c r="AN37" s="137">
        <f t="shared" si="18"/>
        <v>4.0666666666666664</v>
      </c>
      <c r="AO37" s="137">
        <f t="shared" si="19"/>
        <v>3.2305555555555552</v>
      </c>
      <c r="AP37" s="137">
        <f t="shared" si="20"/>
        <v>2.4841230655398836</v>
      </c>
      <c r="AQ37" s="137">
        <f t="shared" si="23"/>
        <v>3.2608237595315481</v>
      </c>
      <c r="AS37" s="175">
        <f t="shared" si="21"/>
        <v>3.5512115872365078</v>
      </c>
      <c r="AT37" s="176">
        <f t="shared" si="22"/>
        <v>1.936100475642909E-4</v>
      </c>
      <c r="AU37" s="176"/>
    </row>
    <row r="38" spans="1:47" s="198" customFormat="1" ht="14.45" customHeight="1" x14ac:dyDescent="0.25">
      <c r="A38" s="200" t="s">
        <v>333</v>
      </c>
      <c r="B38" s="195" t="s">
        <v>306</v>
      </c>
      <c r="C38" s="196">
        <v>544399.31999999995</v>
      </c>
      <c r="D38" s="196">
        <v>31575.16056</v>
      </c>
      <c r="E38" s="197">
        <f t="shared" si="0"/>
        <v>5.8000000000000003E-2</v>
      </c>
      <c r="F38" s="187">
        <v>537985.80700000003</v>
      </c>
      <c r="G38" s="187">
        <v>10221.730333</v>
      </c>
      <c r="H38" s="188">
        <f t="shared" si="1"/>
        <v>1.9E-2</v>
      </c>
      <c r="I38" s="196">
        <v>557780.37100000004</v>
      </c>
      <c r="J38" s="196">
        <v>7583.1595124100004</v>
      </c>
      <c r="K38" s="197">
        <f t="shared" si="2"/>
        <v>1.3595242691697373E-2</v>
      </c>
      <c r="L38" s="187">
        <v>556394.03700000001</v>
      </c>
      <c r="M38" s="187">
        <v>8974.9721152399998</v>
      </c>
      <c r="N38" s="188">
        <f t="shared" si="3"/>
        <v>1.6130604424935632E-2</v>
      </c>
      <c r="O38" s="196">
        <v>606208.77099999995</v>
      </c>
      <c r="P38" s="196">
        <v>9634.6998681699988</v>
      </c>
      <c r="Q38" s="197">
        <f t="shared" si="4"/>
        <v>1.5893369296317884E-2</v>
      </c>
      <c r="R38" s="187">
        <v>616432.76</v>
      </c>
      <c r="S38" s="187">
        <v>8146.1322720000007</v>
      </c>
      <c r="T38" s="188">
        <f t="shared" si="5"/>
        <v>1.3214956765114172E-2</v>
      </c>
      <c r="U38" s="196">
        <v>566878</v>
      </c>
      <c r="V38" s="196">
        <v>4880.5876499999995</v>
      </c>
      <c r="W38" s="197">
        <f t="shared" si="6"/>
        <v>8.6095908643482356E-3</v>
      </c>
      <c r="X38" s="187">
        <v>627814.11199999996</v>
      </c>
      <c r="Y38" s="187">
        <v>3878.9313383114199</v>
      </c>
      <c r="Z38" s="188">
        <f t="shared" si="7"/>
        <v>6.1784710858991017E-3</v>
      </c>
      <c r="AA38" s="189">
        <v>699093.14</v>
      </c>
      <c r="AB38" s="189">
        <v>15691.391418116778</v>
      </c>
      <c r="AC38" s="190">
        <v>2.2445351728264389E-2</v>
      </c>
      <c r="AD38" s="191">
        <f t="shared" si="8"/>
        <v>1.3268347947988757E-2</v>
      </c>
      <c r="AE38" s="192">
        <f t="shared" si="9"/>
        <v>3.6856522077746545</v>
      </c>
      <c r="AF38" s="17">
        <f t="shared" si="10"/>
        <v>1.2013108858189003</v>
      </c>
      <c r="AG38" s="193">
        <f t="shared" si="11"/>
        <v>4.8869630935935549</v>
      </c>
      <c r="AH38" s="176">
        <f t="shared" si="12"/>
        <v>7.0631848234483013E-2</v>
      </c>
      <c r="AI38" s="176">
        <f t="shared" si="13"/>
        <v>1.4453116768382417E-2</v>
      </c>
      <c r="AJ38" s="1">
        <f t="shared" si="14"/>
        <v>3.8704747701260957E-2</v>
      </c>
      <c r="AK38" s="176">
        <f t="shared" si="15"/>
        <v>5.5940423801710559E-4</v>
      </c>
      <c r="AL38" s="137">
        <f t="shared" si="16"/>
        <v>4.4807234513710084</v>
      </c>
      <c r="AM38" s="137">
        <f t="shared" si="17"/>
        <v>4.4148248045327456</v>
      </c>
      <c r="AN38" s="137">
        <f t="shared" si="18"/>
        <v>3.6708213236428255</v>
      </c>
      <c r="AO38" s="137">
        <f t="shared" si="19"/>
        <v>2.3915530178745099</v>
      </c>
      <c r="AP38" s="137">
        <f t="shared" si="20"/>
        <v>1.7162419683053061</v>
      </c>
      <c r="AQ38" s="137">
        <f t="shared" si="23"/>
        <v>6.2348199245178852</v>
      </c>
      <c r="AS38" s="175">
        <f t="shared" si="21"/>
        <v>3.6856522077746545</v>
      </c>
      <c r="AT38" s="176">
        <f t="shared" si="22"/>
        <v>2.0617694648862434E-3</v>
      </c>
      <c r="AU38" s="176"/>
    </row>
    <row r="39" spans="1:47" s="198" customFormat="1" ht="14.45" customHeight="1" x14ac:dyDescent="0.25">
      <c r="A39" s="194" t="s">
        <v>334</v>
      </c>
      <c r="B39" s="195" t="s">
        <v>306</v>
      </c>
      <c r="C39" s="196">
        <v>644031.85600000003</v>
      </c>
      <c r="D39" s="196">
        <v>37353.847648000003</v>
      </c>
      <c r="E39" s="197">
        <f t="shared" si="0"/>
        <v>5.8000000000000003E-2</v>
      </c>
      <c r="F39" s="187">
        <v>656335.08400000003</v>
      </c>
      <c r="G39" s="187">
        <v>12470.366596</v>
      </c>
      <c r="H39" s="188">
        <f t="shared" si="1"/>
        <v>1.9E-2</v>
      </c>
      <c r="I39" s="196">
        <v>664752.26800000004</v>
      </c>
      <c r="J39" s="196">
        <v>9712.0306354799995</v>
      </c>
      <c r="K39" s="197">
        <f t="shared" si="2"/>
        <v>1.4609999999999998E-2</v>
      </c>
      <c r="L39" s="187">
        <v>696022.89899999998</v>
      </c>
      <c r="M39" s="187">
        <v>12055.116610679999</v>
      </c>
      <c r="N39" s="188">
        <f t="shared" si="3"/>
        <v>1.7319999999999999E-2</v>
      </c>
      <c r="O39" s="196">
        <v>686151.63399999996</v>
      </c>
      <c r="P39" s="196">
        <v>11643.993228979998</v>
      </c>
      <c r="Q39" s="197">
        <f t="shared" si="4"/>
        <v>1.6969999999999999E-2</v>
      </c>
      <c r="R39" s="187">
        <v>687344.32</v>
      </c>
      <c r="S39" s="187">
        <v>10062.7208448</v>
      </c>
      <c r="T39" s="188">
        <f t="shared" si="5"/>
        <v>1.4640000000000002E-2</v>
      </c>
      <c r="U39" s="196">
        <v>575882.75</v>
      </c>
      <c r="V39" s="196">
        <v>6697.5163825</v>
      </c>
      <c r="W39" s="197">
        <f t="shared" si="6"/>
        <v>1.163E-2</v>
      </c>
      <c r="X39" s="187">
        <v>707082.11800000002</v>
      </c>
      <c r="Y39" s="187">
        <v>6323.3243947965375</v>
      </c>
      <c r="Z39" s="188">
        <f t="shared" si="7"/>
        <v>8.9428430359435804E-3</v>
      </c>
      <c r="AA39" s="189">
        <v>683177.45600000001</v>
      </c>
      <c r="AB39" s="189">
        <v>8019.7966098040279</v>
      </c>
      <c r="AC39" s="190">
        <v>1.1738965534313573E-2</v>
      </c>
      <c r="AD39" s="191">
        <f t="shared" si="8"/>
        <v>1.2784361714051432E-2</v>
      </c>
      <c r="AE39" s="192">
        <f t="shared" si="9"/>
        <v>3.5512115872365086</v>
      </c>
      <c r="AF39" s="17">
        <f t="shared" si="10"/>
        <v>1.1870037340028528</v>
      </c>
      <c r="AG39" s="193">
        <f t="shared" si="11"/>
        <v>4.7382153212393616</v>
      </c>
      <c r="AH39" s="176">
        <f t="shared" si="12"/>
        <v>6.6922905877679045E-2</v>
      </c>
      <c r="AI39" s="176">
        <f t="shared" si="13"/>
        <v>1.4124074433192751E-2</v>
      </c>
      <c r="AJ39" s="1">
        <f t="shared" si="14"/>
        <v>3.7526665344215747E-2</v>
      </c>
      <c r="AK39" s="176">
        <f t="shared" si="15"/>
        <v>5.3002941455121812E-4</v>
      </c>
      <c r="AL39" s="137">
        <f t="shared" si="16"/>
        <v>4.8111111111111109</v>
      </c>
      <c r="AM39" s="137">
        <f t="shared" si="17"/>
        <v>4.7138888888888886</v>
      </c>
      <c r="AN39" s="137">
        <f t="shared" si="18"/>
        <v>4.0666666666666673</v>
      </c>
      <c r="AO39" s="137">
        <f t="shared" si="19"/>
        <v>3.2305555555555552</v>
      </c>
      <c r="AP39" s="137">
        <f t="shared" si="20"/>
        <v>2.4841230655398836</v>
      </c>
      <c r="AQ39" s="137">
        <f t="shared" si="23"/>
        <v>3.2608237595315481</v>
      </c>
      <c r="AS39" s="175">
        <f t="shared" si="21"/>
        <v>3.5512115872365078</v>
      </c>
      <c r="AT39" s="176">
        <f t="shared" si="22"/>
        <v>1.8822465985304682E-3</v>
      </c>
      <c r="AU39" s="176"/>
    </row>
    <row r="40" spans="1:47" s="198" customFormat="1" ht="14.45" customHeight="1" x14ac:dyDescent="0.25">
      <c r="A40" s="194" t="s">
        <v>335</v>
      </c>
      <c r="B40" s="195" t="s">
        <v>306</v>
      </c>
      <c r="C40" s="196">
        <v>321191.42800000001</v>
      </c>
      <c r="D40" s="196">
        <v>18629.102824000001</v>
      </c>
      <c r="E40" s="197">
        <f t="shared" si="0"/>
        <v>5.8000000000000003E-2</v>
      </c>
      <c r="F40" s="187">
        <v>330464.91399999999</v>
      </c>
      <c r="G40" s="187">
        <v>6278.8333659999998</v>
      </c>
      <c r="H40" s="188">
        <f t="shared" si="1"/>
        <v>1.9E-2</v>
      </c>
      <c r="I40" s="196">
        <v>323230.027</v>
      </c>
      <c r="J40" s="196">
        <v>4722.3906944700002</v>
      </c>
      <c r="K40" s="197">
        <f t="shared" si="2"/>
        <v>1.461E-2</v>
      </c>
      <c r="L40" s="187">
        <v>331171.15700000001</v>
      </c>
      <c r="M40" s="187">
        <v>5735.8844392399997</v>
      </c>
      <c r="N40" s="188">
        <f t="shared" si="3"/>
        <v>1.7319999999999999E-2</v>
      </c>
      <c r="O40" s="196">
        <v>324390.81099999999</v>
      </c>
      <c r="P40" s="196">
        <v>5504.9120626699996</v>
      </c>
      <c r="Q40" s="197">
        <f t="shared" si="4"/>
        <v>1.6969999999999999E-2</v>
      </c>
      <c r="R40" s="187">
        <v>324483</v>
      </c>
      <c r="S40" s="187">
        <v>4750.4311200000002</v>
      </c>
      <c r="T40" s="188">
        <f t="shared" si="5"/>
        <v>1.464E-2</v>
      </c>
      <c r="U40" s="196">
        <v>325566.03447000001</v>
      </c>
      <c r="V40" s="196">
        <v>3786.3329808860999</v>
      </c>
      <c r="W40" s="197">
        <f t="shared" si="6"/>
        <v>1.163E-2</v>
      </c>
      <c r="X40" s="187">
        <v>341480.42200000002</v>
      </c>
      <c r="Y40" s="187">
        <v>3053.8058137937751</v>
      </c>
      <c r="Z40" s="188">
        <f t="shared" si="7"/>
        <v>8.9428430359435804E-3</v>
      </c>
      <c r="AA40" s="189">
        <v>326334.701</v>
      </c>
      <c r="AB40" s="189">
        <v>3830.8318076895252</v>
      </c>
      <c r="AC40" s="190">
        <v>1.1738965534313573E-2</v>
      </c>
      <c r="AD40" s="191">
        <f t="shared" si="8"/>
        <v>1.2784361714051432E-2</v>
      </c>
      <c r="AE40" s="192">
        <f t="shared" si="9"/>
        <v>3.5512115872365086</v>
      </c>
      <c r="AF40" s="17">
        <f t="shared" si="10"/>
        <v>1.1870037340028528</v>
      </c>
      <c r="AG40" s="193">
        <f t="shared" si="11"/>
        <v>4.7382153212393616</v>
      </c>
      <c r="AH40" s="176">
        <f t="shared" si="12"/>
        <v>3.1967194303383947E-2</v>
      </c>
      <c r="AI40" s="176">
        <f t="shared" si="13"/>
        <v>6.7466740399257279E-3</v>
      </c>
      <c r="AJ40" s="1">
        <f t="shared" si="14"/>
        <v>3.7526665344215747E-2</v>
      </c>
      <c r="AK40" s="176">
        <f t="shared" si="15"/>
        <v>2.5318017888280086E-4</v>
      </c>
      <c r="AL40" s="137">
        <f t="shared" si="16"/>
        <v>4.8111111111111109</v>
      </c>
      <c r="AM40" s="137">
        <f t="shared" si="17"/>
        <v>4.7138888888888886</v>
      </c>
      <c r="AN40" s="137">
        <f t="shared" si="18"/>
        <v>4.0666666666666664</v>
      </c>
      <c r="AO40" s="137">
        <f t="shared" si="19"/>
        <v>3.2305555555555552</v>
      </c>
      <c r="AP40" s="137">
        <f t="shared" si="20"/>
        <v>2.4841230655398836</v>
      </c>
      <c r="AQ40" s="137">
        <f t="shared" si="23"/>
        <v>3.2608237595315481</v>
      </c>
      <c r="AS40" s="175">
        <f t="shared" si="21"/>
        <v>3.5512115872365078</v>
      </c>
      <c r="AT40" s="176">
        <f t="shared" si="22"/>
        <v>8.9909638490721423E-4</v>
      </c>
      <c r="AU40" s="176"/>
    </row>
    <row r="41" spans="1:47" s="198" customFormat="1" ht="14.45" customHeight="1" x14ac:dyDescent="0.25">
      <c r="A41" s="200" t="s">
        <v>336</v>
      </c>
      <c r="B41" s="195" t="s">
        <v>306</v>
      </c>
      <c r="C41" s="196">
        <v>831407.01100000006</v>
      </c>
      <c r="D41" s="196">
        <v>48221.606638000005</v>
      </c>
      <c r="E41" s="197">
        <f t="shared" si="0"/>
        <v>5.8000000000000003E-2</v>
      </c>
      <c r="F41" s="187">
        <v>847248.62199999997</v>
      </c>
      <c r="G41" s="187">
        <v>16097.723817999999</v>
      </c>
      <c r="H41" s="188">
        <f t="shared" si="1"/>
        <v>1.9E-2</v>
      </c>
      <c r="I41" s="196">
        <v>840678.16099999996</v>
      </c>
      <c r="J41" s="196">
        <v>12282.307932209998</v>
      </c>
      <c r="K41" s="197">
        <f t="shared" si="2"/>
        <v>1.4609999999999998E-2</v>
      </c>
      <c r="L41" s="187">
        <v>867593.27100000007</v>
      </c>
      <c r="M41" s="187">
        <v>15026.71545372</v>
      </c>
      <c r="N41" s="188">
        <f t="shared" si="3"/>
        <v>1.7319999999999999E-2</v>
      </c>
      <c r="O41" s="196">
        <v>802416.29</v>
      </c>
      <c r="P41" s="196">
        <v>13617.0044413</v>
      </c>
      <c r="Q41" s="197">
        <f t="shared" si="4"/>
        <v>1.6969999999999999E-2</v>
      </c>
      <c r="R41" s="187">
        <v>758264</v>
      </c>
      <c r="S41" s="187">
        <v>11100.98496</v>
      </c>
      <c r="T41" s="188">
        <f t="shared" si="5"/>
        <v>1.464E-2</v>
      </c>
      <c r="U41" s="196">
        <v>771892.96258000005</v>
      </c>
      <c r="V41" s="196">
        <v>8977.1151548054004</v>
      </c>
      <c r="W41" s="197">
        <f t="shared" si="6"/>
        <v>1.163E-2</v>
      </c>
      <c r="X41" s="187">
        <v>818095.00100000005</v>
      </c>
      <c r="Y41" s="187">
        <v>7316.0951824331069</v>
      </c>
      <c r="Z41" s="188">
        <f t="shared" si="7"/>
        <v>8.9428430359435804E-3</v>
      </c>
      <c r="AA41" s="189">
        <v>787352.68</v>
      </c>
      <c r="AB41" s="189">
        <v>9242.7059738694243</v>
      </c>
      <c r="AC41" s="190">
        <v>1.1738965534313573E-2</v>
      </c>
      <c r="AD41" s="191">
        <f t="shared" si="8"/>
        <v>1.2784361714051432E-2</v>
      </c>
      <c r="AE41" s="192">
        <f t="shared" si="9"/>
        <v>3.5512115872365086</v>
      </c>
      <c r="AF41" s="17">
        <f t="shared" si="10"/>
        <v>1.1870037340028528</v>
      </c>
      <c r="AG41" s="193">
        <f t="shared" si="11"/>
        <v>4.7382153212393616</v>
      </c>
      <c r="AH41" s="176">
        <f t="shared" si="12"/>
        <v>7.712773428545093E-2</v>
      </c>
      <c r="AI41" s="176">
        <f t="shared" si="13"/>
        <v>1.6277802728744892E-2</v>
      </c>
      <c r="AJ41" s="1">
        <f t="shared" si="14"/>
        <v>3.7526665344215747E-2</v>
      </c>
      <c r="AK41" s="176">
        <f t="shared" si="15"/>
        <v>6.1085165554077144E-4</v>
      </c>
      <c r="AL41" s="137">
        <f t="shared" si="16"/>
        <v>4.8111111111111109</v>
      </c>
      <c r="AM41" s="137">
        <f t="shared" si="17"/>
        <v>4.7138888888888886</v>
      </c>
      <c r="AN41" s="137">
        <f t="shared" si="18"/>
        <v>4.0666666666666664</v>
      </c>
      <c r="AO41" s="137">
        <f t="shared" si="19"/>
        <v>3.2305555555555552</v>
      </c>
      <c r="AP41" s="137">
        <f t="shared" si="20"/>
        <v>2.4841230655398836</v>
      </c>
      <c r="AQ41" s="137">
        <f t="shared" si="23"/>
        <v>3.2608237595315481</v>
      </c>
      <c r="AS41" s="175">
        <f t="shared" si="21"/>
        <v>3.5512115872365078</v>
      </c>
      <c r="AT41" s="176">
        <f t="shared" si="22"/>
        <v>2.1692634772389916E-3</v>
      </c>
      <c r="AU41" s="176"/>
    </row>
    <row r="42" spans="1:47" s="198" customFormat="1" ht="14.45" customHeight="1" x14ac:dyDescent="0.25">
      <c r="A42" s="194" t="s">
        <v>337</v>
      </c>
      <c r="B42" s="195" t="s">
        <v>306</v>
      </c>
      <c r="C42" s="196">
        <v>37087</v>
      </c>
      <c r="D42" s="196">
        <v>2151.0460000000003</v>
      </c>
      <c r="E42" s="197">
        <f t="shared" si="0"/>
        <v>5.800000000000001E-2</v>
      </c>
      <c r="F42" s="187">
        <v>38342</v>
      </c>
      <c r="G42" s="187">
        <v>728.49799999999993</v>
      </c>
      <c r="H42" s="188">
        <f t="shared" si="1"/>
        <v>1.9E-2</v>
      </c>
      <c r="I42" s="196">
        <v>39609</v>
      </c>
      <c r="J42" s="196">
        <v>578.68749000000003</v>
      </c>
      <c r="K42" s="197">
        <f t="shared" si="2"/>
        <v>1.4610000000000001E-2</v>
      </c>
      <c r="L42" s="187">
        <v>35535.89</v>
      </c>
      <c r="M42" s="187">
        <v>615.48161479999999</v>
      </c>
      <c r="N42" s="188">
        <f t="shared" si="3"/>
        <v>1.7319999999999999E-2</v>
      </c>
      <c r="O42" s="196">
        <v>35384.9</v>
      </c>
      <c r="P42" s="196">
        <v>600.48175300000003</v>
      </c>
      <c r="Q42" s="197">
        <f t="shared" si="4"/>
        <v>1.6969999999999999E-2</v>
      </c>
      <c r="R42" s="187">
        <v>36636.04</v>
      </c>
      <c r="S42" s="187">
        <v>511.32923040000003</v>
      </c>
      <c r="T42" s="188">
        <f t="shared" si="5"/>
        <v>1.3957000549185992E-2</v>
      </c>
      <c r="U42" s="196">
        <v>39945.47</v>
      </c>
      <c r="V42" s="196">
        <v>442.24237999999997</v>
      </c>
      <c r="W42" s="197">
        <f t="shared" si="6"/>
        <v>1.1071152248302497E-2</v>
      </c>
      <c r="X42" s="187">
        <v>41993.120000000003</v>
      </c>
      <c r="Y42" s="187">
        <v>361.79165786213349</v>
      </c>
      <c r="Z42" s="188">
        <f t="shared" si="7"/>
        <v>8.61549839264464E-3</v>
      </c>
      <c r="AA42" s="189">
        <v>41590</v>
      </c>
      <c r="AB42" s="189">
        <v>488.22357657210148</v>
      </c>
      <c r="AC42" s="190">
        <v>1.1738965534313573E-2</v>
      </c>
      <c r="AD42" s="191">
        <f t="shared" si="8"/>
        <v>1.247052334488934E-2</v>
      </c>
      <c r="AE42" s="192">
        <f t="shared" si="9"/>
        <v>3.4640342624692608</v>
      </c>
      <c r="AF42" s="17">
        <f t="shared" si="10"/>
        <v>1.1777263354355945</v>
      </c>
      <c r="AG42" s="193">
        <f t="shared" si="11"/>
        <v>4.6417605979048551</v>
      </c>
      <c r="AH42" s="176">
        <f t="shared" si="12"/>
        <v>3.9911507226466662E-3</v>
      </c>
      <c r="AI42" s="176">
        <f t="shared" si="13"/>
        <v>8.5983553836191948E-4</v>
      </c>
      <c r="AJ42" s="1">
        <f t="shared" si="14"/>
        <v>3.6762743935406454E-2</v>
      </c>
      <c r="AK42" s="176">
        <f t="shared" si="15"/>
        <v>3.1609913723361596E-5</v>
      </c>
      <c r="AL42" s="137">
        <f t="shared" si="16"/>
        <v>4.8111111111111109</v>
      </c>
      <c r="AM42" s="137">
        <f t="shared" si="17"/>
        <v>4.7138888888888886</v>
      </c>
      <c r="AN42" s="137">
        <f t="shared" si="18"/>
        <v>3.8769445969961089</v>
      </c>
      <c r="AO42" s="137">
        <f t="shared" si="19"/>
        <v>3.0753200689729159</v>
      </c>
      <c r="AP42" s="137">
        <f t="shared" si="20"/>
        <v>2.3931939979568444</v>
      </c>
      <c r="AQ42" s="137">
        <f t="shared" si="23"/>
        <v>3.2608237595315481</v>
      </c>
      <c r="AS42" s="175">
        <f t="shared" si="21"/>
        <v>3.4640342624692613</v>
      </c>
      <c r="AT42" s="176">
        <f t="shared" si="22"/>
        <v>1.0949782417142186E-4</v>
      </c>
      <c r="AU42" s="176"/>
    </row>
    <row r="43" spans="1:47" s="198" customFormat="1" ht="14.45" customHeight="1" x14ac:dyDescent="0.25">
      <c r="A43" s="200" t="s">
        <v>338</v>
      </c>
      <c r="B43" s="195" t="s">
        <v>306</v>
      </c>
      <c r="C43" s="196">
        <v>472147</v>
      </c>
      <c r="D43" s="196">
        <v>27320.726000000002</v>
      </c>
      <c r="E43" s="197">
        <f t="shared" si="0"/>
        <v>5.7864872592645937E-2</v>
      </c>
      <c r="F43" s="187">
        <v>490503</v>
      </c>
      <c r="G43" s="187">
        <v>9303.6540000000005</v>
      </c>
      <c r="H43" s="188">
        <f t="shared" si="1"/>
        <v>1.896757817994997E-2</v>
      </c>
      <c r="I43" s="196">
        <v>485278</v>
      </c>
      <c r="J43" s="196">
        <v>7050.9613199999994</v>
      </c>
      <c r="K43" s="197">
        <f t="shared" si="2"/>
        <v>1.4529736192450512E-2</v>
      </c>
      <c r="L43" s="187">
        <v>483299.82</v>
      </c>
      <c r="M43" s="187">
        <v>8293.4364023999988</v>
      </c>
      <c r="N43" s="188">
        <f t="shared" si="3"/>
        <v>1.7160023776545165E-2</v>
      </c>
      <c r="O43" s="196">
        <v>465149.603</v>
      </c>
      <c r="P43" s="196">
        <v>7801.0683229099996</v>
      </c>
      <c r="Q43" s="197">
        <f t="shared" si="4"/>
        <v>1.6771095304815298E-2</v>
      </c>
      <c r="R43" s="187">
        <v>452591</v>
      </c>
      <c r="S43" s="187">
        <v>6562.1896800000004</v>
      </c>
      <c r="T43" s="188">
        <f t="shared" si="5"/>
        <v>1.4499160787554328E-2</v>
      </c>
      <c r="U43" s="196">
        <v>476832</v>
      </c>
      <c r="V43" s="196">
        <v>5521.23783</v>
      </c>
      <c r="W43" s="197">
        <f t="shared" si="6"/>
        <v>1.1579000213911818E-2</v>
      </c>
      <c r="X43" s="187">
        <v>500982</v>
      </c>
      <c r="Y43" s="187">
        <v>4463.990015408921</v>
      </c>
      <c r="Z43" s="188">
        <f t="shared" si="7"/>
        <v>8.9104798483955923E-3</v>
      </c>
      <c r="AA43" s="189">
        <v>486751.12400000001</v>
      </c>
      <c r="AB43" s="189">
        <v>5678.3503859588191</v>
      </c>
      <c r="AC43" s="190">
        <v>1.1665818743869648E-2</v>
      </c>
      <c r="AD43" s="191">
        <f t="shared" si="8"/>
        <v>1.2685110979709336E-2</v>
      </c>
      <c r="AE43" s="192">
        <f t="shared" si="9"/>
        <v>3.5236419388081486</v>
      </c>
      <c r="AF43" s="17">
        <f t="shared" si="10"/>
        <v>1.184069775917858</v>
      </c>
      <c r="AG43" s="193">
        <f t="shared" si="11"/>
        <v>4.7077117147260061</v>
      </c>
      <c r="AH43" s="176">
        <f t="shared" si="12"/>
        <v>4.7374353253143028E-2</v>
      </c>
      <c r="AI43" s="176">
        <f t="shared" si="13"/>
        <v>1.0063138128223357E-2</v>
      </c>
      <c r="AJ43" s="1">
        <f t="shared" si="14"/>
        <v>3.7285076780629978E-2</v>
      </c>
      <c r="AK43" s="176">
        <f t="shared" si="15"/>
        <v>3.7520487776489291E-4</v>
      </c>
      <c r="AL43" s="137">
        <f t="shared" si="16"/>
        <v>4.7666732712625457</v>
      </c>
      <c r="AM43" s="137">
        <f t="shared" si="17"/>
        <v>4.6586375846709158</v>
      </c>
      <c r="AN43" s="137">
        <f t="shared" si="18"/>
        <v>4.0275446632095351</v>
      </c>
      <c r="AO43" s="137">
        <f t="shared" si="19"/>
        <v>3.2163889483088384</v>
      </c>
      <c r="AP43" s="137">
        <f t="shared" si="20"/>
        <v>2.475133291220998</v>
      </c>
      <c r="AQ43" s="137">
        <f t="shared" si="23"/>
        <v>3.2405052066304578</v>
      </c>
      <c r="AS43" s="175">
        <f t="shared" si="21"/>
        <v>3.5236419388081495</v>
      </c>
      <c r="AT43" s="176">
        <f t="shared" si="22"/>
        <v>1.3220876429377621E-3</v>
      </c>
      <c r="AU43" s="176"/>
    </row>
    <row r="44" spans="1:47" ht="14.45" customHeight="1" x14ac:dyDescent="0.25">
      <c r="A44" s="181" t="s">
        <v>339</v>
      </c>
      <c r="B44" s="182" t="s">
        <v>306</v>
      </c>
      <c r="C44" s="183">
        <v>897076.21299999999</v>
      </c>
      <c r="D44" s="183">
        <v>24819.690374150003</v>
      </c>
      <c r="E44" s="184">
        <f t="shared" si="0"/>
        <v>2.766731523417398E-2</v>
      </c>
      <c r="F44" s="185">
        <v>961434.77799999993</v>
      </c>
      <c r="G44" s="185">
        <v>10580.883632999999</v>
      </c>
      <c r="H44" s="186">
        <f t="shared" si="1"/>
        <v>1.1005305690117234E-2</v>
      </c>
      <c r="I44" s="183">
        <v>1022505.9790000001</v>
      </c>
      <c r="J44" s="183">
        <v>14737.651514699999</v>
      </c>
      <c r="K44" s="184">
        <f t="shared" si="2"/>
        <v>1.441326683401232E-2</v>
      </c>
      <c r="L44" s="185">
        <v>1141456.7489118872</v>
      </c>
      <c r="M44" s="185">
        <v>19049.679258958284</v>
      </c>
      <c r="N44" s="186">
        <f t="shared" si="3"/>
        <v>1.6688919030105793E-2</v>
      </c>
      <c r="O44" s="183">
        <v>1400037.9316551881</v>
      </c>
      <c r="P44" s="183">
        <v>26376.050777763179</v>
      </c>
      <c r="Q44" s="184">
        <f t="shared" si="4"/>
        <v>1.8839525830975323E-2</v>
      </c>
      <c r="R44" s="185">
        <v>1635668.1767190872</v>
      </c>
      <c r="S44" s="185">
        <v>16295.894006967215</v>
      </c>
      <c r="T44" s="186">
        <f t="shared" si="5"/>
        <v>9.9628361295470164E-3</v>
      </c>
      <c r="U44" s="183">
        <v>1846805.7889999999</v>
      </c>
      <c r="V44" s="183">
        <v>24327.649043169527</v>
      </c>
      <c r="W44" s="184">
        <f t="shared" si="6"/>
        <v>1.317282477024417E-2</v>
      </c>
      <c r="X44" s="187">
        <v>2182289.9610000006</v>
      </c>
      <c r="Y44" s="187">
        <v>39649</v>
      </c>
      <c r="Z44" s="188">
        <f t="shared" si="7"/>
        <v>1.8168529713545243E-2</v>
      </c>
      <c r="AA44" s="189">
        <v>2599454.7159000002</v>
      </c>
      <c r="AB44" s="189">
        <v>262355.53653852089</v>
      </c>
      <c r="AC44" s="190">
        <v>0.10092714250176366</v>
      </c>
      <c r="AD44" s="191">
        <f t="shared" si="8"/>
        <v>3.2214171789215082E-2</v>
      </c>
      <c r="AE44" s="192">
        <f t="shared" si="9"/>
        <v>8.9483810525597445</v>
      </c>
      <c r="AF44" s="17">
        <f t="shared" si="10"/>
        <v>1.76136974487236</v>
      </c>
      <c r="AG44" s="193">
        <f t="shared" si="11"/>
        <v>10.709750797432104</v>
      </c>
      <c r="AH44" s="176">
        <f t="shared" si="12"/>
        <v>0.57555667166161018</v>
      </c>
      <c r="AI44" s="176">
        <f t="shared" si="13"/>
        <v>5.3741369201570258E-2</v>
      </c>
      <c r="AJ44" s="1">
        <f t="shared" si="14"/>
        <v>8.4821226315662274E-2</v>
      </c>
      <c r="AK44" s="176">
        <f t="shared" si="15"/>
        <v>4.5584088395599536E-3</v>
      </c>
      <c r="AL44" s="137">
        <f t="shared" si="16"/>
        <v>4.6358108416960535</v>
      </c>
      <c r="AM44" s="137">
        <f t="shared" si="17"/>
        <v>5.2332016197153672</v>
      </c>
      <c r="AN44" s="137">
        <f t="shared" si="18"/>
        <v>2.7674544804297265</v>
      </c>
      <c r="AO44" s="137">
        <f t="shared" si="19"/>
        <v>3.6591179917344916</v>
      </c>
      <c r="AP44" s="137">
        <f t="shared" si="20"/>
        <v>5.046813809318123</v>
      </c>
      <c r="AQ44" s="137">
        <f t="shared" si="23"/>
        <v>28.035317361601013</v>
      </c>
      <c r="AS44" s="175">
        <f t="shared" si="21"/>
        <v>8.9483810525597445</v>
      </c>
      <c r="AT44" s="176">
        <f t="shared" si="22"/>
        <v>4.0790379289739144E-2</v>
      </c>
      <c r="AU44" s="176"/>
    </row>
    <row r="45" spans="1:47" s="198" customFormat="1" ht="14.45" customHeight="1" x14ac:dyDescent="0.25">
      <c r="A45" s="194" t="s">
        <v>340</v>
      </c>
      <c r="B45" s="195" t="s">
        <v>306</v>
      </c>
      <c r="C45" s="196">
        <v>23740.078000000001</v>
      </c>
      <c r="D45" s="196">
        <v>1376.9245240000002</v>
      </c>
      <c r="E45" s="197">
        <f t="shared" si="0"/>
        <v>5.800000000000001E-2</v>
      </c>
      <c r="F45" s="187">
        <v>23241.222000000002</v>
      </c>
      <c r="G45" s="187">
        <v>441.58321800000004</v>
      </c>
      <c r="H45" s="188">
        <f t="shared" si="1"/>
        <v>1.9E-2</v>
      </c>
      <c r="I45" s="196">
        <v>23936.631000000001</v>
      </c>
      <c r="J45" s="196">
        <v>349.71417890999999</v>
      </c>
      <c r="K45" s="197">
        <f t="shared" si="2"/>
        <v>1.4609999999999998E-2</v>
      </c>
      <c r="L45" s="187">
        <v>24173.204000000002</v>
      </c>
      <c r="M45" s="187">
        <v>418.67989327999999</v>
      </c>
      <c r="N45" s="188">
        <f t="shared" si="3"/>
        <v>1.7319999999999999E-2</v>
      </c>
      <c r="O45" s="196">
        <v>23548.822</v>
      </c>
      <c r="P45" s="196">
        <v>399.62350934</v>
      </c>
      <c r="Q45" s="197">
        <f t="shared" si="4"/>
        <v>1.6969999999999999E-2</v>
      </c>
      <c r="R45" s="187">
        <v>22871.22</v>
      </c>
      <c r="S45" s="187">
        <v>334.83466079999999</v>
      </c>
      <c r="T45" s="188">
        <f t="shared" si="5"/>
        <v>1.4639999999999999E-2</v>
      </c>
      <c r="U45" s="196">
        <v>23256.814999999999</v>
      </c>
      <c r="V45" s="196">
        <v>270.47675844999998</v>
      </c>
      <c r="W45" s="197">
        <f t="shared" si="6"/>
        <v>1.163E-2</v>
      </c>
      <c r="X45" s="187">
        <v>23528.519</v>
      </c>
      <c r="Y45" s="187">
        <v>210.41185228521621</v>
      </c>
      <c r="Z45" s="188">
        <f t="shared" si="7"/>
        <v>8.9428430359435804E-3</v>
      </c>
      <c r="AA45" s="189">
        <v>24420.51</v>
      </c>
      <c r="AB45" s="189">
        <v>286.67152522035991</v>
      </c>
      <c r="AC45" s="190">
        <v>1.1738965534313571E-2</v>
      </c>
      <c r="AD45" s="191">
        <f t="shared" si="8"/>
        <v>1.2784361714051432E-2</v>
      </c>
      <c r="AE45" s="192">
        <f t="shared" si="9"/>
        <v>3.5512115872365086</v>
      </c>
      <c r="AF45" s="17">
        <f t="shared" si="10"/>
        <v>1.1870037340028528</v>
      </c>
      <c r="AG45" s="193">
        <f t="shared" si="11"/>
        <v>4.7382153212393616</v>
      </c>
      <c r="AH45" s="176">
        <f t="shared" si="12"/>
        <v>2.3921917766193384E-3</v>
      </c>
      <c r="AI45" s="176">
        <f t="shared" si="13"/>
        <v>5.0487190100799797E-4</v>
      </c>
      <c r="AJ45" s="1">
        <f t="shared" si="14"/>
        <v>3.7526665344215747E-2</v>
      </c>
      <c r="AK45" s="176">
        <f t="shared" si="15"/>
        <v>1.8946158870825161E-5</v>
      </c>
      <c r="AL45" s="137">
        <f t="shared" si="16"/>
        <v>4.8111111111111109</v>
      </c>
      <c r="AM45" s="137">
        <f t="shared" si="17"/>
        <v>4.7138888888888886</v>
      </c>
      <c r="AN45" s="137">
        <f t="shared" si="18"/>
        <v>4.0666666666666664</v>
      </c>
      <c r="AO45" s="137">
        <f t="shared" si="19"/>
        <v>3.2305555555555552</v>
      </c>
      <c r="AP45" s="137">
        <f t="shared" si="20"/>
        <v>2.4841230655398836</v>
      </c>
      <c r="AQ45" s="137">
        <f t="shared" si="23"/>
        <v>3.2608237595315477</v>
      </c>
      <c r="AS45" s="175">
        <f t="shared" si="21"/>
        <v>3.5512115872365078</v>
      </c>
      <c r="AT45" s="176">
        <f t="shared" si="22"/>
        <v>6.7281818915698066E-5</v>
      </c>
      <c r="AU45" s="176"/>
    </row>
    <row r="46" spans="1:47" s="198" customFormat="1" ht="14.45" customHeight="1" x14ac:dyDescent="0.25">
      <c r="A46" s="194" t="s">
        <v>341</v>
      </c>
      <c r="B46" s="195" t="s">
        <v>306</v>
      </c>
      <c r="C46" s="196">
        <v>0</v>
      </c>
      <c r="D46" s="196">
        <v>0</v>
      </c>
      <c r="E46" s="197">
        <v>0</v>
      </c>
      <c r="F46" s="187">
        <v>0</v>
      </c>
      <c r="G46" s="187">
        <v>0</v>
      </c>
      <c r="H46" s="188">
        <v>0</v>
      </c>
      <c r="I46" s="196">
        <v>0</v>
      </c>
      <c r="J46" s="196">
        <v>0</v>
      </c>
      <c r="K46" s="197">
        <v>0</v>
      </c>
      <c r="L46" s="187">
        <v>0</v>
      </c>
      <c r="M46" s="187">
        <v>0</v>
      </c>
      <c r="N46" s="188">
        <v>0</v>
      </c>
      <c r="O46" s="196">
        <v>4820.2299999999996</v>
      </c>
      <c r="P46" s="196">
        <v>81.799303099999989</v>
      </c>
      <c r="Q46" s="197">
        <f t="shared" si="4"/>
        <v>1.6969999999999999E-2</v>
      </c>
      <c r="R46" s="187">
        <v>4717.6099999999997</v>
      </c>
      <c r="S46" s="187">
        <v>69.065810399999989</v>
      </c>
      <c r="T46" s="188">
        <f t="shared" si="5"/>
        <v>1.4639999999999999E-2</v>
      </c>
      <c r="U46" s="196">
        <v>5183.5200000000004</v>
      </c>
      <c r="V46" s="196">
        <v>60.284337600000001</v>
      </c>
      <c r="W46" s="197">
        <f t="shared" si="6"/>
        <v>1.163E-2</v>
      </c>
      <c r="X46" s="187">
        <v>5697.2449999999999</v>
      </c>
      <c r="Y46" s="187">
        <v>50.949567772314381</v>
      </c>
      <c r="Z46" s="188">
        <f t="shared" si="7"/>
        <v>8.9428430359435804E-3</v>
      </c>
      <c r="AA46" s="189">
        <v>5507.2</v>
      </c>
      <c r="AB46" s="189">
        <v>64.64883099057171</v>
      </c>
      <c r="AC46" s="190">
        <v>1.1738965534313573E-2</v>
      </c>
      <c r="AD46" s="191">
        <f t="shared" si="8"/>
        <v>1.2784361714051432E-2</v>
      </c>
      <c r="AE46" s="192">
        <f t="shared" si="9"/>
        <v>3.5512115872365086</v>
      </c>
      <c r="AF46" s="17">
        <f t="shared" si="10"/>
        <v>1.1870037340028528</v>
      </c>
      <c r="AG46" s="193">
        <f t="shared" si="11"/>
        <v>4.7382153212393616</v>
      </c>
      <c r="AH46" s="176">
        <f t="shared" si="12"/>
        <v>5.3947597950239454E-4</v>
      </c>
      <c r="AI46" s="176">
        <f t="shared" si="13"/>
        <v>1.1385636635890268E-4</v>
      </c>
      <c r="AJ46" s="1">
        <f t="shared" si="14"/>
        <v>3.7526665344215747E-2</v>
      </c>
      <c r="AK46" s="176">
        <f t="shared" si="15"/>
        <v>4.2726497576589649E-6</v>
      </c>
      <c r="AL46" s="137">
        <f t="shared" si="16"/>
        <v>0</v>
      </c>
      <c r="AM46" s="137">
        <f t="shared" si="17"/>
        <v>4.7138888888888886</v>
      </c>
      <c r="AN46" s="137">
        <f t="shared" si="18"/>
        <v>4.0666666666666664</v>
      </c>
      <c r="AO46" s="137">
        <f t="shared" si="19"/>
        <v>3.2305555555555552</v>
      </c>
      <c r="AP46" s="137">
        <f t="shared" si="20"/>
        <v>2.4841230655398836</v>
      </c>
      <c r="AQ46" s="137">
        <f t="shared" si="23"/>
        <v>3.2608237595315481</v>
      </c>
      <c r="AS46" s="175">
        <v>0</v>
      </c>
      <c r="AT46" s="176">
        <f t="shared" si="22"/>
        <v>0</v>
      </c>
      <c r="AU46" s="176"/>
    </row>
    <row r="47" spans="1:47" s="198" customFormat="1" ht="14.45" customHeight="1" x14ac:dyDescent="0.25">
      <c r="A47" s="194" t="s">
        <v>342</v>
      </c>
      <c r="B47" s="195" t="s">
        <v>306</v>
      </c>
      <c r="C47" s="196">
        <v>114265.66099999999</v>
      </c>
      <c r="D47" s="196">
        <v>6627.4083380000002</v>
      </c>
      <c r="E47" s="197">
        <f t="shared" si="0"/>
        <v>5.8000000000000003E-2</v>
      </c>
      <c r="F47" s="187">
        <v>115629.954</v>
      </c>
      <c r="G47" s="187">
        <v>2196.969126</v>
      </c>
      <c r="H47" s="188">
        <f t="shared" si="1"/>
        <v>1.9E-2</v>
      </c>
      <c r="I47" s="196">
        <v>112284.42200000001</v>
      </c>
      <c r="J47" s="196">
        <v>1640.47540542</v>
      </c>
      <c r="K47" s="197">
        <f t="shared" si="2"/>
        <v>1.461E-2</v>
      </c>
      <c r="L47" s="187">
        <v>115231.929</v>
      </c>
      <c r="M47" s="187">
        <v>1995.81701028</v>
      </c>
      <c r="N47" s="188">
        <f t="shared" si="3"/>
        <v>1.7319999999999999E-2</v>
      </c>
      <c r="O47" s="196">
        <v>113032.77099999999</v>
      </c>
      <c r="P47" s="196">
        <v>1918.1661238699999</v>
      </c>
      <c r="Q47" s="197">
        <f t="shared" si="4"/>
        <v>1.6969999999999999E-2</v>
      </c>
      <c r="R47" s="187">
        <v>110284.49</v>
      </c>
      <c r="S47" s="187">
        <v>1614.5649336000001</v>
      </c>
      <c r="T47" s="188">
        <f t="shared" si="5"/>
        <v>1.464E-2</v>
      </c>
      <c r="U47" s="196">
        <v>108566.982</v>
      </c>
      <c r="V47" s="196">
        <v>1262.6340006600001</v>
      </c>
      <c r="W47" s="197">
        <f t="shared" si="6"/>
        <v>1.163E-2</v>
      </c>
      <c r="X47" s="187">
        <v>118520.36200000001</v>
      </c>
      <c r="Y47" s="187">
        <v>1059.9089939292123</v>
      </c>
      <c r="Z47" s="188">
        <f t="shared" si="7"/>
        <v>8.9428430359435804E-3</v>
      </c>
      <c r="AA47" s="189">
        <v>111774.283</v>
      </c>
      <c r="AB47" s="189">
        <v>1312.1144557596115</v>
      </c>
      <c r="AC47" s="190">
        <v>1.1738965534313573E-2</v>
      </c>
      <c r="AD47" s="191">
        <f t="shared" si="8"/>
        <v>1.2784361714051432E-2</v>
      </c>
      <c r="AE47" s="192">
        <f t="shared" si="9"/>
        <v>3.5512115872365086</v>
      </c>
      <c r="AF47" s="17">
        <f t="shared" si="10"/>
        <v>1.1870037340028528</v>
      </c>
      <c r="AG47" s="193">
        <f t="shared" si="11"/>
        <v>4.7382153212393616</v>
      </c>
      <c r="AH47" s="176">
        <f t="shared" si="12"/>
        <v>1.0949219350051359E-2</v>
      </c>
      <c r="AI47" s="176">
        <f t="shared" si="13"/>
        <v>2.3108319499476446E-3</v>
      </c>
      <c r="AJ47" s="1">
        <f t="shared" si="14"/>
        <v>3.7526665344215747E-2</v>
      </c>
      <c r="AK47" s="176">
        <f t="shared" si="15"/>
        <v>8.671781725240677E-5</v>
      </c>
      <c r="AL47" s="137">
        <f t="shared" si="16"/>
        <v>4.8111111111111109</v>
      </c>
      <c r="AM47" s="137">
        <f t="shared" si="17"/>
        <v>4.7138888888888886</v>
      </c>
      <c r="AN47" s="137">
        <f t="shared" si="18"/>
        <v>4.0666666666666664</v>
      </c>
      <c r="AO47" s="137">
        <f t="shared" si="19"/>
        <v>3.2305555555555552</v>
      </c>
      <c r="AP47" s="137">
        <f t="shared" si="20"/>
        <v>2.4841230655398836</v>
      </c>
      <c r="AQ47" s="137">
        <f t="shared" si="23"/>
        <v>3.2608237595315481</v>
      </c>
      <c r="AS47" s="175">
        <f t="shared" si="21"/>
        <v>3.5512115872365078</v>
      </c>
      <c r="AT47" s="176">
        <f t="shared" si="22"/>
        <v>3.0795331744660489E-4</v>
      </c>
      <c r="AU47" s="176"/>
    </row>
    <row r="48" spans="1:47" ht="14.45" customHeight="1" x14ac:dyDescent="0.25">
      <c r="A48" s="201" t="s">
        <v>343</v>
      </c>
      <c r="B48" s="182" t="s">
        <v>306</v>
      </c>
      <c r="C48" s="183">
        <v>69108.686000000002</v>
      </c>
      <c r="D48" s="183">
        <v>2251.68807075</v>
      </c>
      <c r="E48" s="184">
        <f t="shared" si="0"/>
        <v>3.2581838855248964E-2</v>
      </c>
      <c r="F48" s="185">
        <v>71098.631999999998</v>
      </c>
      <c r="G48" s="185">
        <v>920.57928900000002</v>
      </c>
      <c r="H48" s="186">
        <f t="shared" si="1"/>
        <v>1.294791844940139E-2</v>
      </c>
      <c r="I48" s="183">
        <v>68195.369000000006</v>
      </c>
      <c r="J48" s="183">
        <v>996.33434109000007</v>
      </c>
      <c r="K48" s="184">
        <f t="shared" si="2"/>
        <v>1.461E-2</v>
      </c>
      <c r="L48" s="185">
        <v>72835.176999999996</v>
      </c>
      <c r="M48" s="185">
        <v>1261.5052656399998</v>
      </c>
      <c r="N48" s="186">
        <f t="shared" si="3"/>
        <v>1.7319999999999999E-2</v>
      </c>
      <c r="O48" s="183">
        <v>69361.672999999995</v>
      </c>
      <c r="P48" s="183">
        <v>1177.06759081</v>
      </c>
      <c r="Q48" s="184">
        <f t="shared" si="4"/>
        <v>1.6969999999999999E-2</v>
      </c>
      <c r="R48" s="185">
        <v>67803.817999999999</v>
      </c>
      <c r="S48" s="185">
        <v>992.64789552000002</v>
      </c>
      <c r="T48" s="186">
        <f t="shared" si="5"/>
        <v>1.464E-2</v>
      </c>
      <c r="U48" s="183">
        <v>70097.118000000002</v>
      </c>
      <c r="V48" s="183">
        <v>815.22948234</v>
      </c>
      <c r="W48" s="184">
        <f t="shared" si="6"/>
        <v>1.163E-2</v>
      </c>
      <c r="X48" s="187">
        <v>74771.066000000006</v>
      </c>
      <c r="Y48" s="187">
        <v>668.6659068681779</v>
      </c>
      <c r="Z48" s="188">
        <f t="shared" si="7"/>
        <v>8.9428430359435804E-3</v>
      </c>
      <c r="AA48" s="189">
        <v>70632.255000000005</v>
      </c>
      <c r="AB48" s="189">
        <v>829.14960705584758</v>
      </c>
      <c r="AC48" s="190">
        <v>1.1738965534313573E-2</v>
      </c>
      <c r="AD48" s="191">
        <f t="shared" si="8"/>
        <v>1.2784361714051432E-2</v>
      </c>
      <c r="AE48" s="192">
        <f t="shared" si="9"/>
        <v>3.5512115872365086</v>
      </c>
      <c r="AF48" s="17">
        <f t="shared" si="10"/>
        <v>1.1870037340028528</v>
      </c>
      <c r="AG48" s="193">
        <f t="shared" si="11"/>
        <v>4.7382153212393616</v>
      </c>
      <c r="AH48" s="176">
        <f t="shared" si="12"/>
        <v>6.9190160064257532E-3</v>
      </c>
      <c r="AI48" s="176">
        <f t="shared" si="13"/>
        <v>1.4602578264881314E-3</v>
      </c>
      <c r="AJ48" s="1">
        <f t="shared" si="14"/>
        <v>3.7526665344215747E-2</v>
      </c>
      <c r="AK48" s="176">
        <f t="shared" si="15"/>
        <v>5.4798606770891974E-5</v>
      </c>
      <c r="AL48" s="137">
        <f t="shared" si="16"/>
        <v>4.8111111111111109</v>
      </c>
      <c r="AM48" s="137">
        <f t="shared" si="17"/>
        <v>4.7138888888888886</v>
      </c>
      <c r="AN48" s="137">
        <f t="shared" si="18"/>
        <v>4.0666666666666664</v>
      </c>
      <c r="AO48" s="137">
        <f t="shared" si="19"/>
        <v>3.2305555555555552</v>
      </c>
      <c r="AP48" s="137">
        <f t="shared" si="20"/>
        <v>2.4841230655398836</v>
      </c>
      <c r="AQ48" s="137">
        <f t="shared" si="23"/>
        <v>3.2608237595315481</v>
      </c>
      <c r="AS48" s="175">
        <f t="shared" si="21"/>
        <v>3.5512115872365078</v>
      </c>
      <c r="AT48" s="176">
        <f t="shared" si="22"/>
        <v>1.9460144732920854E-4</v>
      </c>
      <c r="AU48" s="176"/>
    </row>
    <row r="49" spans="1:47" ht="14.45" customHeight="1" x14ac:dyDescent="0.25">
      <c r="A49" s="201"/>
      <c r="B49" s="182" t="s">
        <v>344</v>
      </c>
      <c r="C49" s="183">
        <v>0</v>
      </c>
      <c r="D49" s="183">
        <v>0</v>
      </c>
      <c r="E49" s="183">
        <v>0</v>
      </c>
      <c r="F49" s="185">
        <v>0</v>
      </c>
      <c r="G49" s="185">
        <v>0</v>
      </c>
      <c r="H49" s="185">
        <v>0</v>
      </c>
      <c r="I49" s="183">
        <v>0</v>
      </c>
      <c r="J49" s="183">
        <v>0</v>
      </c>
      <c r="K49" s="183">
        <v>0</v>
      </c>
      <c r="L49" s="185">
        <v>0</v>
      </c>
      <c r="M49" s="185">
        <v>0</v>
      </c>
      <c r="N49" s="185">
        <v>0</v>
      </c>
      <c r="O49" s="183">
        <v>0</v>
      </c>
      <c r="P49" s="183">
        <v>0</v>
      </c>
      <c r="Q49" s="183">
        <v>0</v>
      </c>
      <c r="R49" s="185">
        <v>0</v>
      </c>
      <c r="S49" s="185">
        <v>0</v>
      </c>
      <c r="T49" s="185">
        <v>0</v>
      </c>
      <c r="U49" s="183">
        <v>0</v>
      </c>
      <c r="V49" s="183">
        <v>0</v>
      </c>
      <c r="W49" s="183">
        <v>0</v>
      </c>
      <c r="X49" s="187">
        <v>210.3</v>
      </c>
      <c r="Y49" s="187">
        <v>0</v>
      </c>
      <c r="Z49" s="188">
        <f t="shared" si="7"/>
        <v>0</v>
      </c>
      <c r="AA49" s="189">
        <v>3841.85</v>
      </c>
      <c r="AB49" s="189">
        <v>0</v>
      </c>
      <c r="AC49" s="190">
        <v>0</v>
      </c>
      <c r="AD49" s="191">
        <f t="shared" si="8"/>
        <v>0</v>
      </c>
      <c r="AE49" s="192">
        <f t="shared" si="9"/>
        <v>0</v>
      </c>
      <c r="AF49" s="17">
        <f t="shared" si="10"/>
        <v>0.80908429933999315</v>
      </c>
      <c r="AG49" s="193">
        <f t="shared" si="11"/>
        <v>0.80908429933999315</v>
      </c>
      <c r="AH49" s="176">
        <f t="shared" si="12"/>
        <v>6.4262948639319539E-5</v>
      </c>
      <c r="AI49" s="176">
        <f t="shared" si="13"/>
        <v>7.942676516123443E-5</v>
      </c>
      <c r="AJ49" s="1">
        <f t="shared" si="14"/>
        <v>6.4079476507727462E-3</v>
      </c>
      <c r="AK49" s="176">
        <f t="shared" si="15"/>
        <v>5.0896255322341079E-7</v>
      </c>
      <c r="AL49" s="137">
        <f t="shared" si="16"/>
        <v>0</v>
      </c>
      <c r="AM49" s="137">
        <f t="shared" si="17"/>
        <v>0</v>
      </c>
      <c r="AN49" s="137">
        <f t="shared" si="18"/>
        <v>0</v>
      </c>
      <c r="AO49" s="137">
        <f t="shared" si="19"/>
        <v>0</v>
      </c>
      <c r="AP49" s="137">
        <f t="shared" si="20"/>
        <v>0</v>
      </c>
      <c r="AQ49" s="137">
        <f t="shared" si="23"/>
        <v>0</v>
      </c>
      <c r="AS49" s="175">
        <f t="shared" si="21"/>
        <v>0</v>
      </c>
      <c r="AT49" s="176">
        <f t="shared" si="22"/>
        <v>0</v>
      </c>
      <c r="AU49" s="176"/>
    </row>
    <row r="50" spans="1:47" ht="14.45" customHeight="1" x14ac:dyDescent="0.25">
      <c r="A50" s="201"/>
      <c r="B50" s="182" t="s">
        <v>344</v>
      </c>
      <c r="C50" s="183">
        <v>0</v>
      </c>
      <c r="D50" s="183">
        <v>0</v>
      </c>
      <c r="E50" s="183">
        <v>0</v>
      </c>
      <c r="F50" s="185">
        <v>0</v>
      </c>
      <c r="G50" s="185">
        <v>0</v>
      </c>
      <c r="H50" s="185">
        <v>0</v>
      </c>
      <c r="I50" s="183">
        <v>0</v>
      </c>
      <c r="J50" s="183">
        <v>0</v>
      </c>
      <c r="K50" s="183">
        <v>0</v>
      </c>
      <c r="L50" s="185">
        <v>11042</v>
      </c>
      <c r="M50" s="202">
        <v>0</v>
      </c>
      <c r="N50" s="186">
        <f t="shared" si="3"/>
        <v>0</v>
      </c>
      <c r="O50" s="183">
        <v>19008</v>
      </c>
      <c r="P50" s="183">
        <v>0</v>
      </c>
      <c r="Q50" s="184">
        <f>P50/O50</f>
        <v>0</v>
      </c>
      <c r="R50" s="185">
        <v>57484</v>
      </c>
      <c r="S50" s="185">
        <v>0</v>
      </c>
      <c r="T50" s="186">
        <f>S50/R50</f>
        <v>0</v>
      </c>
      <c r="U50" s="183">
        <v>137210</v>
      </c>
      <c r="V50" s="183">
        <v>0</v>
      </c>
      <c r="W50" s="184">
        <f>V50/U50</f>
        <v>0</v>
      </c>
      <c r="X50" s="187">
        <v>325769</v>
      </c>
      <c r="Y50" s="187">
        <v>8580</v>
      </c>
      <c r="Z50" s="188">
        <f t="shared" si="7"/>
        <v>2.6337680994815343E-2</v>
      </c>
      <c r="AA50" s="189">
        <v>356681</v>
      </c>
      <c r="AB50" s="189">
        <v>13041.841199999999</v>
      </c>
      <c r="AC50" s="190">
        <v>3.6564440494447417E-2</v>
      </c>
      <c r="AD50" s="191">
        <f t="shared" si="8"/>
        <v>1.2580424297852551E-2</v>
      </c>
      <c r="AE50" s="192">
        <f t="shared" si="9"/>
        <v>3.4945623049590422</v>
      </c>
      <c r="AF50" s="17">
        <f t="shared" si="10"/>
        <v>1.180975125398031</v>
      </c>
      <c r="AG50" s="193">
        <f t="shared" si="11"/>
        <v>4.6755374303570729</v>
      </c>
      <c r="AH50" s="176">
        <f t="shared" si="12"/>
        <v>3.4477676035274657E-2</v>
      </c>
      <c r="AI50" s="176">
        <f t="shared" si="13"/>
        <v>7.3740562553130029E-3</v>
      </c>
      <c r="AJ50" s="1">
        <f t="shared" si="14"/>
        <v>3.7030256448428021E-2</v>
      </c>
      <c r="AK50" s="176">
        <f t="shared" si="15"/>
        <v>2.7306319419937531E-4</v>
      </c>
      <c r="AL50" s="137">
        <f t="shared" si="16"/>
        <v>0</v>
      </c>
      <c r="AM50" s="137">
        <f t="shared" si="17"/>
        <v>0</v>
      </c>
      <c r="AN50" s="137">
        <f t="shared" si="18"/>
        <v>0</v>
      </c>
      <c r="AO50" s="137">
        <f t="shared" si="19"/>
        <v>0</v>
      </c>
      <c r="AP50" s="137">
        <f t="shared" si="20"/>
        <v>7.3160224985598177</v>
      </c>
      <c r="AQ50" s="137">
        <f t="shared" si="23"/>
        <v>10.156789026235394</v>
      </c>
      <c r="AS50" s="175">
        <f t="shared" si="21"/>
        <v>3.4945623049590422</v>
      </c>
      <c r="AT50" s="176">
        <f t="shared" si="22"/>
        <v>9.5423634532084756E-4</v>
      </c>
      <c r="AU50" s="176"/>
    </row>
    <row r="51" spans="1:47" ht="14.45" customHeight="1" x14ac:dyDescent="0.25">
      <c r="A51" s="201"/>
      <c r="B51" s="182" t="s">
        <v>344</v>
      </c>
      <c r="C51" s="183">
        <v>1128869.93</v>
      </c>
      <c r="D51" s="183">
        <v>591646</v>
      </c>
      <c r="E51" s="184">
        <f t="shared" si="0"/>
        <v>0.52410466810822043</v>
      </c>
      <c r="F51" s="185">
        <v>1013863.705</v>
      </c>
      <c r="G51" s="185">
        <v>404532</v>
      </c>
      <c r="H51" s="186">
        <f t="shared" si="1"/>
        <v>0.3990003764855159</v>
      </c>
      <c r="I51" s="183">
        <v>1338520.8149999999</v>
      </c>
      <c r="J51" s="183">
        <v>547455</v>
      </c>
      <c r="K51" s="184">
        <f t="shared" si="2"/>
        <v>0.4089999900375102</v>
      </c>
      <c r="L51" s="185">
        <v>1785679</v>
      </c>
      <c r="M51" s="185">
        <v>917839</v>
      </c>
      <c r="N51" s="186">
        <f t="shared" si="3"/>
        <v>0.51399999663993357</v>
      </c>
      <c r="O51" s="183">
        <v>1773698</v>
      </c>
      <c r="P51" s="183">
        <v>822996</v>
      </c>
      <c r="Q51" s="184">
        <f t="shared" si="4"/>
        <v>0.46400007216561107</v>
      </c>
      <c r="R51" s="185">
        <v>1750533.1410000001</v>
      </c>
      <c r="S51" s="185">
        <v>852610.60796356248</v>
      </c>
      <c r="T51" s="186">
        <f t="shared" si="5"/>
        <v>0.48705767859756416</v>
      </c>
      <c r="U51" s="183">
        <v>1656912.59</v>
      </c>
      <c r="V51" s="183">
        <v>672519.36600121181</v>
      </c>
      <c r="W51" s="184">
        <f t="shared" si="6"/>
        <v>0.40588705165262323</v>
      </c>
      <c r="X51" s="187">
        <v>1664893.46</v>
      </c>
      <c r="Y51" s="187">
        <v>576749</v>
      </c>
      <c r="Z51" s="188">
        <f t="shared" si="7"/>
        <v>0.34641796238421169</v>
      </c>
      <c r="AA51" s="189">
        <v>1472659.85</v>
      </c>
      <c r="AB51" s="189">
        <v>630298.41580000008</v>
      </c>
      <c r="AC51" s="190">
        <v>0.42800000000000005</v>
      </c>
      <c r="AD51" s="191">
        <f t="shared" si="8"/>
        <v>0.42627255296000205</v>
      </c>
      <c r="AE51" s="192">
        <f t="shared" si="9"/>
        <v>118.40904248888945</v>
      </c>
      <c r="AF51" s="17">
        <f t="shared" si="10"/>
        <v>13.410157847648209</v>
      </c>
      <c r="AG51" s="193">
        <f t="shared" si="11"/>
        <v>131.81920033653768</v>
      </c>
      <c r="AH51" s="176">
        <f t="shared" si="12"/>
        <v>4.0133551231945503</v>
      </c>
      <c r="AI51" s="176">
        <f t="shared" si="13"/>
        <v>3.0445907067774312E-2</v>
      </c>
      <c r="AJ51" s="1">
        <f t="shared" si="14"/>
        <v>1.0440080666653784</v>
      </c>
      <c r="AK51" s="176">
        <f t="shared" si="15"/>
        <v>3.1785772575700838E-2</v>
      </c>
      <c r="AL51" s="137">
        <f t="shared" si="16"/>
        <v>142.777776844426</v>
      </c>
      <c r="AM51" s="137">
        <f t="shared" si="17"/>
        <v>128.88890893489196</v>
      </c>
      <c r="AN51" s="137">
        <f t="shared" si="18"/>
        <v>135.29379961043449</v>
      </c>
      <c r="AO51" s="137">
        <f t="shared" si="19"/>
        <v>112.74640323683978</v>
      </c>
      <c r="AP51" s="137">
        <f t="shared" si="20"/>
        <v>96.227211773392128</v>
      </c>
      <c r="AQ51" s="137">
        <f t="shared" si="23"/>
        <v>118.8888888888889</v>
      </c>
      <c r="AS51" s="175">
        <f t="shared" si="21"/>
        <v>118.40904248888947</v>
      </c>
      <c r="AT51" s="176">
        <f t="shared" si="22"/>
        <v>3.7637228954583382</v>
      </c>
      <c r="AU51" s="176"/>
    </row>
    <row r="52" spans="1:47" ht="14.45" customHeight="1" x14ac:dyDescent="0.25">
      <c r="A52" s="201"/>
      <c r="B52" s="182" t="s">
        <v>344</v>
      </c>
      <c r="C52" s="183">
        <v>18149.645765030993</v>
      </c>
      <c r="D52" s="183">
        <v>9692</v>
      </c>
      <c r="E52" s="184">
        <f t="shared" si="0"/>
        <v>0.53400491257375515</v>
      </c>
      <c r="F52" s="185">
        <v>69849</v>
      </c>
      <c r="G52" s="185">
        <v>27870</v>
      </c>
      <c r="H52" s="186">
        <f t="shared" si="1"/>
        <v>0.39900356483271054</v>
      </c>
      <c r="I52" s="183">
        <v>74411.77</v>
      </c>
      <c r="J52" s="183">
        <v>30434</v>
      </c>
      <c r="K52" s="184">
        <f t="shared" si="2"/>
        <v>0.40899443730474355</v>
      </c>
      <c r="L52" s="185">
        <v>0</v>
      </c>
      <c r="M52" s="185">
        <v>0</v>
      </c>
      <c r="N52" s="186">
        <v>0</v>
      </c>
      <c r="O52" s="183">
        <v>0</v>
      </c>
      <c r="P52" s="183">
        <v>0</v>
      </c>
      <c r="Q52" s="184">
        <v>0</v>
      </c>
      <c r="R52" s="185">
        <v>77108.740000000005</v>
      </c>
      <c r="S52" s="185">
        <v>37556.40390398314</v>
      </c>
      <c r="T52" s="186">
        <f t="shared" si="5"/>
        <v>0.48705767859756416</v>
      </c>
      <c r="U52" s="183">
        <v>197316.5</v>
      </c>
      <c r="V52" s="183">
        <v>80088.212427414837</v>
      </c>
      <c r="W52" s="184">
        <f t="shared" si="6"/>
        <v>0.40588705165262323</v>
      </c>
      <c r="X52" s="187">
        <v>345759</v>
      </c>
      <c r="Y52" s="187">
        <v>119777</v>
      </c>
      <c r="Z52" s="188">
        <f t="shared" si="7"/>
        <v>0.34641759144375128</v>
      </c>
      <c r="AA52" s="189">
        <v>420709.25</v>
      </c>
      <c r="AB52" s="189">
        <v>180063.55900000001</v>
      </c>
      <c r="AC52" s="190">
        <v>0.42800000000000005</v>
      </c>
      <c r="AD52" s="191">
        <f t="shared" si="8"/>
        <v>0.33347246433878774</v>
      </c>
      <c r="AE52" s="192">
        <f t="shared" si="9"/>
        <v>92.63124009410771</v>
      </c>
      <c r="AF52" s="17">
        <f t="shared" si="10"/>
        <v>10.666887764023645</v>
      </c>
      <c r="AG52" s="193">
        <f t="shared" si="11"/>
        <v>103.29812785813135</v>
      </c>
      <c r="AH52" s="176">
        <f t="shared" si="12"/>
        <v>0.89846462465667765</v>
      </c>
      <c r="AI52" s="176">
        <f t="shared" si="13"/>
        <v>8.6977822665926744E-3</v>
      </c>
      <c r="AJ52" s="1">
        <f t="shared" si="14"/>
        <v>0.81812117263640038</v>
      </c>
      <c r="AK52" s="176">
        <f t="shared" si="15"/>
        <v>7.1158398272808876E-3</v>
      </c>
      <c r="AL52" s="137">
        <f t="shared" si="16"/>
        <v>0</v>
      </c>
      <c r="AM52" s="137">
        <f t="shared" si="17"/>
        <v>0</v>
      </c>
      <c r="AN52" s="137">
        <f t="shared" si="18"/>
        <v>135.29379961043449</v>
      </c>
      <c r="AO52" s="137">
        <f t="shared" si="19"/>
        <v>112.74640323683978</v>
      </c>
      <c r="AP52" s="137">
        <f t="shared" si="20"/>
        <v>96.227108734375349</v>
      </c>
      <c r="AQ52" s="137">
        <f t="shared" si="23"/>
        <v>118.8888888888889</v>
      </c>
      <c r="AS52" s="175">
        <f t="shared" si="21"/>
        <v>92.63124009410771</v>
      </c>
      <c r="AT52" s="176">
        <f t="shared" si="22"/>
        <v>0.65914906751206981</v>
      </c>
      <c r="AU52" s="176"/>
    </row>
    <row r="53" spans="1:47" ht="14.45" customHeight="1" x14ac:dyDescent="0.25">
      <c r="A53" s="201"/>
      <c r="B53" s="182" t="s">
        <v>344</v>
      </c>
      <c r="C53" s="183">
        <v>0</v>
      </c>
      <c r="D53" s="183">
        <v>0</v>
      </c>
      <c r="E53" s="183">
        <v>0</v>
      </c>
      <c r="F53" s="185">
        <v>0</v>
      </c>
      <c r="G53" s="185">
        <v>0</v>
      </c>
      <c r="H53" s="185">
        <v>0</v>
      </c>
      <c r="I53" s="183">
        <v>0</v>
      </c>
      <c r="J53" s="183">
        <v>0</v>
      </c>
      <c r="K53" s="183">
        <v>0</v>
      </c>
      <c r="L53" s="185">
        <v>0</v>
      </c>
      <c r="M53" s="185">
        <v>0</v>
      </c>
      <c r="N53" s="185">
        <v>0</v>
      </c>
      <c r="O53" s="183">
        <v>0</v>
      </c>
      <c r="P53" s="183">
        <v>0</v>
      </c>
      <c r="Q53" s="183">
        <v>0</v>
      </c>
      <c r="R53" s="185">
        <v>20877</v>
      </c>
      <c r="S53" s="185">
        <v>5755.5337364909828</v>
      </c>
      <c r="T53" s="186">
        <f t="shared" si="5"/>
        <v>0.2756877777693626</v>
      </c>
      <c r="U53" s="183">
        <v>41030</v>
      </c>
      <c r="V53" s="183">
        <v>7835.8279999999995</v>
      </c>
      <c r="W53" s="184">
        <f t="shared" si="6"/>
        <v>0.19097801608579087</v>
      </c>
      <c r="X53" s="187">
        <v>68749.81</v>
      </c>
      <c r="Y53" s="187">
        <v>14648</v>
      </c>
      <c r="Z53" s="188">
        <f t="shared" si="7"/>
        <v>0.21306240700883392</v>
      </c>
      <c r="AA53" s="189">
        <v>166241.88</v>
      </c>
      <c r="AB53" s="189">
        <v>41178.383840000002</v>
      </c>
      <c r="AC53" s="190">
        <v>0.24770162512599112</v>
      </c>
      <c r="AD53" s="191">
        <f t="shared" si="8"/>
        <v>0.18548596519799571</v>
      </c>
      <c r="AE53" s="192">
        <f t="shared" si="9"/>
        <v>51.523879221665474</v>
      </c>
      <c r="AF53" s="17">
        <f t="shared" si="10"/>
        <v>6.2922482361421768</v>
      </c>
      <c r="AG53" s="193">
        <f t="shared" si="11"/>
        <v>57.816127457807653</v>
      </c>
      <c r="AH53" s="176">
        <f t="shared" si="12"/>
        <v>0.19870825594997568</v>
      </c>
      <c r="AI53" s="176">
        <f t="shared" si="13"/>
        <v>3.4369001295527198E-3</v>
      </c>
      <c r="AJ53" s="1">
        <f t="shared" si="14"/>
        <v>0.45790372946583668</v>
      </c>
      <c r="AK53" s="176">
        <f t="shared" si="15"/>
        <v>1.5737693871238077E-3</v>
      </c>
      <c r="AL53" s="137">
        <f t="shared" si="16"/>
        <v>0</v>
      </c>
      <c r="AM53" s="137">
        <f t="shared" si="17"/>
        <v>0</v>
      </c>
      <c r="AN53" s="137">
        <f t="shared" si="18"/>
        <v>76.579938269267387</v>
      </c>
      <c r="AO53" s="137">
        <f t="shared" si="19"/>
        <v>53.049448912719683</v>
      </c>
      <c r="AP53" s="137">
        <f t="shared" si="20"/>
        <v>59.184001946898306</v>
      </c>
      <c r="AQ53" s="137">
        <f t="shared" si="23"/>
        <v>68.806006979441975</v>
      </c>
      <c r="AS53" s="175">
        <f t="shared" si="21"/>
        <v>51.523879221665467</v>
      </c>
      <c r="AT53" s="176">
        <f t="shared" si="22"/>
        <v>8.1086703824921544E-2</v>
      </c>
      <c r="AU53" s="176"/>
    </row>
    <row r="54" spans="1:47" ht="15.75" thickBot="1" x14ac:dyDescent="0.3">
      <c r="A54" s="15"/>
      <c r="B54" s="15"/>
      <c r="C54" s="14"/>
      <c r="D54" s="14"/>
      <c r="E54" s="14"/>
      <c r="F54" s="14"/>
      <c r="G54" s="14"/>
      <c r="H54" s="14"/>
      <c r="I54" s="14"/>
      <c r="J54" s="14"/>
      <c r="K54" s="14"/>
      <c r="L54" s="14"/>
      <c r="M54" s="14"/>
      <c r="N54" s="14"/>
      <c r="O54" s="14"/>
      <c r="P54" s="14"/>
      <c r="Q54" s="14"/>
      <c r="R54" s="14"/>
      <c r="S54" s="14"/>
      <c r="T54" s="14"/>
      <c r="U54" s="14"/>
      <c r="V54" s="14"/>
      <c r="W54" s="14"/>
      <c r="X54" s="203"/>
      <c r="Y54" s="203"/>
      <c r="Z54" s="204" t="s">
        <v>345</v>
      </c>
      <c r="AA54" s="204">
        <f>SUM(AA7:AA53)</f>
        <v>48369715.07276088</v>
      </c>
      <c r="AB54" s="204">
        <f>SUM(AB7:AB53)</f>
        <v>16379653.021888537</v>
      </c>
      <c r="AC54" s="205">
        <f>AB54/AA54</f>
        <v>0.3386344740143537</v>
      </c>
      <c r="AF54" s="3"/>
      <c r="AG54" s="137"/>
      <c r="AH54" s="206"/>
      <c r="AI54" s="1"/>
      <c r="AJ54" s="1">
        <f>AVERAGE(AJ7:AJ53)</f>
        <v>0.16177065263667528</v>
      </c>
      <c r="AK54" s="1">
        <f>SUM(AK7:AK53)</f>
        <v>0.83549216244109614</v>
      </c>
      <c r="AS54" s="137">
        <f>AVERAGE(AS7:AS53)</f>
        <v>17.654152238969569</v>
      </c>
      <c r="AT54" s="176">
        <f>SUM(AT7:AT53)</f>
        <v>125.30671603712172</v>
      </c>
      <c r="AU54" s="176"/>
    </row>
    <row r="55" spans="1:47" ht="15.75" thickBot="1" x14ac:dyDescent="0.3">
      <c r="A55" s="5"/>
      <c r="B55" s="207"/>
      <c r="C55" s="867">
        <v>2010</v>
      </c>
      <c r="D55" s="868"/>
      <c r="E55" s="869"/>
      <c r="F55" s="864">
        <v>2011</v>
      </c>
      <c r="G55" s="865"/>
      <c r="H55" s="866"/>
      <c r="I55" s="867">
        <v>2012</v>
      </c>
      <c r="J55" s="868"/>
      <c r="K55" s="869"/>
      <c r="L55" s="864">
        <v>2013</v>
      </c>
      <c r="M55" s="865"/>
      <c r="N55" s="866"/>
      <c r="O55" s="867">
        <v>2014</v>
      </c>
      <c r="P55" s="868"/>
      <c r="Q55" s="869"/>
      <c r="R55" s="864">
        <v>2015</v>
      </c>
      <c r="S55" s="865"/>
      <c r="T55" s="866"/>
      <c r="U55" s="867">
        <v>2016</v>
      </c>
      <c r="V55" s="868"/>
      <c r="W55" s="869"/>
      <c r="X55" s="876">
        <v>2017</v>
      </c>
      <c r="Y55" s="877"/>
      <c r="Z55" s="878"/>
      <c r="AA55" s="876">
        <v>2018</v>
      </c>
      <c r="AB55" s="877"/>
      <c r="AC55" s="878"/>
      <c r="AF55" s="3"/>
      <c r="AG55" s="3" t="s">
        <v>346</v>
      </c>
      <c r="AH55" s="137">
        <f>SUM(AH10:AH53)</f>
        <v>7.6733683117903322</v>
      </c>
    </row>
    <row r="56" spans="1:47" ht="15.75" thickBot="1" x14ac:dyDescent="0.3">
      <c r="A56" s="5"/>
      <c r="B56" s="208"/>
      <c r="C56" s="209" t="s">
        <v>294</v>
      </c>
      <c r="D56" s="210" t="s">
        <v>295</v>
      </c>
      <c r="E56" s="211" t="s">
        <v>296</v>
      </c>
      <c r="F56" s="212" t="s">
        <v>294</v>
      </c>
      <c r="G56" s="213" t="s">
        <v>295</v>
      </c>
      <c r="H56" s="214" t="s">
        <v>296</v>
      </c>
      <c r="I56" s="209" t="s">
        <v>294</v>
      </c>
      <c r="J56" s="210" t="s">
        <v>295</v>
      </c>
      <c r="K56" s="211" t="s">
        <v>296</v>
      </c>
      <c r="L56" s="212" t="s">
        <v>294</v>
      </c>
      <c r="M56" s="213" t="s">
        <v>295</v>
      </c>
      <c r="N56" s="214" t="s">
        <v>296</v>
      </c>
      <c r="O56" s="209" t="s">
        <v>294</v>
      </c>
      <c r="P56" s="210" t="s">
        <v>295</v>
      </c>
      <c r="Q56" s="211" t="s">
        <v>296</v>
      </c>
      <c r="R56" s="212" t="s">
        <v>294</v>
      </c>
      <c r="S56" s="213" t="s">
        <v>295</v>
      </c>
      <c r="T56" s="214" t="s">
        <v>296</v>
      </c>
      <c r="U56" s="209" t="s">
        <v>294</v>
      </c>
      <c r="V56" s="210" t="s">
        <v>295</v>
      </c>
      <c r="W56" s="211" t="s">
        <v>296</v>
      </c>
      <c r="X56" s="215" t="s">
        <v>294</v>
      </c>
      <c r="Y56" s="216" t="s">
        <v>295</v>
      </c>
      <c r="Z56" s="217" t="s">
        <v>296</v>
      </c>
      <c r="AA56" s="215" t="s">
        <v>294</v>
      </c>
      <c r="AB56" s="216" t="s">
        <v>295</v>
      </c>
      <c r="AC56" s="217" t="s">
        <v>296</v>
      </c>
      <c r="AD56" s="218" t="s">
        <v>347</v>
      </c>
      <c r="AG56" s="219" t="s">
        <v>348</v>
      </c>
      <c r="AH56">
        <f>(AH55*AG3)*AG4</f>
        <v>6.0773077029379431E-2</v>
      </c>
      <c r="AJ56">
        <f>AH56*33.7</f>
        <v>2.0480526958900871</v>
      </c>
    </row>
    <row r="57" spans="1:47" ht="15.75" thickBot="1" x14ac:dyDescent="0.3">
      <c r="A57" s="5"/>
      <c r="B57" s="220" t="s">
        <v>349</v>
      </c>
      <c r="C57" s="221">
        <f>SUM(C7:C53)</f>
        <v>47683331.254765034</v>
      </c>
      <c r="D57" s="221">
        <f>SUM(D7:D53)</f>
        <v>20337026.520943768</v>
      </c>
      <c r="E57" s="222">
        <f>D57/C57</f>
        <v>0.42650179812912031</v>
      </c>
      <c r="F57" s="223">
        <f>SUM(F7:F53)</f>
        <v>50022772.165000007</v>
      </c>
      <c r="G57" s="224">
        <f>SUM(G7:G53)</f>
        <v>18107617.760801133</v>
      </c>
      <c r="H57" s="225">
        <f>G57/F57</f>
        <v>0.36198749043881845</v>
      </c>
      <c r="I57" s="221">
        <f>SUM(I7:I53)</f>
        <v>49213733.942000002</v>
      </c>
      <c r="J57" s="221">
        <f>SUM(J7:J53)</f>
        <v>17345358.752357937</v>
      </c>
      <c r="K57" s="222">
        <f>J57/I57</f>
        <v>0.3524495575320501</v>
      </c>
      <c r="L57" s="226">
        <f>SUM(L7:L53)</f>
        <v>49978645.218238771</v>
      </c>
      <c r="M57" s="227">
        <f>SUM(M7:M53)</f>
        <v>18175772.470929071</v>
      </c>
      <c r="N57" s="228">
        <f>M57/L57</f>
        <v>0.36367077161779815</v>
      </c>
      <c r="O57" s="221">
        <f>SUM(O7:O53)</f>
        <v>48522215.347868294</v>
      </c>
      <c r="P57" s="229">
        <f>SUM(P7:P53)</f>
        <v>17900028.66580791</v>
      </c>
      <c r="Q57" s="222">
        <f>P57/O57</f>
        <v>0.36890378020620002</v>
      </c>
      <c r="R57" s="230">
        <f>SUM(R7:R53)</f>
        <v>48972582.256542385</v>
      </c>
      <c r="S57" s="224">
        <f>SUM(S7:S53)</f>
        <v>18596245.19510112</v>
      </c>
      <c r="T57" s="225">
        <f>S57/R57</f>
        <v>0.37972768308775051</v>
      </c>
      <c r="U57" s="231">
        <f>SUM(U7:U53)</f>
        <v>47973655.442324035</v>
      </c>
      <c r="V57" s="232">
        <f>SUM(V7:V53)</f>
        <v>16063045.897647571</v>
      </c>
      <c r="W57" s="233">
        <f>V57/U57</f>
        <v>0.33483055959659458</v>
      </c>
      <c r="X57" s="230">
        <f>SUM(X7:X53)</f>
        <v>50079748.778371908</v>
      </c>
      <c r="Y57" s="224">
        <f>SUM(Y7:Y53)</f>
        <v>16706146.409632994</v>
      </c>
      <c r="Z57" s="225">
        <f>Y57/X57</f>
        <v>0.33359085892315671</v>
      </c>
      <c r="AA57" s="14">
        <v>48369715.072760873</v>
      </c>
      <c r="AB57" s="14">
        <v>16379653.021888537</v>
      </c>
      <c r="AC57" s="234">
        <v>0.33863447401435376</v>
      </c>
      <c r="AD57" s="17"/>
      <c r="AE57" s="235">
        <f>AVERAGE(AC57,Z57,W57,T57,Q57)</f>
        <v>0.35113747116561111</v>
      </c>
    </row>
    <row r="58" spans="1:47" x14ac:dyDescent="0.25">
      <c r="A58" s="15"/>
      <c r="B58" s="15"/>
      <c r="F58" s="20">
        <f>F57*3600</f>
        <v>180081979794.00003</v>
      </c>
      <c r="G58" s="17">
        <f>G57*1000000</f>
        <v>18107617760801.133</v>
      </c>
      <c r="H58">
        <f>G58/F58</f>
        <v>100.55208067744957</v>
      </c>
      <c r="I58" s="20">
        <f>I57*3600</f>
        <v>177169442191.20001</v>
      </c>
      <c r="J58" s="17">
        <f>J57*1000000</f>
        <v>17345358752357.938</v>
      </c>
      <c r="K58">
        <f>J58/I58</f>
        <v>97.902654870013919</v>
      </c>
      <c r="L58" s="20">
        <f>L57*3600</f>
        <v>179923122785.65958</v>
      </c>
      <c r="M58" s="17">
        <f>M57*1000000</f>
        <v>18175772470929.07</v>
      </c>
      <c r="N58" s="137">
        <f>M58/L58</f>
        <v>101.01965878272171</v>
      </c>
      <c r="O58" s="137">
        <f>O57*3600</f>
        <v>174679975252.32587</v>
      </c>
      <c r="P58" s="137">
        <f>P57*1000000</f>
        <v>17900028665807.91</v>
      </c>
      <c r="Q58" s="137">
        <f>P58/O58</f>
        <v>102.47327227949999</v>
      </c>
      <c r="R58" s="137">
        <f>R57*3600</f>
        <v>176301296123.55258</v>
      </c>
      <c r="S58" s="137">
        <f>S57*1000000</f>
        <v>18596245195101.121</v>
      </c>
      <c r="T58" s="137">
        <f>S58/R58</f>
        <v>105.47991196881959</v>
      </c>
      <c r="U58" s="137">
        <f>U57*3600</f>
        <v>172705159592.36652</v>
      </c>
      <c r="V58" s="137">
        <f>V57*1000000</f>
        <v>16063045897647.57</v>
      </c>
      <c r="W58" s="40">
        <f>V58/U58</f>
        <v>93.008488776831825</v>
      </c>
      <c r="X58" s="137">
        <f>X57*3600</f>
        <v>180287095602.13885</v>
      </c>
      <c r="Y58" s="137">
        <f>Y57*1000000</f>
        <v>16706146409632.994</v>
      </c>
      <c r="Z58" s="137">
        <f>Y58/X58</f>
        <v>92.664127478654663</v>
      </c>
      <c r="AA58" s="137">
        <f>AA57*3600</f>
        <v>174130974261.93915</v>
      </c>
      <c r="AB58" s="40">
        <f>AB57*1000000</f>
        <v>16379653021888.537</v>
      </c>
      <c r="AC58" s="137">
        <f>AB58/AA58</f>
        <v>94.065131670653813</v>
      </c>
      <c r="AE58" s="235">
        <f>AVERAGE(Z58,W58,T58,Q58,AC58)</f>
        <v>97.538186434891983</v>
      </c>
      <c r="AJ58" s="234">
        <f>788304/AA54</f>
        <v>1.6297470407137641E-2</v>
      </c>
    </row>
    <row r="59" spans="1:47" x14ac:dyDescent="0.25">
      <c r="A59" s="5"/>
      <c r="B59" s="5"/>
      <c r="D59" s="14"/>
      <c r="G59" s="20"/>
      <c r="H59">
        <f>(H58*0.0022)*3.6</f>
        <v>0.79637247896540064</v>
      </c>
      <c r="K59">
        <f>(K58*0.0022)*3.6</f>
        <v>0.77538902657051034</v>
      </c>
      <c r="N59">
        <f>(N58*0.0022)*3.6</f>
        <v>0.80007569755915597</v>
      </c>
      <c r="O59" s="236"/>
      <c r="P59" s="236"/>
      <c r="Q59">
        <f>(Q58*0.0022)*3.6</f>
        <v>0.81158831645364005</v>
      </c>
      <c r="T59">
        <f>(T58*0.0022)*3.6</f>
        <v>0.83540090279305124</v>
      </c>
      <c r="U59" s="236"/>
      <c r="V59" s="236"/>
      <c r="W59">
        <f>(W58*0.0022)*3.6</f>
        <v>0.73662723111250805</v>
      </c>
      <c r="X59" s="143"/>
      <c r="Y59" s="143"/>
      <c r="Z59" s="143">
        <f>(Z58*0.0022)*3.6</f>
        <v>0.73389988963094499</v>
      </c>
      <c r="AA59" s="143"/>
      <c r="AB59" s="143"/>
      <c r="AC59" s="143">
        <f>(AC58*0.0022)*AG4</f>
        <v>0.74499584283157827</v>
      </c>
    </row>
    <row r="60" spans="1:47" x14ac:dyDescent="0.25">
      <c r="B60" s="5"/>
      <c r="D60" s="20"/>
      <c r="G60" s="20"/>
      <c r="J60" s="20"/>
      <c r="O60" s="20"/>
      <c r="P60" s="20"/>
      <c r="R60" s="20"/>
      <c r="S60" s="20"/>
      <c r="U60" s="17"/>
      <c r="V60" s="20"/>
      <c r="X60" s="143"/>
      <c r="Y60" s="143"/>
      <c r="Z60" s="143"/>
      <c r="AA60" s="143"/>
      <c r="AB60" s="143"/>
      <c r="AC60" s="143"/>
    </row>
    <row r="61" spans="1:47" x14ac:dyDescent="0.25">
      <c r="A61" s="5"/>
      <c r="B61" s="5"/>
      <c r="V61" s="461" t="s">
        <v>875</v>
      </c>
      <c r="W61" s="137">
        <f>AVERAGE(W58,T58,Q58,N58,K58)</f>
        <v>99.976797335577402</v>
      </c>
      <c r="X61" s="143"/>
      <c r="Y61" s="143"/>
      <c r="Z61" s="143"/>
      <c r="AA61" s="143"/>
      <c r="AB61" s="143"/>
      <c r="AC61" s="143"/>
    </row>
    <row r="62" spans="1:47" x14ac:dyDescent="0.25">
      <c r="A62" s="5"/>
      <c r="B62" s="5"/>
      <c r="X62" s="143"/>
      <c r="Y62" s="143"/>
      <c r="Z62" s="143"/>
      <c r="AA62" s="143"/>
      <c r="AB62" s="143"/>
      <c r="AC62" s="143"/>
    </row>
    <row r="63" spans="1:47" x14ac:dyDescent="0.25">
      <c r="A63" s="5"/>
      <c r="B63" s="5"/>
      <c r="X63" s="143"/>
      <c r="Y63" s="143"/>
      <c r="Z63" s="143"/>
      <c r="AA63" s="143"/>
      <c r="AB63" s="143"/>
      <c r="AC63" s="143"/>
    </row>
    <row r="64" spans="1:47" x14ac:dyDescent="0.25">
      <c r="A64" s="5"/>
      <c r="B64" s="5"/>
      <c r="X64" s="143"/>
      <c r="Y64" s="143"/>
      <c r="Z64" s="143"/>
      <c r="AA64" s="143"/>
      <c r="AB64" s="143"/>
      <c r="AC64" s="143"/>
    </row>
    <row r="65" spans="1:29" x14ac:dyDescent="0.25">
      <c r="A65" s="5"/>
      <c r="B65" s="5"/>
      <c r="X65" s="143"/>
      <c r="Y65" s="143"/>
      <c r="Z65" s="143"/>
      <c r="AA65" s="143"/>
      <c r="AB65" s="143"/>
      <c r="AC65" s="143"/>
    </row>
    <row r="66" spans="1:29" x14ac:dyDescent="0.25">
      <c r="A66" s="5"/>
      <c r="B66" s="5"/>
      <c r="X66" s="143"/>
      <c r="Y66" s="143"/>
      <c r="Z66" s="143"/>
      <c r="AA66" s="143"/>
      <c r="AB66" s="143"/>
      <c r="AC66" s="143"/>
    </row>
    <row r="67" spans="1:29" x14ac:dyDescent="0.25">
      <c r="A67" s="5"/>
      <c r="B67" s="5"/>
      <c r="X67" s="143"/>
      <c r="Y67" s="143"/>
      <c r="Z67" s="143"/>
      <c r="AA67" s="143"/>
      <c r="AB67" s="143"/>
      <c r="AC67" s="143"/>
    </row>
    <row r="68" spans="1:29" x14ac:dyDescent="0.25">
      <c r="A68" s="5"/>
      <c r="B68" s="5"/>
      <c r="X68" s="143"/>
      <c r="Y68" s="143"/>
      <c r="Z68" s="143"/>
      <c r="AA68" s="143"/>
      <c r="AB68" s="143"/>
      <c r="AC68" s="143"/>
    </row>
    <row r="69" spans="1:29" x14ac:dyDescent="0.25">
      <c r="A69" s="5"/>
      <c r="B69" s="5"/>
      <c r="X69" s="143"/>
      <c r="Y69" s="143"/>
      <c r="Z69" s="143"/>
      <c r="AA69" s="143"/>
      <c r="AB69" s="143"/>
      <c r="AC69" s="143"/>
    </row>
    <row r="70" spans="1:29" x14ac:dyDescent="0.25">
      <c r="A70" s="5"/>
      <c r="B70" s="5"/>
      <c r="X70" s="143"/>
      <c r="Y70" s="143"/>
      <c r="Z70" s="143"/>
      <c r="AA70" s="143"/>
      <c r="AB70" s="143"/>
      <c r="AC70" s="143"/>
    </row>
    <row r="71" spans="1:29" x14ac:dyDescent="0.25">
      <c r="A71" s="5"/>
      <c r="B71" s="5"/>
      <c r="X71" s="143"/>
      <c r="Y71" s="143"/>
      <c r="Z71" s="143"/>
      <c r="AA71" s="143"/>
      <c r="AB71" s="143"/>
      <c r="AC71" s="143"/>
    </row>
    <row r="72" spans="1:29" x14ac:dyDescent="0.25">
      <c r="A72" s="5"/>
      <c r="B72" s="5"/>
      <c r="X72" s="143"/>
      <c r="Y72" s="143"/>
      <c r="Z72" s="143"/>
      <c r="AA72" s="143"/>
      <c r="AB72" s="143"/>
      <c r="AC72" s="143"/>
    </row>
    <row r="73" spans="1:29" x14ac:dyDescent="0.25">
      <c r="A73" s="5"/>
      <c r="B73" s="5"/>
      <c r="X73" s="143"/>
      <c r="Y73" s="143"/>
      <c r="Z73" s="143"/>
      <c r="AA73" s="143"/>
      <c r="AB73" s="143"/>
      <c r="AC73" s="143"/>
    </row>
    <row r="74" spans="1:29" x14ac:dyDescent="0.25">
      <c r="A74" s="5"/>
      <c r="B74" s="5"/>
      <c r="X74" s="143"/>
      <c r="Y74" s="143"/>
      <c r="Z74" s="143"/>
      <c r="AA74" s="143"/>
      <c r="AB74" s="143"/>
      <c r="AC74" s="143"/>
    </row>
    <row r="75" spans="1:29" x14ac:dyDescent="0.25">
      <c r="A75" s="5"/>
      <c r="B75" s="5"/>
      <c r="X75" s="143"/>
      <c r="Y75" s="143"/>
      <c r="Z75" s="143"/>
      <c r="AA75" s="143"/>
      <c r="AB75" s="143"/>
      <c r="AC75" s="143"/>
    </row>
    <row r="76" spans="1:29" x14ac:dyDescent="0.25">
      <c r="A76" s="5"/>
      <c r="B76" s="5"/>
      <c r="X76" s="143"/>
      <c r="Y76" s="143"/>
      <c r="Z76" s="143"/>
      <c r="AA76" s="143"/>
      <c r="AB76" s="143"/>
      <c r="AC76" s="143"/>
    </row>
    <row r="77" spans="1:29" x14ac:dyDescent="0.25">
      <c r="A77" s="5"/>
      <c r="B77" s="5"/>
      <c r="X77" s="143"/>
      <c r="Y77" s="143"/>
      <c r="Z77" s="143"/>
      <c r="AA77" s="143"/>
      <c r="AB77" s="143"/>
      <c r="AC77" s="143"/>
    </row>
    <row r="78" spans="1:29" x14ac:dyDescent="0.25">
      <c r="A78" s="5"/>
      <c r="B78" s="5"/>
      <c r="X78" s="143"/>
      <c r="Y78" s="143"/>
      <c r="Z78" s="143"/>
      <c r="AA78" s="143"/>
      <c r="AB78" s="143"/>
      <c r="AC78" s="143"/>
    </row>
    <row r="79" spans="1:29" x14ac:dyDescent="0.25">
      <c r="A79" s="5"/>
      <c r="B79" s="5"/>
      <c r="X79" s="143"/>
      <c r="Y79" s="143"/>
      <c r="Z79" s="143"/>
      <c r="AA79" s="143"/>
      <c r="AB79" s="143"/>
      <c r="AC79" s="143"/>
    </row>
    <row r="80" spans="1:29" x14ac:dyDescent="0.25">
      <c r="A80" s="5"/>
      <c r="B80" s="5"/>
      <c r="X80" s="143"/>
      <c r="Y80" s="143"/>
      <c r="Z80" s="143"/>
      <c r="AA80" s="143"/>
      <c r="AB80" s="143"/>
      <c r="AC80" s="143"/>
    </row>
    <row r="81" spans="1:29" x14ac:dyDescent="0.25">
      <c r="A81" s="5"/>
      <c r="B81" s="5"/>
      <c r="X81" s="143"/>
      <c r="Y81" s="143"/>
      <c r="Z81" s="143"/>
      <c r="AA81" s="143"/>
      <c r="AB81" s="143"/>
      <c r="AC81" s="143"/>
    </row>
    <row r="82" spans="1:29" x14ac:dyDescent="0.25">
      <c r="A82" s="5"/>
      <c r="B82" s="5"/>
      <c r="X82" s="143"/>
      <c r="Y82" s="143"/>
      <c r="Z82" s="143"/>
      <c r="AA82" s="143"/>
      <c r="AB82" s="143"/>
      <c r="AC82" s="143"/>
    </row>
    <row r="83" spans="1:29" x14ac:dyDescent="0.25">
      <c r="A83" s="5"/>
      <c r="B83" s="5"/>
      <c r="X83" s="143"/>
      <c r="Y83" s="143"/>
      <c r="Z83" s="143"/>
      <c r="AA83" s="143"/>
      <c r="AB83" s="143"/>
      <c r="AC83" s="143"/>
    </row>
    <row r="84" spans="1:29" x14ac:dyDescent="0.25">
      <c r="A84" s="5"/>
      <c r="B84" s="5"/>
      <c r="X84" s="143"/>
      <c r="Y84" s="143"/>
      <c r="Z84" s="143"/>
      <c r="AA84" s="143"/>
      <c r="AB84" s="143"/>
      <c r="AC84" s="143"/>
    </row>
    <row r="85" spans="1:29" x14ac:dyDescent="0.25">
      <c r="A85" s="5"/>
      <c r="B85" s="5"/>
      <c r="X85" s="143"/>
      <c r="Y85" s="143"/>
      <c r="Z85" s="143"/>
      <c r="AA85" s="143"/>
      <c r="AB85" s="143"/>
      <c r="AC85" s="143"/>
    </row>
    <row r="86" spans="1:29" x14ac:dyDescent="0.25">
      <c r="A86" s="5"/>
      <c r="B86" s="5"/>
      <c r="X86" s="143"/>
      <c r="Y86" s="143"/>
      <c r="Z86" s="143"/>
      <c r="AA86" s="143"/>
      <c r="AB86" s="143"/>
      <c r="AC86" s="143"/>
    </row>
    <row r="87" spans="1:29" x14ac:dyDescent="0.25">
      <c r="A87" s="5"/>
      <c r="B87" s="5"/>
      <c r="X87" s="143"/>
      <c r="Y87" s="143"/>
      <c r="Z87" s="143"/>
      <c r="AA87" s="143"/>
      <c r="AB87" s="143"/>
      <c r="AC87" s="143"/>
    </row>
    <row r="88" spans="1:29" x14ac:dyDescent="0.25">
      <c r="A88" s="5"/>
      <c r="B88" s="5"/>
      <c r="X88" s="143"/>
      <c r="Y88" s="143"/>
      <c r="Z88" s="143"/>
      <c r="AA88" s="143"/>
      <c r="AB88" s="143"/>
      <c r="AC88" s="143"/>
    </row>
    <row r="89" spans="1:29" x14ac:dyDescent="0.25">
      <c r="A89" s="5"/>
      <c r="B89" s="5"/>
      <c r="X89" s="143"/>
      <c r="Y89" s="143"/>
      <c r="Z89" s="143"/>
      <c r="AA89" s="143"/>
      <c r="AB89" s="143"/>
      <c r="AC89" s="143"/>
    </row>
    <row r="90" spans="1:29" x14ac:dyDescent="0.25">
      <c r="A90" s="5"/>
      <c r="B90" s="5"/>
      <c r="X90" s="143"/>
      <c r="Y90" s="143"/>
      <c r="Z90" s="143"/>
      <c r="AA90" s="143"/>
      <c r="AB90" s="143"/>
      <c r="AC90" s="143"/>
    </row>
    <row r="91" spans="1:29" x14ac:dyDescent="0.25">
      <c r="A91" s="5"/>
      <c r="B91" s="5"/>
      <c r="X91" s="143"/>
      <c r="Y91" s="143"/>
      <c r="Z91" s="143"/>
      <c r="AA91" s="143"/>
      <c r="AB91" s="143"/>
      <c r="AC91" s="143"/>
    </row>
    <row r="92" spans="1:29" x14ac:dyDescent="0.25">
      <c r="A92" s="5"/>
      <c r="B92" s="5"/>
      <c r="X92" s="143"/>
      <c r="Y92" s="143"/>
      <c r="Z92" s="143"/>
      <c r="AA92" s="143"/>
      <c r="AB92" s="143"/>
      <c r="AC92" s="143"/>
    </row>
    <row r="93" spans="1:29" x14ac:dyDescent="0.25">
      <c r="A93" s="5"/>
      <c r="B93" s="5"/>
      <c r="X93" s="143"/>
      <c r="Y93" s="143"/>
      <c r="Z93" s="143"/>
      <c r="AA93" s="143"/>
      <c r="AB93" s="143"/>
      <c r="AC93" s="143"/>
    </row>
    <row r="94" spans="1:29" x14ac:dyDescent="0.25">
      <c r="A94" s="5"/>
      <c r="B94" s="5"/>
      <c r="X94" s="143"/>
      <c r="Y94" s="143"/>
      <c r="Z94" s="143"/>
      <c r="AA94" s="143"/>
      <c r="AB94" s="143"/>
      <c r="AC94" s="143"/>
    </row>
    <row r="95" spans="1:29" x14ac:dyDescent="0.25">
      <c r="A95" s="5"/>
      <c r="B95" s="5"/>
      <c r="X95" s="143"/>
      <c r="Y95" s="143"/>
      <c r="Z95" s="143"/>
      <c r="AA95" s="143"/>
      <c r="AB95" s="143"/>
      <c r="AC95" s="143"/>
    </row>
    <row r="96" spans="1:29" x14ac:dyDescent="0.25">
      <c r="A96" s="5"/>
      <c r="B96" s="5"/>
      <c r="X96" s="143"/>
      <c r="Y96" s="143"/>
      <c r="Z96" s="143"/>
      <c r="AA96" s="143"/>
      <c r="AB96" s="143"/>
      <c r="AC96" s="143"/>
    </row>
    <row r="97" spans="1:29" x14ac:dyDescent="0.25">
      <c r="A97" s="5"/>
      <c r="B97" s="5"/>
      <c r="X97" s="143"/>
      <c r="Y97" s="143"/>
      <c r="Z97" s="143"/>
      <c r="AA97" s="143"/>
      <c r="AB97" s="143"/>
      <c r="AC97" s="143"/>
    </row>
    <row r="98" spans="1:29" x14ac:dyDescent="0.25">
      <c r="A98" s="5"/>
      <c r="B98" s="5"/>
      <c r="X98" s="143"/>
      <c r="Y98" s="143"/>
      <c r="Z98" s="143"/>
      <c r="AA98" s="143"/>
      <c r="AB98" s="143"/>
      <c r="AC98" s="143"/>
    </row>
    <row r="99" spans="1:29" x14ac:dyDescent="0.25">
      <c r="A99" s="5"/>
      <c r="B99" s="5"/>
      <c r="X99" s="143"/>
      <c r="Y99" s="143"/>
      <c r="Z99" s="143"/>
      <c r="AA99" s="143"/>
      <c r="AB99" s="143"/>
      <c r="AC99" s="143"/>
    </row>
    <row r="100" spans="1:29" x14ac:dyDescent="0.25">
      <c r="A100" s="5"/>
      <c r="B100" s="5"/>
      <c r="X100" s="143"/>
      <c r="Y100" s="143"/>
      <c r="Z100" s="143"/>
      <c r="AA100" s="143"/>
      <c r="AB100" s="143"/>
      <c r="AC100" s="143"/>
    </row>
    <row r="101" spans="1:29" x14ac:dyDescent="0.25">
      <c r="A101" s="5"/>
      <c r="B101" s="5"/>
      <c r="X101" s="143"/>
      <c r="Y101" s="143"/>
      <c r="Z101" s="143"/>
      <c r="AA101" s="143"/>
      <c r="AB101" s="143"/>
      <c r="AC101" s="143"/>
    </row>
    <row r="102" spans="1:29" x14ac:dyDescent="0.25">
      <c r="A102" s="5"/>
      <c r="B102" s="5"/>
      <c r="X102" s="143"/>
      <c r="Y102" s="143"/>
      <c r="Z102" s="143"/>
      <c r="AA102" s="143"/>
      <c r="AB102" s="143"/>
      <c r="AC102" s="143"/>
    </row>
    <row r="103" spans="1:29" x14ac:dyDescent="0.25">
      <c r="A103" s="5"/>
      <c r="B103" s="5"/>
      <c r="X103" s="143"/>
      <c r="Y103" s="143"/>
      <c r="Z103" s="143"/>
      <c r="AA103" s="143"/>
      <c r="AB103" s="143"/>
      <c r="AC103" s="143"/>
    </row>
    <row r="104" spans="1:29" x14ac:dyDescent="0.25">
      <c r="A104" s="5"/>
      <c r="B104" s="5"/>
      <c r="X104" s="143"/>
      <c r="Y104" s="143"/>
      <c r="Z104" s="143"/>
      <c r="AA104" s="143"/>
      <c r="AB104" s="143"/>
      <c r="AC104" s="143"/>
    </row>
    <row r="105" spans="1:29" x14ac:dyDescent="0.25">
      <c r="A105" s="5"/>
      <c r="B105" s="5"/>
      <c r="X105" s="143"/>
      <c r="Y105" s="143"/>
      <c r="Z105" s="143"/>
      <c r="AA105" s="143"/>
      <c r="AB105" s="143"/>
      <c r="AC105" s="143"/>
    </row>
    <row r="106" spans="1:29" x14ac:dyDescent="0.25">
      <c r="A106" s="5"/>
      <c r="B106" s="5"/>
      <c r="X106" s="143"/>
      <c r="Y106" s="143"/>
      <c r="Z106" s="143"/>
      <c r="AA106" s="143"/>
      <c r="AB106" s="143"/>
      <c r="AC106" s="143"/>
    </row>
    <row r="107" spans="1:29" x14ac:dyDescent="0.25">
      <c r="A107" s="5"/>
      <c r="B107" s="5"/>
      <c r="X107" s="143"/>
      <c r="Y107" s="143"/>
      <c r="Z107" s="143"/>
      <c r="AA107" s="143"/>
      <c r="AB107" s="143"/>
      <c r="AC107" s="143"/>
    </row>
    <row r="108" spans="1:29" x14ac:dyDescent="0.25">
      <c r="A108" s="5"/>
      <c r="B108" s="5"/>
      <c r="X108" s="143"/>
      <c r="Y108" s="143"/>
      <c r="Z108" s="143"/>
      <c r="AA108" s="143"/>
      <c r="AB108" s="143"/>
      <c r="AC108" s="143"/>
    </row>
    <row r="109" spans="1:29" x14ac:dyDescent="0.25">
      <c r="A109" s="5"/>
      <c r="B109" s="5"/>
      <c r="X109" s="143"/>
      <c r="Y109" s="143"/>
      <c r="Z109" s="143"/>
      <c r="AA109" s="143"/>
      <c r="AB109" s="143"/>
      <c r="AC109" s="143"/>
    </row>
    <row r="110" spans="1:29" x14ac:dyDescent="0.25">
      <c r="A110" s="5"/>
      <c r="B110" s="5"/>
      <c r="X110" s="143"/>
      <c r="Y110" s="143"/>
      <c r="Z110" s="143"/>
      <c r="AA110" s="143"/>
      <c r="AB110" s="143"/>
      <c r="AC110" s="143"/>
    </row>
    <row r="111" spans="1:29" x14ac:dyDescent="0.25">
      <c r="A111" s="5"/>
      <c r="B111" s="5"/>
      <c r="X111" s="143"/>
      <c r="Y111" s="143"/>
      <c r="Z111" s="143"/>
      <c r="AA111" s="143"/>
      <c r="AB111" s="143"/>
      <c r="AC111" s="143"/>
    </row>
    <row r="112" spans="1:29" x14ac:dyDescent="0.25">
      <c r="A112" s="5"/>
      <c r="B112" s="5"/>
      <c r="X112" s="143"/>
      <c r="Y112" s="143"/>
      <c r="Z112" s="143"/>
      <c r="AA112" s="143"/>
      <c r="AB112" s="143"/>
      <c r="AC112" s="143"/>
    </row>
    <row r="113" spans="1:29" x14ac:dyDescent="0.25">
      <c r="A113" s="5"/>
      <c r="B113" s="5"/>
      <c r="X113" s="143"/>
      <c r="Y113" s="143"/>
      <c r="Z113" s="143"/>
      <c r="AA113" s="143"/>
      <c r="AB113" s="143"/>
      <c r="AC113" s="143"/>
    </row>
    <row r="114" spans="1:29" x14ac:dyDescent="0.25">
      <c r="A114" s="5"/>
      <c r="B114" s="5"/>
      <c r="X114" s="143"/>
      <c r="Y114" s="143"/>
      <c r="Z114" s="143"/>
      <c r="AA114" s="143"/>
      <c r="AB114" s="143"/>
      <c r="AC114" s="143"/>
    </row>
    <row r="115" spans="1:29" x14ac:dyDescent="0.25">
      <c r="A115" s="5"/>
      <c r="B115" s="5"/>
      <c r="X115" s="143"/>
      <c r="Y115" s="143"/>
      <c r="Z115" s="143"/>
      <c r="AA115" s="143"/>
      <c r="AB115" s="143"/>
      <c r="AC115" s="143"/>
    </row>
    <row r="116" spans="1:29" x14ac:dyDescent="0.25">
      <c r="A116" s="5"/>
      <c r="B116" s="5"/>
      <c r="X116" s="143"/>
      <c r="Y116" s="143"/>
      <c r="Z116" s="143"/>
      <c r="AA116" s="143"/>
      <c r="AB116" s="143"/>
      <c r="AC116" s="143"/>
    </row>
    <row r="117" spans="1:29" x14ac:dyDescent="0.25">
      <c r="A117" s="5"/>
      <c r="B117" s="5"/>
      <c r="X117" s="143"/>
      <c r="Y117" s="143"/>
      <c r="Z117" s="143"/>
      <c r="AA117" s="143"/>
      <c r="AB117" s="143"/>
      <c r="AC117" s="143"/>
    </row>
    <row r="118" spans="1:29" x14ac:dyDescent="0.25">
      <c r="A118" s="5"/>
      <c r="B118" s="5"/>
      <c r="X118" s="143"/>
      <c r="Y118" s="143"/>
      <c r="Z118" s="143"/>
      <c r="AA118" s="143"/>
      <c r="AB118" s="143"/>
      <c r="AC118" s="143"/>
    </row>
    <row r="119" spans="1:29" x14ac:dyDescent="0.25">
      <c r="A119" s="5"/>
      <c r="B119" s="5"/>
      <c r="X119" s="143"/>
      <c r="Y119" s="143"/>
      <c r="Z119" s="143"/>
      <c r="AA119" s="143"/>
      <c r="AB119" s="143"/>
      <c r="AC119" s="143"/>
    </row>
    <row r="120" spans="1:29" x14ac:dyDescent="0.25">
      <c r="A120" s="5"/>
      <c r="B120" s="5"/>
      <c r="X120" s="143"/>
      <c r="Y120" s="143"/>
      <c r="Z120" s="143"/>
      <c r="AA120" s="143"/>
      <c r="AB120" s="143"/>
      <c r="AC120" s="143"/>
    </row>
    <row r="121" spans="1:29" x14ac:dyDescent="0.25">
      <c r="A121" s="5"/>
      <c r="B121" s="5"/>
      <c r="X121" s="143"/>
      <c r="Y121" s="143"/>
      <c r="Z121" s="143"/>
      <c r="AA121" s="143"/>
      <c r="AB121" s="143"/>
      <c r="AC121" s="143"/>
    </row>
    <row r="122" spans="1:29" x14ac:dyDescent="0.25">
      <c r="A122" s="5"/>
      <c r="B122" s="5"/>
      <c r="X122" s="143"/>
      <c r="Y122" s="143"/>
      <c r="Z122" s="143"/>
      <c r="AA122" s="143"/>
      <c r="AB122" s="143"/>
      <c r="AC122" s="143"/>
    </row>
    <row r="123" spans="1:29" x14ac:dyDescent="0.25">
      <c r="A123" s="5"/>
      <c r="B123" s="5"/>
      <c r="X123" s="143"/>
      <c r="Y123" s="143"/>
      <c r="Z123" s="143"/>
      <c r="AA123" s="143"/>
      <c r="AB123" s="143"/>
      <c r="AC123" s="143"/>
    </row>
    <row r="124" spans="1:29" x14ac:dyDescent="0.25">
      <c r="A124" s="5"/>
      <c r="B124" s="5"/>
      <c r="X124" s="143"/>
      <c r="Y124" s="143"/>
      <c r="Z124" s="143"/>
      <c r="AA124" s="143"/>
      <c r="AB124" s="143"/>
      <c r="AC124" s="143"/>
    </row>
    <row r="125" spans="1:29" x14ac:dyDescent="0.25">
      <c r="A125" s="5"/>
      <c r="B125" s="5"/>
      <c r="X125" s="143"/>
      <c r="Y125" s="143"/>
      <c r="Z125" s="143"/>
      <c r="AA125" s="143"/>
      <c r="AB125" s="143"/>
      <c r="AC125" s="143"/>
    </row>
    <row r="126" spans="1:29" x14ac:dyDescent="0.25">
      <c r="A126" s="5"/>
      <c r="B126" s="5"/>
      <c r="X126" s="143"/>
      <c r="Y126" s="143"/>
      <c r="Z126" s="143"/>
      <c r="AA126" s="143"/>
      <c r="AB126" s="143"/>
      <c r="AC126" s="143"/>
    </row>
    <row r="127" spans="1:29" x14ac:dyDescent="0.25">
      <c r="A127" s="5"/>
      <c r="B127" s="5"/>
      <c r="X127" s="143"/>
      <c r="Y127" s="143"/>
      <c r="Z127" s="143"/>
      <c r="AA127" s="143"/>
      <c r="AB127" s="143"/>
      <c r="AC127" s="143"/>
    </row>
    <row r="128" spans="1:29" x14ac:dyDescent="0.25">
      <c r="A128" s="5"/>
      <c r="B128" s="5"/>
      <c r="X128" s="143"/>
      <c r="Y128" s="143"/>
      <c r="Z128" s="143"/>
      <c r="AA128" s="143"/>
      <c r="AB128" s="143"/>
      <c r="AC128" s="143"/>
    </row>
    <row r="129" spans="1:29" x14ac:dyDescent="0.25">
      <c r="A129" s="5"/>
      <c r="B129" s="5"/>
      <c r="X129" s="143"/>
      <c r="Y129" s="143"/>
      <c r="Z129" s="143"/>
      <c r="AA129" s="143"/>
      <c r="AB129" s="143"/>
      <c r="AC129" s="143"/>
    </row>
    <row r="130" spans="1:29" x14ac:dyDescent="0.25">
      <c r="A130" s="5"/>
      <c r="B130" s="5"/>
      <c r="X130" s="143"/>
      <c r="Y130" s="143"/>
      <c r="Z130" s="143"/>
      <c r="AA130" s="143"/>
      <c r="AB130" s="143"/>
      <c r="AC130" s="143"/>
    </row>
    <row r="131" spans="1:29" x14ac:dyDescent="0.25">
      <c r="A131" s="5"/>
      <c r="B131" s="5"/>
      <c r="X131" s="143"/>
      <c r="Y131" s="143"/>
      <c r="Z131" s="143"/>
      <c r="AA131" s="143"/>
      <c r="AB131" s="143"/>
      <c r="AC131" s="143"/>
    </row>
    <row r="132" spans="1:29" x14ac:dyDescent="0.25">
      <c r="A132" s="5"/>
      <c r="B132" s="5"/>
      <c r="X132" s="143"/>
      <c r="Y132" s="143"/>
      <c r="Z132" s="143"/>
      <c r="AA132" s="143"/>
      <c r="AB132" s="143"/>
      <c r="AC132" s="143"/>
    </row>
    <row r="133" spans="1:29" x14ac:dyDescent="0.25">
      <c r="A133" s="5"/>
      <c r="B133" s="5"/>
      <c r="X133" s="143"/>
      <c r="Y133" s="143"/>
      <c r="Z133" s="143"/>
      <c r="AA133" s="143"/>
      <c r="AB133" s="143"/>
      <c r="AC133" s="143"/>
    </row>
    <row r="134" spans="1:29" x14ac:dyDescent="0.25">
      <c r="A134" s="5"/>
      <c r="B134" s="5"/>
      <c r="X134" s="143"/>
      <c r="Y134" s="143"/>
      <c r="Z134" s="143"/>
      <c r="AA134" s="143"/>
      <c r="AB134" s="143"/>
      <c r="AC134" s="143"/>
    </row>
    <row r="135" spans="1:29" x14ac:dyDescent="0.25">
      <c r="A135" s="5"/>
      <c r="B135" s="5"/>
      <c r="X135" s="143"/>
      <c r="Y135" s="143"/>
      <c r="Z135" s="143"/>
      <c r="AA135" s="143"/>
      <c r="AB135" s="143"/>
      <c r="AC135" s="143"/>
    </row>
    <row r="136" spans="1:29" x14ac:dyDescent="0.25">
      <c r="A136" s="5"/>
      <c r="B136" s="5"/>
      <c r="X136" s="143"/>
      <c r="Y136" s="143"/>
      <c r="Z136" s="143"/>
      <c r="AA136" s="143"/>
      <c r="AB136" s="143"/>
      <c r="AC136" s="143"/>
    </row>
    <row r="137" spans="1:29" x14ac:dyDescent="0.25">
      <c r="A137" s="5"/>
      <c r="B137" s="5"/>
      <c r="X137" s="143"/>
      <c r="Y137" s="143"/>
      <c r="Z137" s="143"/>
      <c r="AA137" s="143"/>
      <c r="AB137" s="143"/>
      <c r="AC137" s="143"/>
    </row>
    <row r="138" spans="1:29" x14ac:dyDescent="0.25">
      <c r="A138" s="5"/>
      <c r="B138" s="5"/>
      <c r="X138" s="143"/>
      <c r="Y138" s="143"/>
      <c r="Z138" s="143"/>
      <c r="AA138" s="143"/>
      <c r="AB138" s="143"/>
      <c r="AC138" s="143"/>
    </row>
    <row r="139" spans="1:29" x14ac:dyDescent="0.25">
      <c r="A139" s="5"/>
      <c r="B139" s="5"/>
      <c r="X139" s="143"/>
      <c r="Y139" s="143"/>
      <c r="Z139" s="143"/>
      <c r="AA139" s="143"/>
      <c r="AB139" s="143"/>
      <c r="AC139" s="143"/>
    </row>
    <row r="140" spans="1:29" x14ac:dyDescent="0.25">
      <c r="A140" s="5"/>
      <c r="B140" s="5"/>
      <c r="X140" s="143"/>
      <c r="Y140" s="143"/>
      <c r="Z140" s="143"/>
      <c r="AA140" s="143"/>
      <c r="AB140" s="143"/>
      <c r="AC140" s="143"/>
    </row>
    <row r="141" spans="1:29" x14ac:dyDescent="0.25">
      <c r="A141" s="5"/>
      <c r="B141" s="5"/>
      <c r="X141" s="143"/>
      <c r="Y141" s="143"/>
      <c r="Z141" s="143"/>
      <c r="AA141" s="143"/>
      <c r="AB141" s="143"/>
      <c r="AC141" s="143"/>
    </row>
    <row r="142" spans="1:29" x14ac:dyDescent="0.25">
      <c r="A142" s="5"/>
      <c r="B142" s="5"/>
      <c r="X142" s="143"/>
      <c r="Y142" s="143"/>
      <c r="Z142" s="143"/>
      <c r="AA142" s="143"/>
      <c r="AB142" s="143"/>
      <c r="AC142" s="143"/>
    </row>
    <row r="143" spans="1:29" x14ac:dyDescent="0.25">
      <c r="A143" s="5"/>
      <c r="B143" s="5"/>
      <c r="X143" s="143"/>
      <c r="Y143" s="143"/>
      <c r="Z143" s="143"/>
      <c r="AA143" s="143"/>
      <c r="AB143" s="143"/>
      <c r="AC143" s="143"/>
    </row>
    <row r="144" spans="1:29" x14ac:dyDescent="0.25">
      <c r="A144" s="5"/>
      <c r="B144" s="5"/>
      <c r="X144" s="143"/>
      <c r="Y144" s="143"/>
      <c r="Z144" s="143"/>
      <c r="AA144" s="143"/>
      <c r="AB144" s="143"/>
      <c r="AC144" s="143"/>
    </row>
    <row r="145" spans="1:29" x14ac:dyDescent="0.25">
      <c r="A145" s="5"/>
      <c r="B145" s="5"/>
      <c r="X145" s="143"/>
      <c r="Y145" s="143"/>
      <c r="Z145" s="143"/>
      <c r="AA145" s="143"/>
      <c r="AB145" s="143"/>
      <c r="AC145" s="143"/>
    </row>
    <row r="146" spans="1:29" x14ac:dyDescent="0.25">
      <c r="A146" s="5"/>
      <c r="B146" s="5"/>
      <c r="X146" s="143"/>
      <c r="Y146" s="143"/>
      <c r="Z146" s="143"/>
      <c r="AA146" s="143"/>
      <c r="AB146" s="143"/>
      <c r="AC146" s="143"/>
    </row>
    <row r="147" spans="1:29" x14ac:dyDescent="0.25">
      <c r="A147" s="5"/>
      <c r="B147" s="5"/>
      <c r="X147" s="143"/>
      <c r="Y147" s="143"/>
      <c r="Z147" s="143"/>
      <c r="AA147" s="143"/>
      <c r="AB147" s="143"/>
      <c r="AC147" s="143"/>
    </row>
    <row r="148" spans="1:29" x14ac:dyDescent="0.25">
      <c r="A148" s="5"/>
      <c r="B148" s="5"/>
      <c r="X148" s="143"/>
      <c r="Y148" s="143"/>
      <c r="Z148" s="143"/>
      <c r="AA148" s="143"/>
      <c r="AB148" s="143"/>
      <c r="AC148" s="143"/>
    </row>
    <row r="149" spans="1:29" x14ac:dyDescent="0.25">
      <c r="A149" s="5"/>
      <c r="B149" s="5"/>
      <c r="X149" s="143"/>
      <c r="Y149" s="143"/>
      <c r="Z149" s="143"/>
      <c r="AA149" s="143"/>
      <c r="AB149" s="143"/>
      <c r="AC149" s="143"/>
    </row>
    <row r="150" spans="1:29" x14ac:dyDescent="0.25">
      <c r="A150" s="5"/>
      <c r="B150" s="5"/>
      <c r="X150" s="143"/>
      <c r="Y150" s="143"/>
      <c r="Z150" s="143"/>
      <c r="AA150" s="143"/>
      <c r="AB150" s="143"/>
      <c r="AC150" s="143"/>
    </row>
    <row r="151" spans="1:29" x14ac:dyDescent="0.25">
      <c r="A151" s="5"/>
      <c r="B151" s="5"/>
      <c r="X151" s="143"/>
      <c r="Y151" s="143"/>
      <c r="Z151" s="143"/>
      <c r="AA151" s="143"/>
      <c r="AB151" s="143"/>
      <c r="AC151" s="143"/>
    </row>
    <row r="152" spans="1:29" x14ac:dyDescent="0.25">
      <c r="A152" s="5"/>
      <c r="B152" s="5"/>
      <c r="X152" s="143"/>
      <c r="Y152" s="143"/>
      <c r="Z152" s="143"/>
      <c r="AA152" s="143"/>
      <c r="AB152" s="143"/>
      <c r="AC152" s="143"/>
    </row>
    <row r="153" spans="1:29" x14ac:dyDescent="0.25">
      <c r="A153" s="5"/>
      <c r="B153" s="5"/>
      <c r="X153" s="143"/>
      <c r="Y153" s="143"/>
      <c r="Z153" s="143"/>
      <c r="AA153" s="143"/>
      <c r="AB153" s="143"/>
      <c r="AC153" s="143"/>
    </row>
    <row r="154" spans="1:29" x14ac:dyDescent="0.25">
      <c r="A154" s="5"/>
      <c r="B154" s="5"/>
      <c r="X154" s="143"/>
      <c r="Y154" s="143"/>
      <c r="Z154" s="143"/>
      <c r="AA154" s="143"/>
      <c r="AB154" s="143"/>
      <c r="AC154" s="143"/>
    </row>
    <row r="155" spans="1:29" x14ac:dyDescent="0.25">
      <c r="A155" s="5"/>
      <c r="B155" s="5"/>
      <c r="X155" s="143"/>
      <c r="Y155" s="143"/>
      <c r="Z155" s="143"/>
      <c r="AA155" s="143"/>
      <c r="AB155" s="143"/>
      <c r="AC155" s="143"/>
    </row>
    <row r="156" spans="1:29" x14ac:dyDescent="0.25">
      <c r="A156" s="5"/>
      <c r="B156" s="5"/>
      <c r="X156" s="143"/>
      <c r="Y156" s="143"/>
      <c r="Z156" s="143"/>
      <c r="AA156" s="143"/>
      <c r="AB156" s="143"/>
      <c r="AC156" s="143"/>
    </row>
    <row r="157" spans="1:29" x14ac:dyDescent="0.25">
      <c r="A157" s="5"/>
      <c r="B157" s="5"/>
      <c r="X157" s="143"/>
      <c r="Y157" s="143"/>
      <c r="Z157" s="143"/>
      <c r="AA157" s="143"/>
      <c r="AB157" s="143"/>
      <c r="AC157" s="143"/>
    </row>
    <row r="158" spans="1:29" x14ac:dyDescent="0.25">
      <c r="A158" s="5"/>
      <c r="B158" s="5"/>
      <c r="X158" s="143"/>
      <c r="Y158" s="143"/>
      <c r="Z158" s="143"/>
      <c r="AA158" s="143"/>
      <c r="AB158" s="143"/>
      <c r="AC158" s="143"/>
    </row>
    <row r="159" spans="1:29" x14ac:dyDescent="0.25">
      <c r="A159" s="5"/>
      <c r="B159" s="5"/>
      <c r="X159" s="143"/>
      <c r="Y159" s="143"/>
      <c r="Z159" s="143"/>
      <c r="AA159" s="143"/>
      <c r="AB159" s="143"/>
      <c r="AC159" s="143"/>
    </row>
    <row r="160" spans="1:29" x14ac:dyDescent="0.25">
      <c r="A160" s="5"/>
      <c r="B160" s="5"/>
      <c r="X160" s="143"/>
      <c r="Y160" s="143"/>
      <c r="Z160" s="143"/>
      <c r="AA160" s="143"/>
      <c r="AB160" s="143"/>
      <c r="AC160" s="143"/>
    </row>
    <row r="161" spans="1:29" x14ac:dyDescent="0.25">
      <c r="A161" s="5"/>
      <c r="B161" s="5"/>
      <c r="X161" s="143"/>
      <c r="Y161" s="143"/>
      <c r="Z161" s="143"/>
      <c r="AA161" s="143"/>
      <c r="AB161" s="143"/>
      <c r="AC161" s="143"/>
    </row>
    <row r="162" spans="1:29" x14ac:dyDescent="0.25">
      <c r="A162" s="5"/>
      <c r="B162" s="5"/>
      <c r="X162" s="143"/>
      <c r="Y162" s="143"/>
      <c r="Z162" s="143"/>
      <c r="AA162" s="143"/>
      <c r="AB162" s="143"/>
      <c r="AC162" s="143"/>
    </row>
    <row r="163" spans="1:29" x14ac:dyDescent="0.25">
      <c r="A163" s="5"/>
      <c r="B163" s="5"/>
      <c r="X163" s="143"/>
      <c r="Y163" s="143"/>
      <c r="Z163" s="143"/>
      <c r="AA163" s="143"/>
      <c r="AB163" s="143"/>
      <c r="AC163" s="143"/>
    </row>
    <row r="164" spans="1:29" x14ac:dyDescent="0.25">
      <c r="A164" s="5"/>
      <c r="B164" s="5"/>
      <c r="X164" s="143"/>
      <c r="Y164" s="143"/>
      <c r="Z164" s="143"/>
      <c r="AA164" s="143"/>
      <c r="AB164" s="143"/>
      <c r="AC164" s="143"/>
    </row>
    <row r="165" spans="1:29" x14ac:dyDescent="0.25">
      <c r="A165" s="5"/>
      <c r="B165" s="5"/>
      <c r="X165" s="143"/>
      <c r="Y165" s="143"/>
      <c r="Z165" s="143"/>
      <c r="AA165" s="143"/>
      <c r="AB165" s="143"/>
      <c r="AC165" s="143"/>
    </row>
    <row r="166" spans="1:29" x14ac:dyDescent="0.25">
      <c r="A166" s="5"/>
      <c r="B166" s="5"/>
      <c r="X166" s="143"/>
      <c r="Y166" s="143"/>
      <c r="Z166" s="143"/>
      <c r="AA166" s="143"/>
      <c r="AB166" s="143"/>
      <c r="AC166" s="143"/>
    </row>
    <row r="167" spans="1:29" x14ac:dyDescent="0.25">
      <c r="A167" s="5"/>
      <c r="B167" s="5"/>
      <c r="X167" s="143"/>
      <c r="Y167" s="143"/>
      <c r="Z167" s="143"/>
      <c r="AA167" s="143"/>
      <c r="AB167" s="143"/>
      <c r="AC167" s="143"/>
    </row>
    <row r="168" spans="1:29" x14ac:dyDescent="0.25">
      <c r="A168" s="5"/>
      <c r="B168" s="5"/>
      <c r="X168" s="143"/>
      <c r="Y168" s="143"/>
      <c r="Z168" s="143"/>
      <c r="AA168" s="143"/>
      <c r="AB168" s="143"/>
      <c r="AC168" s="143"/>
    </row>
    <row r="169" spans="1:29" x14ac:dyDescent="0.25">
      <c r="A169" s="5"/>
      <c r="B169" s="5"/>
      <c r="X169" s="143"/>
      <c r="Y169" s="143"/>
      <c r="Z169" s="143"/>
      <c r="AA169" s="143"/>
      <c r="AB169" s="143"/>
      <c r="AC169" s="143"/>
    </row>
    <row r="170" spans="1:29" x14ac:dyDescent="0.25">
      <c r="A170" s="5"/>
      <c r="B170" s="5"/>
      <c r="X170" s="143"/>
      <c r="Y170" s="143"/>
      <c r="Z170" s="143"/>
      <c r="AA170" s="143"/>
      <c r="AB170" s="143"/>
      <c r="AC170" s="143"/>
    </row>
    <row r="171" spans="1:29" x14ac:dyDescent="0.25">
      <c r="A171" s="5"/>
      <c r="B171" s="5"/>
      <c r="X171" s="143"/>
      <c r="Y171" s="143"/>
      <c r="Z171" s="143"/>
      <c r="AA171" s="143"/>
      <c r="AB171" s="143"/>
      <c r="AC171" s="143"/>
    </row>
    <row r="172" spans="1:29" x14ac:dyDescent="0.25">
      <c r="A172" s="5"/>
      <c r="B172" s="5"/>
      <c r="X172" s="143"/>
      <c r="Y172" s="143"/>
      <c r="Z172" s="143"/>
      <c r="AA172" s="143"/>
      <c r="AB172" s="143"/>
      <c r="AC172" s="143"/>
    </row>
    <row r="173" spans="1:29" x14ac:dyDescent="0.25">
      <c r="A173" s="5"/>
      <c r="B173" s="5"/>
      <c r="X173" s="143"/>
      <c r="Y173" s="143"/>
      <c r="Z173" s="143"/>
      <c r="AA173" s="143"/>
      <c r="AB173" s="143"/>
      <c r="AC173" s="143"/>
    </row>
    <row r="174" spans="1:29" x14ac:dyDescent="0.25">
      <c r="A174" s="5"/>
      <c r="B174" s="5"/>
      <c r="X174" s="143"/>
      <c r="Y174" s="143"/>
      <c r="Z174" s="143"/>
      <c r="AA174" s="143"/>
      <c r="AB174" s="143"/>
      <c r="AC174" s="143"/>
    </row>
    <row r="175" spans="1:29" x14ac:dyDescent="0.25">
      <c r="A175" s="5"/>
      <c r="B175" s="5"/>
      <c r="X175" s="143"/>
      <c r="Y175" s="143"/>
      <c r="Z175" s="143"/>
      <c r="AA175" s="143"/>
      <c r="AB175" s="143"/>
      <c r="AC175" s="143"/>
    </row>
    <row r="176" spans="1:29" x14ac:dyDescent="0.25">
      <c r="A176" s="5"/>
      <c r="B176" s="5"/>
      <c r="X176" s="143"/>
      <c r="Y176" s="143"/>
      <c r="Z176" s="143"/>
      <c r="AA176" s="143"/>
      <c r="AB176" s="143"/>
      <c r="AC176" s="143"/>
    </row>
    <row r="177" spans="1:29" x14ac:dyDescent="0.25">
      <c r="A177" s="5"/>
      <c r="B177" s="5"/>
      <c r="X177" s="143"/>
      <c r="Y177" s="143"/>
      <c r="Z177" s="143"/>
      <c r="AA177" s="143"/>
      <c r="AB177" s="143"/>
      <c r="AC177" s="143"/>
    </row>
    <row r="178" spans="1:29" x14ac:dyDescent="0.25">
      <c r="A178" s="5"/>
      <c r="B178" s="5"/>
      <c r="X178" s="143"/>
      <c r="Y178" s="143"/>
      <c r="Z178" s="143"/>
      <c r="AA178" s="143"/>
      <c r="AB178" s="143"/>
      <c r="AC178" s="143"/>
    </row>
  </sheetData>
  <mergeCells count="18">
    <mergeCell ref="X55:Z55"/>
    <mergeCell ref="AA55:AC55"/>
    <mergeCell ref="U5:W5"/>
    <mergeCell ref="X5:Z5"/>
    <mergeCell ref="AA5:AC5"/>
    <mergeCell ref="R55:T55"/>
    <mergeCell ref="U55:W55"/>
    <mergeCell ref="C5:E5"/>
    <mergeCell ref="F5:H5"/>
    <mergeCell ref="I5:K5"/>
    <mergeCell ref="L5:N5"/>
    <mergeCell ref="O5:Q5"/>
    <mergeCell ref="R5:T5"/>
    <mergeCell ref="C55:E55"/>
    <mergeCell ref="F55:H55"/>
    <mergeCell ref="I55:K55"/>
    <mergeCell ref="L55:N55"/>
    <mergeCell ref="O55:Q55"/>
  </mergeCells>
  <dataValidations count="1">
    <dataValidation type="decimal" operator="greaterThanOrEqual" allowBlank="1" showInputMessage="1" showErrorMessage="1" sqref="R50" xr:uid="{869DC4DB-3325-41DC-82A8-B4E2A03CF320}">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E2052F2D88614C8AA82A0DA49B2224" ma:contentTypeVersion="7" ma:contentTypeDescription="Create a new document." ma:contentTypeScope="" ma:versionID="b56d1347e899bd048d309bd7dca0d157">
  <xsd:schema xmlns:xsd="http://www.w3.org/2001/XMLSchema" xmlns:xs="http://www.w3.org/2001/XMLSchema" xmlns:p="http://schemas.microsoft.com/office/2006/metadata/properties" xmlns:ns1="http://schemas.microsoft.com/sharepoint/v3" xmlns:ns2="b9ad4448-539c-4dd7-8bf2-db70bf7e3232" targetNamespace="http://schemas.microsoft.com/office/2006/metadata/properties" ma:root="true" ma:fieldsID="25d4cdaa1b1687c0c36620faf7e39275" ns1:_="" ns2:_="">
    <xsd:import namespace="http://schemas.microsoft.com/sharepoint/v3"/>
    <xsd:import namespace="b9ad4448-539c-4dd7-8bf2-db70bf7e323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ad4448-539c-4dd7-8bf2-db70bf7e32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71C7B5F-2C8F-4F30-825E-B4E5B3654A9E}"/>
</file>

<file path=customXml/itemProps2.xml><?xml version="1.0" encoding="utf-8"?>
<ds:datastoreItem xmlns:ds="http://schemas.openxmlformats.org/officeDocument/2006/customXml" ds:itemID="{6CFBABF9-18B5-4B80-BEA6-2F59609605DB}"/>
</file>

<file path=customXml/itemProps3.xml><?xml version="1.0" encoding="utf-8"?>
<ds:datastoreItem xmlns:ds="http://schemas.openxmlformats.org/officeDocument/2006/customXml" ds:itemID="{0718974C-74A7-4F29-A8AA-6578D7B14A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Instructions</vt:lpstr>
      <vt:lpstr>Inputs</vt:lpstr>
      <vt:lpstr>Summary</vt:lpstr>
      <vt:lpstr>Fleet Carbon Footprint</vt:lpstr>
      <vt:lpstr>Bus 1 Calc</vt:lpstr>
      <vt:lpstr>Bus 2 Calc</vt:lpstr>
      <vt:lpstr>Default Data</vt:lpstr>
      <vt:lpstr>School Bus Table</vt:lpstr>
      <vt:lpstr>CIs for 2020</vt:lpstr>
      <vt:lpstr>Fuel Factors</vt:lpstr>
      <vt:lpstr>CFP Credit Estimator</vt:lpstr>
      <vt:lpstr>Bus Price-Infrastructure</vt:lpstr>
      <vt:lpstr>Maint-Fuel mpg</vt:lpstr>
      <vt:lpstr>Criteria Polutant Data</vt:lpstr>
      <vt:lpstr>CPI</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Wallace</dc:creator>
  <cp:lastModifiedBy>Erica Hertzsch</cp:lastModifiedBy>
  <dcterms:created xsi:type="dcterms:W3CDTF">2020-03-23T17:54:57Z</dcterms:created>
  <dcterms:modified xsi:type="dcterms:W3CDTF">2022-01-13T20:36:38Z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117bfbc5664648c1b127f8890e24d283</vt:lpwstr>
  </property>
  <property fmtid="{D5CDD505-2E9C-101B-9397-08002B2CF9AE}" pid="3" name="ContentTypeId">
    <vt:lpwstr>0x01010078E2052F2D88614C8AA82A0DA49B2224</vt:lpwstr>
  </property>
</Properties>
</file>