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12645" windowHeight="13815" tabRatio="500"/>
  </bookViews>
  <sheets>
    <sheet name="START HERE" sheetId="3" r:id="rId1"/>
    <sheet name="INFO" sheetId="9" r:id="rId2"/>
    <sheet name="2021-22 Expenditures" sheetId="1" r:id="rId3"/>
    <sheet name="2022-23 Expenditures" sheetId="14" r:id="rId4"/>
    <sheet name="Summary" sheetId="7" r:id="rId5"/>
    <sheet name="CODES" sheetId="2" r:id="rId6"/>
    <sheet name="Initial Payment Summary" sheetId="5" state="hidden" r:id="rId7"/>
    <sheet name="Y1Wrksht" sheetId="6" state="hidden" r:id="rId8"/>
    <sheet name="Y2Wrksht" sheetId="11" state="hidden" r:id="rId9"/>
  </sheets>
  <externalReferences>
    <externalReference r:id="rId10"/>
  </externalReferences>
  <definedNames>
    <definedName name="_xlnm._FilterDatabase" localSheetId="6" hidden="1">'Initial Payment Summary'!$A$18:$AH$18</definedName>
    <definedName name="_xlnm._FilterDatabase" localSheetId="7" hidden="1">Y1Wrksht!$B$1:$I$1</definedName>
    <definedName name="_xlnm._FilterDatabase" localSheetId="8" hidden="1">Y2Wrksht!$B$1:$J$1</definedName>
    <definedName name="Indy" localSheetId="3">'[1]Independent charter'!#REF!</definedName>
    <definedName name="Indy" localSheetId="8">'[1]Independent charter'!#REF!</definedName>
    <definedName name="Indy">'[1]Independent charter'!#REF!</definedName>
    <definedName name="Indy_pivot">'[1]Independent charter'!$S$8:$T$339</definedName>
    <definedName name="NonPar">'[1]Non-participating'!$B$2:$F$203</definedName>
    <definedName name="OLE_LINK3" localSheetId="6">'Initial Payment Summary'!$E$19</definedName>
    <definedName name="_xlnm.Print_Titles" localSheetId="6">'Initial Payment Summary'!$18:$18</definedName>
    <definedName name="SSFQ">[1]SSFQ!$B$3:$JT$436</definedName>
    <definedName name="SSFQ2">[1]SSFQ!$A$3:$JT$360</definedName>
    <definedName name="Virt">[1]Virtual!$B$2:$F$200</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F9" i="3" l="1"/>
  <c r="D293" i="11"/>
  <c r="G289" i="11" l="1"/>
  <c r="G288" i="11"/>
  <c r="G277" i="11"/>
  <c r="G276" i="11"/>
  <c r="G275" i="11"/>
  <c r="G274" i="11"/>
  <c r="G263" i="11"/>
  <c r="G262" i="11"/>
  <c r="G257" i="11"/>
  <c r="G256" i="11"/>
  <c r="G252" i="11"/>
  <c r="G251" i="11"/>
  <c r="G249" i="11"/>
  <c r="G248" i="11"/>
  <c r="G246" i="11"/>
  <c r="G245" i="11"/>
  <c r="G243" i="11"/>
  <c r="G242" i="11"/>
  <c r="G241" i="11"/>
  <c r="G240" i="11"/>
  <c r="G239" i="11"/>
  <c r="G237" i="11"/>
  <c r="G232" i="11"/>
  <c r="G236" i="11"/>
  <c r="G235" i="11"/>
  <c r="G234" i="11"/>
  <c r="G233" i="11"/>
  <c r="G231" i="11"/>
  <c r="G230" i="11"/>
  <c r="G225" i="11"/>
  <c r="G224" i="11"/>
  <c r="G223" i="11"/>
  <c r="G219" i="11"/>
  <c r="G218" i="11"/>
  <c r="G213" i="11"/>
  <c r="G212" i="11"/>
  <c r="G211" i="11"/>
  <c r="G210" i="11"/>
  <c r="G209" i="11"/>
  <c r="G208" i="11"/>
  <c r="G198" i="11"/>
  <c r="G197" i="11"/>
  <c r="G192" i="11"/>
  <c r="G191" i="11"/>
  <c r="G186" i="11"/>
  <c r="G189" i="11"/>
  <c r="G188" i="11"/>
  <c r="G187" i="11"/>
  <c r="G181" i="11"/>
  <c r="G180" i="11"/>
  <c r="G174" i="11"/>
  <c r="G173" i="11"/>
  <c r="G172" i="11"/>
  <c r="G171" i="11"/>
  <c r="G159" i="11"/>
  <c r="G158" i="11"/>
  <c r="G157" i="11"/>
  <c r="G154" i="11"/>
  <c r="G153" i="11"/>
  <c r="G152" i="11"/>
  <c r="G151" i="11"/>
  <c r="G144" i="11"/>
  <c r="G143" i="11"/>
  <c r="G142" i="11"/>
  <c r="G140" i="11"/>
  <c r="G139" i="11"/>
  <c r="G136" i="11"/>
  <c r="G135" i="11"/>
  <c r="G112" i="11"/>
  <c r="G111" i="11"/>
  <c r="G94" i="11"/>
  <c r="G93" i="11"/>
  <c r="G92" i="11"/>
  <c r="G87" i="11"/>
  <c r="G88" i="11"/>
  <c r="G80" i="11"/>
  <c r="G79" i="11"/>
  <c r="G76" i="11"/>
  <c r="G75" i="11"/>
  <c r="G74" i="11"/>
  <c r="G73" i="11"/>
  <c r="G56" i="11"/>
  <c r="G55" i="11"/>
  <c r="G54" i="11"/>
  <c r="G53" i="11"/>
  <c r="G50" i="11"/>
  <c r="G49" i="11"/>
  <c r="G44" i="11"/>
  <c r="G45" i="11"/>
  <c r="G22" i="11"/>
  <c r="G21" i="11"/>
  <c r="G16" i="11"/>
  <c r="G15" i="11"/>
  <c r="G273" i="11" l="1"/>
  <c r="G46" i="11"/>
  <c r="E3" i="6"/>
  <c r="E4" i="6"/>
  <c r="E5" i="6"/>
  <c r="E6" i="6"/>
  <c r="E7" i="6"/>
  <c r="E8" i="6"/>
  <c r="E9" i="6"/>
  <c r="E10" i="6"/>
  <c r="E11" i="6"/>
  <c r="E12" i="6"/>
  <c r="E13" i="6"/>
  <c r="E14" i="6"/>
  <c r="E15" i="6"/>
  <c r="E17" i="6"/>
  <c r="E18" i="6"/>
  <c r="E19" i="6"/>
  <c r="E20" i="6"/>
  <c r="E21" i="6"/>
  <c r="E23" i="6"/>
  <c r="E24" i="6"/>
  <c r="E25" i="6"/>
  <c r="E26" i="6"/>
  <c r="E27" i="6"/>
  <c r="E28" i="6"/>
  <c r="E29" i="6"/>
  <c r="E30" i="6"/>
  <c r="E31" i="6"/>
  <c r="E32" i="6"/>
  <c r="E33" i="6"/>
  <c r="E34" i="6"/>
  <c r="E35" i="6"/>
  <c r="E36" i="6"/>
  <c r="E37" i="6"/>
  <c r="E38" i="6"/>
  <c r="E39" i="6"/>
  <c r="E40" i="6"/>
  <c r="E41" i="6"/>
  <c r="E42" i="6"/>
  <c r="E43" i="6"/>
  <c r="E44" i="6"/>
  <c r="E47" i="6"/>
  <c r="E48" i="6"/>
  <c r="E49" i="6"/>
  <c r="E51" i="6"/>
  <c r="E52" i="6"/>
  <c r="E53" i="6"/>
  <c r="E55" i="6"/>
  <c r="E57" i="6"/>
  <c r="E58" i="6"/>
  <c r="E59" i="6"/>
  <c r="E60" i="6"/>
  <c r="E61" i="6"/>
  <c r="E62" i="6"/>
  <c r="E63" i="6"/>
  <c r="E64" i="6"/>
  <c r="E65" i="6"/>
  <c r="E66" i="6"/>
  <c r="E67" i="6"/>
  <c r="E68" i="6"/>
  <c r="E69" i="6"/>
  <c r="E70" i="6"/>
  <c r="E74" i="6"/>
  <c r="E75" i="6"/>
  <c r="E76" i="6"/>
  <c r="E78" i="6"/>
  <c r="E79" i="6"/>
  <c r="E80" i="6"/>
  <c r="E81" i="6"/>
  <c r="E82" i="6"/>
  <c r="E83" i="6"/>
  <c r="E85" i="6"/>
  <c r="E86" i="6"/>
  <c r="E87" i="6"/>
  <c r="E88" i="6"/>
  <c r="E91" i="6"/>
  <c r="E99" i="6"/>
  <c r="E100" i="6"/>
  <c r="E101" i="6"/>
  <c r="E102" i="6"/>
  <c r="E103" i="6"/>
  <c r="E104" i="6"/>
  <c r="E105" i="6"/>
  <c r="E106" i="6"/>
  <c r="E108" i="6"/>
  <c r="E109" i="6"/>
  <c r="E110" i="6"/>
  <c r="E111" i="6"/>
  <c r="E112" i="6"/>
  <c r="E113" i="6"/>
  <c r="E114" i="6"/>
  <c r="E115" i="6"/>
  <c r="E116" i="6"/>
  <c r="E117" i="6"/>
  <c r="E118" i="6"/>
  <c r="E119" i="6"/>
  <c r="E120" i="6"/>
  <c r="E121" i="6"/>
  <c r="E122" i="6"/>
  <c r="E123" i="6"/>
  <c r="E124" i="6"/>
  <c r="E125" i="6"/>
  <c r="E126" i="6"/>
  <c r="E127" i="6"/>
  <c r="E128" i="6"/>
  <c r="E129" i="6"/>
  <c r="E131" i="6"/>
  <c r="E133" i="6"/>
  <c r="E134" i="6"/>
  <c r="E135" i="6"/>
  <c r="E137" i="6"/>
  <c r="E138" i="6"/>
  <c r="E141" i="6"/>
  <c r="E142" i="6"/>
  <c r="E143" i="6"/>
  <c r="E144" i="6"/>
  <c r="E145" i="6"/>
  <c r="E146" i="6"/>
  <c r="E147" i="6"/>
  <c r="E151" i="6"/>
  <c r="E152" i="6"/>
  <c r="E153" i="6"/>
  <c r="E156" i="6"/>
  <c r="E157" i="6"/>
  <c r="E158" i="6"/>
  <c r="E159" i="6"/>
  <c r="E160" i="6"/>
  <c r="E161" i="6"/>
  <c r="E162" i="6"/>
  <c r="E163" i="6"/>
  <c r="E164" i="6"/>
  <c r="E165" i="6"/>
  <c r="E166" i="6"/>
  <c r="E167" i="6"/>
  <c r="E171" i="6"/>
  <c r="E172" i="6"/>
  <c r="E173" i="6"/>
  <c r="E174" i="6"/>
  <c r="E175" i="6"/>
  <c r="E176" i="6"/>
  <c r="E178" i="6"/>
  <c r="E179" i="6"/>
  <c r="E180" i="6"/>
  <c r="E181" i="6"/>
  <c r="E182" i="6"/>
  <c r="E186" i="6"/>
  <c r="E187" i="6"/>
  <c r="E189" i="6"/>
  <c r="E190" i="6"/>
  <c r="E191" i="6"/>
  <c r="E192" i="6"/>
  <c r="E193" i="6"/>
  <c r="E195" i="6"/>
  <c r="E196" i="6"/>
  <c r="E197" i="6"/>
  <c r="E198" i="6"/>
  <c r="E199" i="6"/>
  <c r="E200" i="6"/>
  <c r="E202" i="6"/>
  <c r="E203" i="6"/>
  <c r="E209" i="6"/>
  <c r="E210" i="6"/>
  <c r="E211" i="6"/>
  <c r="E212" i="6"/>
  <c r="E213" i="6"/>
  <c r="E215" i="6"/>
  <c r="E216" i="6"/>
  <c r="E217" i="6"/>
  <c r="E218" i="6"/>
  <c r="E221" i="6"/>
  <c r="E222" i="6"/>
  <c r="E223" i="6"/>
  <c r="E224" i="6"/>
  <c r="E225" i="6"/>
  <c r="E227" i="6"/>
  <c r="E233" i="6"/>
  <c r="E234" i="6"/>
  <c r="E237" i="6"/>
  <c r="E239" i="6"/>
  <c r="E240" i="6"/>
  <c r="E242" i="6"/>
  <c r="E243" i="6"/>
  <c r="E245" i="6"/>
  <c r="E246" i="6"/>
  <c r="E249" i="6"/>
  <c r="E250" i="6"/>
  <c r="E251" i="6"/>
  <c r="E253" i="6"/>
  <c r="E254" i="6"/>
  <c r="E255" i="6"/>
  <c r="E256" i="6"/>
  <c r="E257" i="6"/>
  <c r="E258" i="6"/>
  <c r="E259" i="6"/>
  <c r="E260" i="6"/>
  <c r="E261" i="6"/>
  <c r="E262" i="6"/>
  <c r="E263" i="6"/>
  <c r="E264" i="6"/>
  <c r="E265" i="6"/>
  <c r="E267" i="6"/>
  <c r="E269" i="6"/>
  <c r="E271" i="6"/>
  <c r="E272" i="6"/>
  <c r="E273" i="6"/>
  <c r="E274" i="6"/>
  <c r="E275" i="6"/>
  <c r="E276" i="6"/>
  <c r="E277" i="6"/>
  <c r="E278" i="6"/>
  <c r="E279" i="6"/>
  <c r="E280" i="6"/>
  <c r="E281" i="6"/>
  <c r="E283" i="6"/>
  <c r="E284" i="6"/>
  <c r="E285" i="6"/>
  <c r="E286" i="6"/>
  <c r="E287" i="6"/>
  <c r="E288" i="6"/>
  <c r="E289" i="6"/>
  <c r="C258" i="6"/>
  <c r="G282" i="6"/>
  <c r="G270" i="6"/>
  <c r="G268" i="6"/>
  <c r="G266" i="6"/>
  <c r="G258" i="6"/>
  <c r="G252" i="6"/>
  <c r="G248" i="6"/>
  <c r="G247" i="6"/>
  <c r="G244" i="6"/>
  <c r="G241" i="6"/>
  <c r="G238" i="6"/>
  <c r="G236" i="6"/>
  <c r="G235" i="6"/>
  <c r="G229" i="6"/>
  <c r="G230" i="6"/>
  <c r="G231" i="6"/>
  <c r="G232" i="6"/>
  <c r="G228" i="6"/>
  <c r="G226" i="6"/>
  <c r="G220" i="6"/>
  <c r="G219" i="6"/>
  <c r="G214" i="6"/>
  <c r="G205" i="6"/>
  <c r="G206" i="6"/>
  <c r="G207" i="6"/>
  <c r="G208" i="6"/>
  <c r="G204" i="6"/>
  <c r="G194" i="6"/>
  <c r="G188" i="6"/>
  <c r="G185" i="6"/>
  <c r="G184" i="6"/>
  <c r="G183" i="6"/>
  <c r="G177" i="6"/>
  <c r="G170" i="6"/>
  <c r="G169" i="6"/>
  <c r="G168" i="6"/>
  <c r="G155" i="6"/>
  <c r="G154" i="6"/>
  <c r="G150" i="6"/>
  <c r="G149" i="6"/>
  <c r="G148" i="6"/>
  <c r="G140" i="6"/>
  <c r="G139" i="6"/>
  <c r="G136" i="6"/>
  <c r="G132" i="6"/>
  <c r="G130" i="6"/>
  <c r="G107" i="6"/>
  <c r="G90" i="6"/>
  <c r="G89" i="6"/>
  <c r="G84" i="6"/>
  <c r="G77" i="6"/>
  <c r="G73" i="6"/>
  <c r="G72" i="6"/>
  <c r="G71" i="6"/>
  <c r="G56" i="6"/>
  <c r="G54" i="6"/>
  <c r="G50" i="6"/>
  <c r="G46" i="6"/>
  <c r="G45" i="6"/>
  <c r="G22" i="6"/>
  <c r="G16" i="6"/>
  <c r="E9" i="3"/>
  <c r="D222" i="6"/>
  <c r="G129" i="6"/>
  <c r="G246" i="6"/>
  <c r="G281" i="6"/>
  <c r="G269" i="6"/>
  <c r="G267" i="6"/>
  <c r="G257" i="6"/>
  <c r="G243" i="6"/>
  <c r="G240" i="6"/>
  <c r="G237" i="6"/>
  <c r="G225" i="6"/>
  <c r="G213" i="6"/>
  <c r="G193" i="6"/>
  <c r="G187" i="6"/>
  <c r="G176" i="6"/>
  <c r="G135" i="6"/>
  <c r="G131" i="6"/>
  <c r="G106" i="6"/>
  <c r="G83" i="6"/>
  <c r="G76" i="6"/>
  <c r="G55" i="6"/>
  <c r="G49" i="6"/>
  <c r="G44" i="6"/>
  <c r="G21" i="6"/>
  <c r="G15" i="6"/>
  <c r="D200" i="11" l="1"/>
  <c r="D243" i="6" l="1"/>
  <c r="D131" i="6"/>
  <c r="D83" i="6"/>
  <c r="D85" i="6"/>
  <c r="D87" i="11"/>
  <c r="D135" i="11"/>
  <c r="D248" i="11" l="1"/>
  <c r="D272" i="6"/>
  <c r="D245" i="6"/>
  <c r="D200" i="6"/>
  <c r="G182" i="6"/>
  <c r="D186" i="6"/>
  <c r="D123" i="6"/>
  <c r="D129" i="6"/>
  <c r="D265" i="6"/>
  <c r="D239" i="6"/>
  <c r="D133" i="6"/>
  <c r="D217" i="6"/>
  <c r="D41" i="6"/>
  <c r="D221" i="6"/>
  <c r="D216" i="6"/>
  <c r="D215" i="6"/>
  <c r="D9" i="6"/>
  <c r="D196" i="6"/>
  <c r="D63" i="6"/>
  <c r="D125" i="6"/>
  <c r="D162" i="6"/>
  <c r="G70" i="6"/>
  <c r="D37" i="6"/>
  <c r="G251" i="6"/>
  <c r="D263" i="6"/>
  <c r="D264" i="6"/>
  <c r="D287" i="6"/>
  <c r="D286" i="6"/>
  <c r="D224" i="6"/>
  <c r="G218" i="6"/>
  <c r="D141" i="6"/>
  <c r="G53" i="6"/>
  <c r="D53" i="6" s="1"/>
  <c r="D118" i="6"/>
  <c r="D119" i="6"/>
  <c r="D7" i="6"/>
  <c r="E113" i="11"/>
  <c r="D113" i="11"/>
  <c r="D7" i="11"/>
  <c r="E7" i="11"/>
  <c r="E123" i="11"/>
  <c r="D123" i="11"/>
  <c r="D124" i="11"/>
  <c r="E145" i="11"/>
  <c r="D145" i="11"/>
  <c r="F53" i="11"/>
  <c r="F223" i="11"/>
  <c r="E293" i="11"/>
  <c r="D294" i="11"/>
  <c r="D272" i="11"/>
  <c r="E272" i="11"/>
  <c r="F251" i="11"/>
  <c r="D269" i="11"/>
  <c r="E269" i="11"/>
  <c r="D270" i="11"/>
  <c r="D37" i="11"/>
  <c r="E37" i="11"/>
  <c r="F256" i="11"/>
  <c r="D167" i="11"/>
  <c r="E167" i="11"/>
  <c r="F73" i="11"/>
  <c r="D66" i="11"/>
  <c r="E66" i="11"/>
  <c r="D130" i="11"/>
  <c r="D9" i="11"/>
  <c r="E9" i="11"/>
  <c r="D221" i="11"/>
  <c r="D220" i="11"/>
  <c r="E220" i="11"/>
  <c r="E222" i="11"/>
  <c r="D222" i="11"/>
  <c r="D134" i="11"/>
  <c r="D137" i="11"/>
  <c r="E137" i="11"/>
  <c r="D41" i="11"/>
  <c r="D244" i="11"/>
  <c r="E271" i="11"/>
  <c r="D271" i="11"/>
  <c r="F186" i="11"/>
  <c r="E190" i="11"/>
  <c r="D190" i="11"/>
  <c r="E95" i="11"/>
  <c r="D95" i="11"/>
  <c r="D110" i="6"/>
  <c r="F5" i="14" l="1"/>
  <c r="F5" i="1"/>
  <c r="G4" i="14"/>
  <c r="G4" i="1"/>
  <c r="F6" i="3"/>
  <c r="E6" i="3"/>
  <c r="D251" i="6"/>
  <c r="D246" i="6"/>
  <c r="G234" i="6"/>
  <c r="D234" i="6" s="1"/>
  <c r="G227" i="6"/>
  <c r="D227" i="6" s="1"/>
  <c r="D218" i="6"/>
  <c r="G203" i="6"/>
  <c r="D203" i="6" s="1"/>
  <c r="D182" i="6"/>
  <c r="G167" i="6"/>
  <c r="D167" i="6" s="1"/>
  <c r="G153" i="6"/>
  <c r="D157" i="6" s="1"/>
  <c r="G147" i="6"/>
  <c r="D147" i="6" s="1"/>
  <c r="G138" i="6"/>
  <c r="D143" i="6" s="1"/>
  <c r="G88" i="6"/>
  <c r="D88" i="6" s="1"/>
  <c r="D70" i="6"/>
  <c r="D19" i="6"/>
  <c r="C96" i="11"/>
  <c r="E96" i="11" s="1"/>
  <c r="E296" i="11"/>
  <c r="D296" i="11"/>
  <c r="E295" i="11"/>
  <c r="D295" i="11"/>
  <c r="E294" i="11"/>
  <c r="E292" i="11"/>
  <c r="D292" i="11"/>
  <c r="E291" i="11"/>
  <c r="D291" i="11"/>
  <c r="E290" i="11"/>
  <c r="D290" i="11"/>
  <c r="E288" i="11"/>
  <c r="D288" i="11"/>
  <c r="E287" i="11"/>
  <c r="D287" i="11"/>
  <c r="E286" i="11"/>
  <c r="D286" i="11"/>
  <c r="E285" i="11"/>
  <c r="D285" i="11"/>
  <c r="E284" i="11"/>
  <c r="D284" i="11"/>
  <c r="E283" i="11"/>
  <c r="D283" i="11"/>
  <c r="E282" i="11"/>
  <c r="D282" i="11"/>
  <c r="E281" i="11"/>
  <c r="D281" i="11"/>
  <c r="E280" i="11"/>
  <c r="D280" i="11"/>
  <c r="E279" i="11"/>
  <c r="D279" i="11"/>
  <c r="E278" i="11"/>
  <c r="D278" i="11"/>
  <c r="E276" i="11"/>
  <c r="D276" i="11"/>
  <c r="E274" i="11"/>
  <c r="D274" i="11"/>
  <c r="E270" i="11"/>
  <c r="E268" i="11"/>
  <c r="D268" i="11"/>
  <c r="E267" i="11"/>
  <c r="D267" i="11"/>
  <c r="E266" i="11"/>
  <c r="D266" i="11"/>
  <c r="E265" i="11"/>
  <c r="D265" i="11"/>
  <c r="E264" i="11"/>
  <c r="D264" i="11"/>
  <c r="E262" i="11"/>
  <c r="D262" i="11"/>
  <c r="E261" i="11"/>
  <c r="D261" i="11"/>
  <c r="E260" i="11"/>
  <c r="D260" i="11"/>
  <c r="E259" i="11"/>
  <c r="D259" i="11"/>
  <c r="E258" i="11"/>
  <c r="D258" i="11"/>
  <c r="D256" i="11"/>
  <c r="E256" i="11"/>
  <c r="E255" i="11"/>
  <c r="D255" i="11"/>
  <c r="E254" i="11"/>
  <c r="D254" i="11"/>
  <c r="E253" i="11"/>
  <c r="D253" i="11"/>
  <c r="D251" i="11"/>
  <c r="E251" i="11"/>
  <c r="E250" i="11"/>
  <c r="D250" i="11"/>
  <c r="E248" i="11"/>
  <c r="E247" i="11"/>
  <c r="D247" i="11"/>
  <c r="E245" i="11"/>
  <c r="D245" i="11"/>
  <c r="E244" i="11"/>
  <c r="E242" i="11"/>
  <c r="D242" i="11"/>
  <c r="F239" i="11"/>
  <c r="D239" i="11" s="1"/>
  <c r="E239" i="11"/>
  <c r="E238" i="11"/>
  <c r="D238" i="11"/>
  <c r="D232" i="11"/>
  <c r="E232" i="11"/>
  <c r="F7" i="3" s="1"/>
  <c r="G6" i="14" s="1"/>
  <c r="H6" i="14" s="1"/>
  <c r="E230" i="11"/>
  <c r="D230" i="11"/>
  <c r="E228" i="11"/>
  <c r="D228" i="11"/>
  <c r="E227" i="11"/>
  <c r="D227" i="11"/>
  <c r="E226" i="11"/>
  <c r="D226" i="11"/>
  <c r="D223" i="11"/>
  <c r="E223" i="11"/>
  <c r="E221" i="11"/>
  <c r="E218" i="11"/>
  <c r="D218" i="11"/>
  <c r="E217" i="11"/>
  <c r="D217" i="11"/>
  <c r="E216" i="11"/>
  <c r="D216" i="11"/>
  <c r="E215" i="11"/>
  <c r="D215" i="11"/>
  <c r="E214" i="11"/>
  <c r="D214" i="11"/>
  <c r="F208" i="11"/>
  <c r="D208" i="11" s="1"/>
  <c r="E208" i="11"/>
  <c r="E207" i="11"/>
  <c r="D207" i="11"/>
  <c r="E206" i="11"/>
  <c r="D206" i="11"/>
  <c r="E205" i="11"/>
  <c r="D205" i="11"/>
  <c r="E204" i="11"/>
  <c r="D204" i="11"/>
  <c r="E203" i="11"/>
  <c r="D203" i="11"/>
  <c r="E202" i="11"/>
  <c r="D202" i="11"/>
  <c r="E201" i="11"/>
  <c r="D201" i="11"/>
  <c r="E200" i="11"/>
  <c r="E199" i="11"/>
  <c r="D199" i="11"/>
  <c r="E197" i="11"/>
  <c r="D197" i="11"/>
  <c r="E196" i="11"/>
  <c r="D196" i="11"/>
  <c r="E195" i="11"/>
  <c r="D195" i="11"/>
  <c r="E194" i="11"/>
  <c r="D194" i="11"/>
  <c r="E193" i="11"/>
  <c r="D193" i="11"/>
  <c r="E191" i="11"/>
  <c r="D191" i="11"/>
  <c r="D186" i="11"/>
  <c r="E186" i="11"/>
  <c r="E185" i="11"/>
  <c r="D185" i="11"/>
  <c r="E184" i="11"/>
  <c r="D184" i="11"/>
  <c r="E183" i="11"/>
  <c r="D183" i="11"/>
  <c r="E182" i="11"/>
  <c r="D182" i="11"/>
  <c r="E180" i="11"/>
  <c r="D180" i="11"/>
  <c r="E179" i="11"/>
  <c r="D179" i="11"/>
  <c r="E178" i="11"/>
  <c r="D178" i="11"/>
  <c r="E177" i="11"/>
  <c r="D177" i="11"/>
  <c r="E176" i="11"/>
  <c r="D176" i="11"/>
  <c r="E175" i="11"/>
  <c r="D175" i="11"/>
  <c r="F171" i="11"/>
  <c r="D171" i="11" s="1"/>
  <c r="E171" i="11"/>
  <c r="E170" i="11"/>
  <c r="D170" i="11"/>
  <c r="E169" i="11"/>
  <c r="D169" i="11"/>
  <c r="E168" i="11"/>
  <c r="D168" i="11"/>
  <c r="E166" i="11"/>
  <c r="D166" i="11"/>
  <c r="E165" i="11"/>
  <c r="D165" i="11"/>
  <c r="E164" i="11"/>
  <c r="D164" i="11"/>
  <c r="E163" i="11"/>
  <c r="D163" i="11"/>
  <c r="E162" i="11"/>
  <c r="D162" i="11"/>
  <c r="E161" i="11"/>
  <c r="D161" i="11"/>
  <c r="E160" i="11"/>
  <c r="D160" i="11"/>
  <c r="F157" i="11"/>
  <c r="D157" i="11" s="1"/>
  <c r="E157" i="11"/>
  <c r="E156" i="11"/>
  <c r="D156" i="11"/>
  <c r="E155" i="11"/>
  <c r="D155" i="11"/>
  <c r="F151" i="11"/>
  <c r="D151" i="11" s="1"/>
  <c r="E151" i="11"/>
  <c r="E150" i="11"/>
  <c r="D150" i="11"/>
  <c r="E149" i="11"/>
  <c r="D149" i="11"/>
  <c r="E148" i="11"/>
  <c r="D148" i="11"/>
  <c r="E147" i="11"/>
  <c r="D147" i="11"/>
  <c r="E146" i="11"/>
  <c r="D146" i="11"/>
  <c r="F142" i="11"/>
  <c r="D142" i="11" s="1"/>
  <c r="E142" i="11"/>
  <c r="E141" i="11"/>
  <c r="D141" i="11"/>
  <c r="E139" i="11"/>
  <c r="D139" i="11"/>
  <c r="E138" i="11"/>
  <c r="D138" i="11"/>
  <c r="E135" i="11"/>
  <c r="E134" i="11"/>
  <c r="E133" i="11"/>
  <c r="D133" i="11"/>
  <c r="E132" i="11"/>
  <c r="D132" i="11"/>
  <c r="E131" i="11"/>
  <c r="D131" i="11"/>
  <c r="E130" i="11"/>
  <c r="E129" i="11"/>
  <c r="D129" i="11"/>
  <c r="E128" i="11"/>
  <c r="D128" i="11"/>
  <c r="E127" i="11"/>
  <c r="D127" i="11"/>
  <c r="E126" i="11"/>
  <c r="D126" i="11"/>
  <c r="E125" i="11"/>
  <c r="D125" i="11"/>
  <c r="E124" i="11"/>
  <c r="E122" i="11"/>
  <c r="D122" i="11"/>
  <c r="E121" i="11"/>
  <c r="D121" i="11"/>
  <c r="E120" i="11"/>
  <c r="D120" i="11"/>
  <c r="E119" i="11"/>
  <c r="D119" i="11"/>
  <c r="E118" i="11"/>
  <c r="D118" i="11"/>
  <c r="E117" i="11"/>
  <c r="D117" i="11"/>
  <c r="E116" i="11"/>
  <c r="D116" i="11"/>
  <c r="E115" i="11"/>
  <c r="D115" i="11"/>
  <c r="E114" i="11"/>
  <c r="D114" i="11"/>
  <c r="E111" i="11"/>
  <c r="D111" i="11"/>
  <c r="E110" i="11"/>
  <c r="D110" i="11"/>
  <c r="E109" i="11"/>
  <c r="D109" i="11"/>
  <c r="E108" i="11"/>
  <c r="D108" i="11"/>
  <c r="E107" i="11"/>
  <c r="D107" i="11"/>
  <c r="E106" i="11"/>
  <c r="D106" i="11"/>
  <c r="E105" i="11"/>
  <c r="D105" i="11"/>
  <c r="E104" i="11"/>
  <c r="D104" i="11"/>
  <c r="F92" i="11"/>
  <c r="D92" i="11" s="1"/>
  <c r="E92" i="11"/>
  <c r="E91" i="11"/>
  <c r="D91" i="11"/>
  <c r="E90" i="11"/>
  <c r="D90" i="11"/>
  <c r="E89" i="11"/>
  <c r="D89" i="11"/>
  <c r="E87" i="11"/>
  <c r="E86" i="11"/>
  <c r="D86" i="11"/>
  <c r="E85" i="11"/>
  <c r="D85" i="11"/>
  <c r="E84" i="11"/>
  <c r="D84" i="11"/>
  <c r="E83" i="11"/>
  <c r="D83" i="11"/>
  <c r="E82" i="11"/>
  <c r="D82" i="11"/>
  <c r="E81" i="11"/>
  <c r="D81" i="11"/>
  <c r="E79" i="11"/>
  <c r="D79" i="11"/>
  <c r="E78" i="11"/>
  <c r="D78" i="11"/>
  <c r="E77" i="11"/>
  <c r="D77" i="11"/>
  <c r="D73" i="11"/>
  <c r="E73" i="11"/>
  <c r="E72" i="11"/>
  <c r="D72" i="11"/>
  <c r="E71" i="11"/>
  <c r="D71" i="11"/>
  <c r="E70" i="11"/>
  <c r="D70" i="11"/>
  <c r="E69" i="11"/>
  <c r="D69" i="11"/>
  <c r="E68" i="11"/>
  <c r="D68" i="11"/>
  <c r="E67" i="11"/>
  <c r="D67" i="11"/>
  <c r="E65" i="11"/>
  <c r="D65" i="11"/>
  <c r="E64" i="11"/>
  <c r="D64" i="11"/>
  <c r="E63" i="11"/>
  <c r="D63" i="11"/>
  <c r="E62" i="11"/>
  <c r="D62" i="11"/>
  <c r="E61" i="11"/>
  <c r="D61" i="11"/>
  <c r="E60" i="11"/>
  <c r="D60" i="11"/>
  <c r="E59" i="11"/>
  <c r="D59" i="11"/>
  <c r="E58" i="11"/>
  <c r="D58" i="11"/>
  <c r="E57" i="11"/>
  <c r="D57" i="11"/>
  <c r="E55" i="11"/>
  <c r="D55" i="11"/>
  <c r="D53" i="11"/>
  <c r="E53" i="11"/>
  <c r="E52" i="11"/>
  <c r="D52" i="11"/>
  <c r="E51" i="11"/>
  <c r="D51" i="11"/>
  <c r="E49" i="11"/>
  <c r="D49" i="11"/>
  <c r="E48" i="11"/>
  <c r="D48" i="11"/>
  <c r="E47" i="11"/>
  <c r="D47" i="11"/>
  <c r="E44" i="11"/>
  <c r="D44" i="11"/>
  <c r="E43" i="11"/>
  <c r="D43" i="11"/>
  <c r="E42" i="11"/>
  <c r="D42" i="11"/>
  <c r="E41" i="11"/>
  <c r="E40" i="11"/>
  <c r="D40" i="11"/>
  <c r="E39" i="11"/>
  <c r="D39" i="11" s="1"/>
  <c r="E38" i="11"/>
  <c r="D38" i="11"/>
  <c r="E36" i="11"/>
  <c r="D36" i="11"/>
  <c r="E35" i="11"/>
  <c r="D35" i="11"/>
  <c r="E34" i="11"/>
  <c r="D34" i="11" s="1"/>
  <c r="E33" i="11"/>
  <c r="D33" i="11"/>
  <c r="E32" i="11"/>
  <c r="D32" i="11"/>
  <c r="E31" i="11"/>
  <c r="D31" i="11"/>
  <c r="E30" i="11"/>
  <c r="D30" i="11" s="1"/>
  <c r="E29" i="11"/>
  <c r="D29" i="11"/>
  <c r="E28" i="11"/>
  <c r="D28" i="11"/>
  <c r="E27" i="11"/>
  <c r="D27" i="11"/>
  <c r="E26" i="11"/>
  <c r="D26" i="11" s="1"/>
  <c r="E25" i="11"/>
  <c r="D25" i="11"/>
  <c r="E24" i="11"/>
  <c r="D24" i="11"/>
  <c r="E23" i="11"/>
  <c r="D23" i="11"/>
  <c r="E21" i="11"/>
  <c r="D21" i="11"/>
  <c r="E20" i="11"/>
  <c r="D20" i="11"/>
  <c r="D19" i="11"/>
  <c r="E19" i="11"/>
  <c r="E18" i="11"/>
  <c r="D18" i="11"/>
  <c r="E17" i="11"/>
  <c r="D17" i="11"/>
  <c r="E15" i="11"/>
  <c r="D15" i="11"/>
  <c r="E14" i="11"/>
  <c r="D14" i="11"/>
  <c r="E13" i="11"/>
  <c r="D13" i="11"/>
  <c r="E12" i="11"/>
  <c r="D12" i="11"/>
  <c r="E11" i="11"/>
  <c r="D11" i="11"/>
  <c r="E10" i="11"/>
  <c r="D10" i="11"/>
  <c r="E8" i="11"/>
  <c r="D8" i="11"/>
  <c r="E6" i="11"/>
  <c r="D6" i="11"/>
  <c r="E5" i="11"/>
  <c r="D5" i="11"/>
  <c r="E4" i="11"/>
  <c r="D4" i="11"/>
  <c r="E3" i="11"/>
  <c r="D3" i="11"/>
  <c r="E2" i="11"/>
  <c r="D2" i="11"/>
  <c r="C91" i="6"/>
  <c r="D289" i="6"/>
  <c r="D288" i="6"/>
  <c r="D285" i="6"/>
  <c r="D284" i="6"/>
  <c r="D283" i="6"/>
  <c r="D281" i="6"/>
  <c r="D280" i="6"/>
  <c r="D279" i="6"/>
  <c r="D278" i="6"/>
  <c r="D277" i="6"/>
  <c r="D276" i="6"/>
  <c r="D275" i="6"/>
  <c r="D274" i="6"/>
  <c r="D273" i="6"/>
  <c r="D271" i="6"/>
  <c r="D269" i="6"/>
  <c r="D267" i="6"/>
  <c r="D262" i="6"/>
  <c r="D261" i="6"/>
  <c r="D260" i="6"/>
  <c r="D259" i="6"/>
  <c r="D257" i="6"/>
  <c r="D256" i="6"/>
  <c r="D255" i="6"/>
  <c r="D254" i="6"/>
  <c r="D253" i="6"/>
  <c r="D250" i="6"/>
  <c r="D249" i="6"/>
  <c r="D242" i="6"/>
  <c r="D240" i="6"/>
  <c r="D237" i="6"/>
  <c r="D233" i="6"/>
  <c r="D225" i="6"/>
  <c r="D223" i="6"/>
  <c r="D213" i="6"/>
  <c r="D212" i="6"/>
  <c r="D211" i="6"/>
  <c r="D210" i="6"/>
  <c r="D209" i="6"/>
  <c r="D202" i="6"/>
  <c r="D201" i="6"/>
  <c r="D199" i="6"/>
  <c r="D198" i="6"/>
  <c r="D197" i="6"/>
  <c r="D195" i="6"/>
  <c r="D193" i="6"/>
  <c r="D192" i="6"/>
  <c r="D191" i="6"/>
  <c r="D190" i="6"/>
  <c r="D189" i="6"/>
  <c r="D187" i="6"/>
  <c r="D181" i="6"/>
  <c r="D180" i="6"/>
  <c r="D179" i="6"/>
  <c r="D178" i="6"/>
  <c r="D176" i="6"/>
  <c r="D175" i="6"/>
  <c r="D174" i="6"/>
  <c r="D173" i="6"/>
  <c r="D172" i="6"/>
  <c r="D166" i="6"/>
  <c r="D165" i="6"/>
  <c r="D164" i="6"/>
  <c r="D163" i="6"/>
  <c r="D161" i="6"/>
  <c r="D160" i="6"/>
  <c r="D159" i="6"/>
  <c r="D158" i="6"/>
  <c r="D156" i="6"/>
  <c r="D152" i="6"/>
  <c r="D146" i="6"/>
  <c r="D145" i="6"/>
  <c r="D144" i="6"/>
  <c r="D142" i="6"/>
  <c r="D137" i="6"/>
  <c r="D135" i="6"/>
  <c r="D134" i="6"/>
  <c r="D128" i="6"/>
  <c r="D127" i="6"/>
  <c r="D126" i="6"/>
  <c r="D124" i="6"/>
  <c r="D122" i="6"/>
  <c r="D121" i="6"/>
  <c r="D120" i="6"/>
  <c r="D117" i="6"/>
  <c r="D116" i="6"/>
  <c r="D115" i="6"/>
  <c r="D114" i="6"/>
  <c r="D113" i="6"/>
  <c r="D112" i="6"/>
  <c r="D111" i="6"/>
  <c r="D108" i="6"/>
  <c r="D106" i="6"/>
  <c r="D105" i="6"/>
  <c r="D104" i="6"/>
  <c r="D103" i="6"/>
  <c r="D102" i="6"/>
  <c r="D101" i="6"/>
  <c r="D100" i="6"/>
  <c r="D99" i="6"/>
  <c r="D87" i="6"/>
  <c r="D86" i="6"/>
  <c r="D82" i="6"/>
  <c r="D81" i="6"/>
  <c r="D80" i="6"/>
  <c r="D79" i="6"/>
  <c r="D78" i="6"/>
  <c r="D76" i="6"/>
  <c r="D75" i="6"/>
  <c r="D74" i="6"/>
  <c r="D69" i="6"/>
  <c r="D68" i="6"/>
  <c r="D67" i="6"/>
  <c r="D66" i="6"/>
  <c r="D65" i="6"/>
  <c r="D64" i="6"/>
  <c r="D62" i="6"/>
  <c r="D61" i="6"/>
  <c r="D60" i="6"/>
  <c r="D59" i="6"/>
  <c r="D58" i="6"/>
  <c r="D57" i="6"/>
  <c r="D55" i="6"/>
  <c r="D52" i="6"/>
  <c r="D51" i="6"/>
  <c r="D49" i="6"/>
  <c r="D48" i="6"/>
  <c r="D47" i="6"/>
  <c r="D44" i="6"/>
  <c r="D43" i="6"/>
  <c r="D42" i="6"/>
  <c r="D40" i="6"/>
  <c r="D39" i="6"/>
  <c r="D38" i="6"/>
  <c r="D36" i="6"/>
  <c r="D35" i="6"/>
  <c r="D34" i="6"/>
  <c r="D33" i="6"/>
  <c r="D32" i="6"/>
  <c r="D31" i="6"/>
  <c r="D30" i="6"/>
  <c r="D29" i="6"/>
  <c r="D28" i="6"/>
  <c r="D27" i="6"/>
  <c r="D26" i="6"/>
  <c r="D25" i="6"/>
  <c r="D24" i="6"/>
  <c r="D23" i="6"/>
  <c r="D21" i="6"/>
  <c r="D20" i="6"/>
  <c r="D18" i="6"/>
  <c r="D17" i="6"/>
  <c r="D15" i="6"/>
  <c r="D14" i="6"/>
  <c r="D13" i="6"/>
  <c r="D12" i="6"/>
  <c r="D11" i="6"/>
  <c r="D10" i="6"/>
  <c r="D8" i="6"/>
  <c r="D6" i="6"/>
  <c r="D5" i="6"/>
  <c r="D4" i="6"/>
  <c r="D3" i="6"/>
  <c r="E2" i="6"/>
  <c r="D2" i="6"/>
  <c r="F6" i="1"/>
  <c r="I31" i="7"/>
  <c r="I30" i="7"/>
  <c r="I29" i="7"/>
  <c r="I28" i="7"/>
  <c r="I26" i="7"/>
  <c r="I27" i="7"/>
  <c r="H31" i="7"/>
  <c r="H30" i="7"/>
  <c r="H29" i="7"/>
  <c r="H28" i="7"/>
  <c r="H27" i="7"/>
  <c r="H26" i="7"/>
  <c r="D41" i="7"/>
  <c r="D40" i="7"/>
  <c r="D39" i="7"/>
  <c r="D38" i="7"/>
  <c r="D37" i="7"/>
  <c r="D36" i="7"/>
  <c r="D35" i="7"/>
  <c r="D34" i="7"/>
  <c r="D33" i="7"/>
  <c r="D32" i="7"/>
  <c r="D31" i="7"/>
  <c r="D30" i="7"/>
  <c r="D29" i="7"/>
  <c r="D28" i="7"/>
  <c r="D27" i="7"/>
  <c r="D26" i="7"/>
  <c r="E44" i="7"/>
  <c r="E41" i="7"/>
  <c r="E40" i="7"/>
  <c r="E39" i="7"/>
  <c r="E38" i="7"/>
  <c r="E37" i="7"/>
  <c r="E36" i="7"/>
  <c r="E35" i="7"/>
  <c r="E34" i="7"/>
  <c r="E33" i="7"/>
  <c r="E32" i="7"/>
  <c r="E31" i="7"/>
  <c r="E30" i="7"/>
  <c r="E29" i="7"/>
  <c r="E28" i="7"/>
  <c r="E27" i="7"/>
  <c r="E26" i="7"/>
  <c r="E43" i="7" s="1"/>
  <c r="I33" i="7"/>
  <c r="G5"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10" i="14"/>
  <c r="A11" i="14"/>
  <c r="A12" i="14"/>
  <c r="A13" i="14"/>
  <c r="A14" i="14"/>
  <c r="A15" i="14"/>
  <c r="A16" i="14"/>
  <c r="A17" i="14"/>
  <c r="A18" i="14"/>
  <c r="A19" i="14"/>
  <c r="A20" i="14"/>
  <c r="A21" i="14"/>
  <c r="A22" i="14"/>
  <c r="A23" i="14"/>
  <c r="F6" i="14"/>
  <c r="H5" i="14"/>
  <c r="G5" i="1"/>
  <c r="H5" i="1" s="1"/>
  <c r="H9" i="7"/>
  <c r="I9" i="7"/>
  <c r="I5" i="7"/>
  <c r="H5" i="7"/>
  <c r="I4" i="7"/>
  <c r="H4" i="7"/>
  <c r="D13" i="7"/>
  <c r="E19" i="7"/>
  <c r="E18" i="7"/>
  <c r="D19" i="7"/>
  <c r="D18" i="7"/>
  <c r="I8" i="7"/>
  <c r="I7" i="7"/>
  <c r="I6" i="7"/>
  <c r="H8" i="7"/>
  <c r="H7" i="7"/>
  <c r="H6" i="7"/>
  <c r="I11" i="7"/>
  <c r="E22" i="7"/>
  <c r="E17" i="7"/>
  <c r="E16" i="7"/>
  <c r="E15" i="7"/>
  <c r="E14" i="7"/>
  <c r="E13" i="7"/>
  <c r="E12" i="7"/>
  <c r="E11" i="7"/>
  <c r="E10" i="7"/>
  <c r="E9" i="7"/>
  <c r="E8" i="7"/>
  <c r="E7" i="7"/>
  <c r="E6" i="7"/>
  <c r="E5" i="7"/>
  <c r="E4" i="7"/>
  <c r="D17" i="7"/>
  <c r="D16" i="7"/>
  <c r="D15" i="7"/>
  <c r="D14" i="7"/>
  <c r="D12" i="7"/>
  <c r="D11" i="7"/>
  <c r="D10" i="7"/>
  <c r="D9" i="7"/>
  <c r="D8" i="7"/>
  <c r="D7" i="7"/>
  <c r="D6" i="7"/>
  <c r="D5" i="7"/>
  <c r="D4" i="7"/>
  <c r="G30" i="5"/>
  <c r="E11" i="5"/>
  <c r="E12" i="5"/>
  <c r="E14" i="5" s="1"/>
  <c r="AA15" i="5" s="1"/>
  <c r="G103" i="5"/>
  <c r="U103" i="5" s="1"/>
  <c r="G40" i="5"/>
  <c r="G168" i="5"/>
  <c r="G136" i="5"/>
  <c r="G163" i="5"/>
  <c r="U163" i="5" s="1"/>
  <c r="Z163" i="5" s="1"/>
  <c r="G56" i="5"/>
  <c r="G223" i="5"/>
  <c r="G121" i="5"/>
  <c r="U121" i="5"/>
  <c r="G158" i="5"/>
  <c r="K158" i="5"/>
  <c r="U158" i="5"/>
  <c r="Y158" i="5" s="1"/>
  <c r="G51" i="5"/>
  <c r="G157" i="5"/>
  <c r="G43" i="5"/>
  <c r="G78" i="5"/>
  <c r="U78" i="5" s="1"/>
  <c r="G88" i="5"/>
  <c r="U88" i="5" s="1"/>
  <c r="G28" i="5"/>
  <c r="U28" i="5" s="1"/>
  <c r="G108" i="5"/>
  <c r="U108" i="5"/>
  <c r="G222" i="5"/>
  <c r="K222" i="5"/>
  <c r="N222" i="5" s="1"/>
  <c r="G118" i="5"/>
  <c r="U118" i="5" s="1"/>
  <c r="G186" i="5"/>
  <c r="U186" i="5" s="1"/>
  <c r="G50" i="5"/>
  <c r="U50" i="5"/>
  <c r="X50" i="5" s="1"/>
  <c r="G177" i="5"/>
  <c r="U177" i="5" s="1"/>
  <c r="G202" i="5"/>
  <c r="U202" i="5" s="1"/>
  <c r="G54" i="5"/>
  <c r="U54" i="5"/>
  <c r="X54" i="5" s="1"/>
  <c r="G53" i="5"/>
  <c r="G145" i="5"/>
  <c r="G174" i="5"/>
  <c r="G140" i="5"/>
  <c r="U140" i="5"/>
  <c r="G31" i="5"/>
  <c r="U31" i="5"/>
  <c r="Y31" i="5" s="1"/>
  <c r="G46" i="5"/>
  <c r="U46" i="5" s="1"/>
  <c r="G172" i="5"/>
  <c r="U172" i="5" s="1"/>
  <c r="G39" i="5"/>
  <c r="K39" i="5" s="1"/>
  <c r="N39" i="5" s="1"/>
  <c r="G35" i="5"/>
  <c r="G178" i="5"/>
  <c r="U178" i="5" s="1"/>
  <c r="G194" i="5"/>
  <c r="U194" i="5" s="1"/>
  <c r="G154" i="5"/>
  <c r="U154" i="5"/>
  <c r="Y154" i="5" s="1"/>
  <c r="G90" i="5"/>
  <c r="U90" i="5" s="1"/>
  <c r="G68" i="5"/>
  <c r="U68" i="5"/>
  <c r="Y68" i="5" s="1"/>
  <c r="G198" i="5"/>
  <c r="K198" i="5" s="1"/>
  <c r="G42" i="5"/>
  <c r="G147" i="5"/>
  <c r="U147" i="5" s="1"/>
  <c r="G229" i="5"/>
  <c r="U229" i="5" s="1"/>
  <c r="G75" i="5"/>
  <c r="U75" i="5"/>
  <c r="G89" i="5"/>
  <c r="U89" i="5"/>
  <c r="X89" i="5" s="1"/>
  <c r="G179" i="5"/>
  <c r="U179" i="5" s="1"/>
  <c r="G226" i="5"/>
  <c r="K226" i="5" s="1"/>
  <c r="N226" i="5" s="1"/>
  <c r="G207" i="5"/>
  <c r="G24" i="5"/>
  <c r="U24" i="5"/>
  <c r="X24" i="5" s="1"/>
  <c r="G52" i="5"/>
  <c r="U52" i="5" s="1"/>
  <c r="X52" i="5" s="1"/>
  <c r="G109" i="5"/>
  <c r="U109" i="5"/>
  <c r="G175" i="5"/>
  <c r="U175" i="5"/>
  <c r="X175" i="5" s="1"/>
  <c r="G65" i="5"/>
  <c r="U65" i="5" s="1"/>
  <c r="G125" i="5"/>
  <c r="K125" i="5" s="1"/>
  <c r="N125" i="5" s="1"/>
  <c r="G94" i="5"/>
  <c r="U94" i="5"/>
  <c r="G95" i="5"/>
  <c r="G167" i="5"/>
  <c r="K167" i="5" s="1"/>
  <c r="N167" i="5" s="1"/>
  <c r="G66" i="5"/>
  <c r="K66" i="5" s="1"/>
  <c r="M66" i="5" s="1"/>
  <c r="G206" i="5"/>
  <c r="U206" i="5" s="1"/>
  <c r="G85" i="5"/>
  <c r="U85" i="5" s="1"/>
  <c r="G67" i="5"/>
  <c r="K67" i="5" s="1"/>
  <c r="N67" i="5" s="1"/>
  <c r="G196" i="5"/>
  <c r="G96" i="5"/>
  <c r="U96" i="5" s="1"/>
  <c r="G102" i="5"/>
  <c r="G165" i="5"/>
  <c r="K165" i="5" s="1"/>
  <c r="N165" i="5" s="1"/>
  <c r="G26" i="5"/>
  <c r="U26" i="5" s="1"/>
  <c r="G72" i="5"/>
  <c r="G183" i="5"/>
  <c r="G176" i="5"/>
  <c r="G41" i="5"/>
  <c r="K41" i="5" s="1"/>
  <c r="G169" i="5"/>
  <c r="U169" i="5" s="1"/>
  <c r="G132" i="5"/>
  <c r="U132" i="5" s="1"/>
  <c r="X132" i="5" s="1"/>
  <c r="G61" i="5"/>
  <c r="U61" i="5" s="1"/>
  <c r="G27" i="5"/>
  <c r="U27" i="5" s="1"/>
  <c r="G38" i="5"/>
  <c r="K38" i="5"/>
  <c r="G106" i="5"/>
  <c r="G91" i="5"/>
  <c r="K91" i="5" s="1"/>
  <c r="N91" i="5" s="1"/>
  <c r="G210" i="5"/>
  <c r="U210" i="5" s="1"/>
  <c r="G116" i="5"/>
  <c r="U116" i="5" s="1"/>
  <c r="G120" i="5"/>
  <c r="U120" i="5" s="1"/>
  <c r="G159" i="5"/>
  <c r="U159" i="5" s="1"/>
  <c r="Y159" i="5" s="1"/>
  <c r="G148" i="5"/>
  <c r="G171" i="5"/>
  <c r="G19" i="5"/>
  <c r="G170" i="5"/>
  <c r="G79" i="5"/>
  <c r="U79" i="5" s="1"/>
  <c r="X79" i="5" s="1"/>
  <c r="G201" i="5"/>
  <c r="K201" i="5" s="1"/>
  <c r="G128" i="5"/>
  <c r="G58" i="5"/>
  <c r="G197" i="5"/>
  <c r="G36" i="5"/>
  <c r="U36" i="5" s="1"/>
  <c r="Z36" i="5" s="1"/>
  <c r="G60" i="5"/>
  <c r="U60" i="5" s="1"/>
  <c r="X60" i="5" s="1"/>
  <c r="G130" i="5"/>
  <c r="U130" i="5" s="1"/>
  <c r="G112" i="5"/>
  <c r="U112" i="5" s="1"/>
  <c r="G126" i="5"/>
  <c r="U126" i="5" s="1"/>
  <c r="G155" i="5"/>
  <c r="U155" i="5" s="1"/>
  <c r="G129" i="5"/>
  <c r="G37" i="5"/>
  <c r="G195" i="5"/>
  <c r="G124" i="5"/>
  <c r="U124" i="5"/>
  <c r="Y124" i="5" s="1"/>
  <c r="G98" i="5"/>
  <c r="U98" i="5" s="1"/>
  <c r="G92" i="5"/>
  <c r="U92" i="5" s="1"/>
  <c r="G122" i="5"/>
  <c r="U122" i="5"/>
  <c r="X122" i="5" s="1"/>
  <c r="G209" i="5"/>
  <c r="G187" i="5"/>
  <c r="G185" i="5"/>
  <c r="G47" i="5"/>
  <c r="U47" i="5"/>
  <c r="X47" i="5" s="1"/>
  <c r="G110" i="5"/>
  <c r="U110" i="5" s="1"/>
  <c r="G156" i="5"/>
  <c r="K156" i="5" s="1"/>
  <c r="P156" i="5" s="1"/>
  <c r="G113" i="5"/>
  <c r="U113" i="5" s="1"/>
  <c r="G153" i="5"/>
  <c r="G23" i="5"/>
  <c r="U23" i="5" s="1"/>
  <c r="G127" i="5"/>
  <c r="G20" i="5"/>
  <c r="G97" i="5"/>
  <c r="G25" i="5"/>
  <c r="U25" i="5"/>
  <c r="G217" i="5"/>
  <c r="U217" i="5"/>
  <c r="X217" i="5" s="1"/>
  <c r="G87" i="5"/>
  <c r="K87" i="5" s="1"/>
  <c r="G193" i="5"/>
  <c r="U193" i="5" s="1"/>
  <c r="G44" i="5"/>
  <c r="G107" i="5"/>
  <c r="G149" i="5"/>
  <c r="K149" i="5" s="1"/>
  <c r="G184" i="5"/>
  <c r="U184" i="5" s="1"/>
  <c r="G203" i="5"/>
  <c r="U203" i="5"/>
  <c r="X203" i="5" s="1"/>
  <c r="G139" i="5"/>
  <c r="K139" i="5" s="1"/>
  <c r="G227" i="5"/>
  <c r="G138" i="5"/>
  <c r="U138" i="5" s="1"/>
  <c r="G105" i="5"/>
  <c r="U105" i="5" s="1"/>
  <c r="G160" i="5"/>
  <c r="G93" i="5"/>
  <c r="G45" i="5"/>
  <c r="K45" i="5" s="1"/>
  <c r="M45" i="5" s="1"/>
  <c r="G55" i="5"/>
  <c r="U55" i="5" s="1"/>
  <c r="G63" i="5"/>
  <c r="G182" i="5"/>
  <c r="G62" i="5"/>
  <c r="G49" i="5"/>
  <c r="U49" i="5" s="1"/>
  <c r="G162" i="5"/>
  <c r="G80" i="5"/>
  <c r="K80" i="5"/>
  <c r="G190" i="5"/>
  <c r="U190" i="5"/>
  <c r="Z190" i="5" s="1"/>
  <c r="G212" i="5"/>
  <c r="U212" i="5" s="1"/>
  <c r="G141" i="5"/>
  <c r="U141" i="5" s="1"/>
  <c r="G99" i="5"/>
  <c r="U99" i="5"/>
  <c r="X99" i="5" s="1"/>
  <c r="G166" i="5"/>
  <c r="G73" i="5"/>
  <c r="U73" i="5" s="1"/>
  <c r="G215" i="5"/>
  <c r="G133" i="5"/>
  <c r="G100" i="5"/>
  <c r="G161" i="5"/>
  <c r="G29" i="5"/>
  <c r="G204" i="5"/>
  <c r="G214" i="5"/>
  <c r="U214" i="5" s="1"/>
  <c r="G119" i="5"/>
  <c r="U119" i="5"/>
  <c r="Z119" i="5" s="1"/>
  <c r="G216" i="5"/>
  <c r="K216" i="5" s="1"/>
  <c r="G150" i="5"/>
  <c r="U150" i="5" s="1"/>
  <c r="Z150" i="5" s="1"/>
  <c r="G104" i="5"/>
  <c r="U104" i="5"/>
  <c r="X104" i="5" s="1"/>
  <c r="G57" i="5"/>
  <c r="G74" i="5"/>
  <c r="U74" i="5" s="1"/>
  <c r="G111" i="5"/>
  <c r="K111" i="5" s="1"/>
  <c r="P111" i="5" s="1"/>
  <c r="G221" i="5"/>
  <c r="U221" i="5"/>
  <c r="G76" i="5"/>
  <c r="U76" i="5"/>
  <c r="G213" i="5"/>
  <c r="K213" i="5" s="1"/>
  <c r="G71" i="5"/>
  <c r="K71" i="5" s="1"/>
  <c r="G152" i="5"/>
  <c r="U152" i="5" s="1"/>
  <c r="G32" i="5"/>
  <c r="G211" i="5"/>
  <c r="G33" i="5"/>
  <c r="G191" i="5"/>
  <c r="G200" i="5"/>
  <c r="K200" i="5" s="1"/>
  <c r="G83" i="5"/>
  <c r="G228" i="5"/>
  <c r="G22" i="5"/>
  <c r="U22" i="5" s="1"/>
  <c r="G64" i="5"/>
  <c r="K64" i="5" s="1"/>
  <c r="G131" i="5"/>
  <c r="G189" i="5"/>
  <c r="X158" i="5"/>
  <c r="X154" i="5"/>
  <c r="X68" i="5"/>
  <c r="X75" i="5"/>
  <c r="X109" i="5"/>
  <c r="X94" i="5"/>
  <c r="X124" i="5"/>
  <c r="X25" i="5"/>
  <c r="Z25" i="5"/>
  <c r="X190" i="5"/>
  <c r="X119" i="5"/>
  <c r="X221" i="5"/>
  <c r="Y50" i="5"/>
  <c r="Y75" i="5"/>
  <c r="Y89" i="5"/>
  <c r="Y24" i="5"/>
  <c r="Y52" i="5"/>
  <c r="Y109" i="5"/>
  <c r="Y94" i="5"/>
  <c r="Y132" i="5"/>
  <c r="Y79" i="5"/>
  <c r="Y122" i="5"/>
  <c r="Y47" i="5"/>
  <c r="Y110" i="5"/>
  <c r="Y203" i="5"/>
  <c r="Y190" i="5"/>
  <c r="Y104" i="5"/>
  <c r="Y221" i="5"/>
  <c r="K30" i="5"/>
  <c r="N30" i="5" s="1"/>
  <c r="K103" i="5"/>
  <c r="K56" i="5"/>
  <c r="K223" i="5"/>
  <c r="P223" i="5"/>
  <c r="K121" i="5"/>
  <c r="K157" i="5"/>
  <c r="P157" i="5" s="1"/>
  <c r="K78" i="5"/>
  <c r="O78" i="5"/>
  <c r="K28" i="5"/>
  <c r="P28" i="5" s="1"/>
  <c r="K108" i="5"/>
  <c r="N108" i="5" s="1"/>
  <c r="K118" i="5"/>
  <c r="N118" i="5" s="1"/>
  <c r="K186" i="5"/>
  <c r="K50" i="5"/>
  <c r="K202" i="5"/>
  <c r="P202" i="5" s="1"/>
  <c r="K54" i="5"/>
  <c r="O54" i="5" s="1"/>
  <c r="K145" i="5"/>
  <c r="N145" i="5" s="1"/>
  <c r="K140" i="5"/>
  <c r="O140" i="5"/>
  <c r="K31" i="5"/>
  <c r="N31" i="5"/>
  <c r="K46" i="5"/>
  <c r="N46" i="5" s="1"/>
  <c r="K172" i="5"/>
  <c r="N172" i="5"/>
  <c r="K35" i="5"/>
  <c r="N35" i="5" s="1"/>
  <c r="K194" i="5"/>
  <c r="K154" i="5"/>
  <c r="N154" i="5"/>
  <c r="K68" i="5"/>
  <c r="O68" i="5" s="1"/>
  <c r="K42" i="5"/>
  <c r="N42" i="5" s="1"/>
  <c r="K229" i="5"/>
  <c r="O229" i="5"/>
  <c r="K75" i="5"/>
  <c r="N75" i="5" s="1"/>
  <c r="K89" i="5"/>
  <c r="N89" i="5"/>
  <c r="K179" i="5"/>
  <c r="K207" i="5"/>
  <c r="K24" i="5"/>
  <c r="N24" i="5" s="1"/>
  <c r="K52" i="5"/>
  <c r="K109" i="5"/>
  <c r="P109" i="5" s="1"/>
  <c r="K175" i="5"/>
  <c r="O175" i="5" s="1"/>
  <c r="K65" i="5"/>
  <c r="N65" i="5"/>
  <c r="K94" i="5"/>
  <c r="K95" i="5"/>
  <c r="K206" i="5"/>
  <c r="N206" i="5" s="1"/>
  <c r="K85" i="5"/>
  <c r="P85" i="5" s="1"/>
  <c r="O85" i="5"/>
  <c r="K196" i="5"/>
  <c r="K96" i="5"/>
  <c r="N96" i="5"/>
  <c r="K102" i="5"/>
  <c r="K26" i="5"/>
  <c r="O26" i="5" s="1"/>
  <c r="P26" i="5"/>
  <c r="K72" i="5"/>
  <c r="N72" i="5" s="1"/>
  <c r="K183" i="5"/>
  <c r="O183" i="5"/>
  <c r="K176" i="5"/>
  <c r="K169" i="5"/>
  <c r="K132" i="5"/>
  <c r="P132" i="5" s="1"/>
  <c r="N132" i="5"/>
  <c r="K61" i="5"/>
  <c r="P61" i="5" s="1"/>
  <c r="K27" i="5"/>
  <c r="K106" i="5"/>
  <c r="K210" i="5"/>
  <c r="K116" i="5"/>
  <c r="K159" i="5"/>
  <c r="K148" i="5"/>
  <c r="O148" i="5" s="1"/>
  <c r="K171" i="5"/>
  <c r="K19" i="5"/>
  <c r="K170" i="5"/>
  <c r="K79" i="5"/>
  <c r="N79" i="5"/>
  <c r="K58" i="5"/>
  <c r="N58" i="5"/>
  <c r="K197" i="5"/>
  <c r="K36" i="5"/>
  <c r="O36" i="5" s="1"/>
  <c r="K60" i="5"/>
  <c r="K130" i="5"/>
  <c r="N130" i="5" s="1"/>
  <c r="K112" i="5"/>
  <c r="N112" i="5"/>
  <c r="K126" i="5"/>
  <c r="M126" i="5" s="1"/>
  <c r="K155" i="5"/>
  <c r="N155" i="5" s="1"/>
  <c r="K129" i="5"/>
  <c r="P129" i="5"/>
  <c r="K37" i="5"/>
  <c r="P37" i="5" s="1"/>
  <c r="K195" i="5"/>
  <c r="O195" i="5" s="1"/>
  <c r="K124" i="5"/>
  <c r="K98" i="5"/>
  <c r="K92" i="5"/>
  <c r="O92" i="5" s="1"/>
  <c r="K122" i="5"/>
  <c r="K209" i="5"/>
  <c r="N209" i="5" s="1"/>
  <c r="K187" i="5"/>
  <c r="M187" i="5" s="1"/>
  <c r="O187" i="5"/>
  <c r="K185" i="5"/>
  <c r="O185" i="5" s="1"/>
  <c r="K47" i="5"/>
  <c r="K110" i="5"/>
  <c r="N110" i="5" s="1"/>
  <c r="K113" i="5"/>
  <c r="K153" i="5"/>
  <c r="M153" i="5" s="1"/>
  <c r="K23" i="5"/>
  <c r="K127" i="5"/>
  <c r="N127" i="5" s="1"/>
  <c r="P127" i="5" s="1"/>
  <c r="K20" i="5"/>
  <c r="N20" i="5" s="1"/>
  <c r="K97" i="5"/>
  <c r="N97" i="5"/>
  <c r="K25" i="5"/>
  <c r="K193" i="5"/>
  <c r="N193" i="5" s="1"/>
  <c r="K107" i="5"/>
  <c r="P107" i="5" s="1"/>
  <c r="K184" i="5"/>
  <c r="K203" i="5"/>
  <c r="K227" i="5"/>
  <c r="M227" i="5" s="1"/>
  <c r="K138" i="5"/>
  <c r="N138" i="5"/>
  <c r="K105" i="5"/>
  <c r="K160" i="5"/>
  <c r="K93" i="5"/>
  <c r="N93" i="5" s="1"/>
  <c r="K55" i="5"/>
  <c r="K182" i="5"/>
  <c r="P182" i="5" s="1"/>
  <c r="M182" i="5"/>
  <c r="K62" i="5"/>
  <c r="O62" i="5" s="1"/>
  <c r="K162" i="5"/>
  <c r="O162" i="5" s="1"/>
  <c r="K190" i="5"/>
  <c r="P190" i="5"/>
  <c r="K212" i="5"/>
  <c r="N212" i="5" s="1"/>
  <c r="K141" i="5"/>
  <c r="K99" i="5"/>
  <c r="K166" i="5"/>
  <c r="N166" i="5" s="1"/>
  <c r="K73" i="5"/>
  <c r="K215" i="5"/>
  <c r="O215" i="5"/>
  <c r="K100" i="5"/>
  <c r="O100" i="5" s="1"/>
  <c r="K161" i="5"/>
  <c r="M161" i="5" s="1"/>
  <c r="K29" i="5"/>
  <c r="O29" i="5" s="1"/>
  <c r="K204" i="5"/>
  <c r="K214" i="5"/>
  <c r="N214" i="5"/>
  <c r="K119" i="5"/>
  <c r="K150" i="5"/>
  <c r="M150" i="5" s="1"/>
  <c r="K57" i="5"/>
  <c r="K74" i="5"/>
  <c r="N74" i="5" s="1"/>
  <c r="K221" i="5"/>
  <c r="N221" i="5" s="1"/>
  <c r="K76" i="5"/>
  <c r="K152" i="5"/>
  <c r="K211" i="5"/>
  <c r="O211" i="5" s="1"/>
  <c r="K191" i="5"/>
  <c r="N191" i="5" s="1"/>
  <c r="K83" i="5"/>
  <c r="M83" i="5"/>
  <c r="Z121" i="5"/>
  <c r="Z78" i="5"/>
  <c r="Z88" i="5"/>
  <c r="Z108" i="5"/>
  <c r="Z50" i="5"/>
  <c r="Z54" i="5"/>
  <c r="Z140" i="5"/>
  <c r="Z31" i="5"/>
  <c r="Z154" i="5"/>
  <c r="Z90" i="5"/>
  <c r="Z68" i="5"/>
  <c r="Z147" i="5"/>
  <c r="Z75" i="5"/>
  <c r="Z89" i="5"/>
  <c r="Z24" i="5"/>
  <c r="Z52" i="5"/>
  <c r="Z109" i="5"/>
  <c r="Z175" i="5"/>
  <c r="Z94" i="5"/>
  <c r="Z26" i="5"/>
  <c r="Z132" i="5"/>
  <c r="Z116" i="5"/>
  <c r="Z79" i="5"/>
  <c r="Z124" i="5"/>
  <c r="Z98" i="5"/>
  <c r="Z92" i="5"/>
  <c r="Z122" i="5"/>
  <c r="Z47" i="5"/>
  <c r="Z184" i="5"/>
  <c r="Z203" i="5"/>
  <c r="Z105" i="5"/>
  <c r="Z141" i="5"/>
  <c r="Z73" i="5"/>
  <c r="Z104" i="5"/>
  <c r="Z221" i="5"/>
  <c r="D12" i="5"/>
  <c r="D14" i="5" s="1"/>
  <c r="Q15" i="5" s="1"/>
  <c r="N223" i="5"/>
  <c r="N158" i="5"/>
  <c r="N78" i="5"/>
  <c r="N28" i="5"/>
  <c r="N186" i="5"/>
  <c r="N202" i="5"/>
  <c r="N54" i="5"/>
  <c r="N140" i="5"/>
  <c r="N194" i="5"/>
  <c r="N68" i="5"/>
  <c r="N229" i="5"/>
  <c r="N207" i="5"/>
  <c r="N52" i="5"/>
  <c r="N175" i="5"/>
  <c r="N95" i="5"/>
  <c r="N85" i="5"/>
  <c r="N26" i="5"/>
  <c r="N183" i="5"/>
  <c r="N38" i="5"/>
  <c r="N106" i="5"/>
  <c r="N148" i="5"/>
  <c r="N19" i="5"/>
  <c r="N197" i="5"/>
  <c r="N36" i="5"/>
  <c r="N37" i="5"/>
  <c r="N195" i="5"/>
  <c r="N92" i="5"/>
  <c r="N185" i="5"/>
  <c r="N47" i="5"/>
  <c r="N156" i="5"/>
  <c r="N113" i="5"/>
  <c r="N23" i="5"/>
  <c r="N149" i="5"/>
  <c r="N160" i="5"/>
  <c r="N55" i="5"/>
  <c r="N182" i="5"/>
  <c r="N80" i="5"/>
  <c r="N190" i="5"/>
  <c r="N73" i="5"/>
  <c r="N215" i="5"/>
  <c r="N100" i="5"/>
  <c r="N161" i="5"/>
  <c r="N29" i="5"/>
  <c r="N119" i="5"/>
  <c r="N150" i="5"/>
  <c r="N111" i="5"/>
  <c r="N71" i="5"/>
  <c r="N83" i="5"/>
  <c r="O30" i="5"/>
  <c r="O223" i="5"/>
  <c r="O158" i="5"/>
  <c r="O28" i="5"/>
  <c r="O108" i="5"/>
  <c r="O222" i="5"/>
  <c r="O118" i="5"/>
  <c r="O186" i="5"/>
  <c r="O202" i="5"/>
  <c r="O31" i="5"/>
  <c r="O46" i="5"/>
  <c r="O172" i="5"/>
  <c r="O39" i="5"/>
  <c r="O194" i="5"/>
  <c r="O154" i="5"/>
  <c r="O198" i="5"/>
  <c r="O42" i="5"/>
  <c r="O75" i="5"/>
  <c r="O89" i="5"/>
  <c r="O226" i="5"/>
  <c r="O207" i="5"/>
  <c r="O24" i="5"/>
  <c r="O65" i="5"/>
  <c r="O125" i="5"/>
  <c r="O95" i="5"/>
  <c r="O96" i="5"/>
  <c r="O165" i="5"/>
  <c r="O72" i="5"/>
  <c r="O132" i="5"/>
  <c r="O61" i="5"/>
  <c r="O38" i="5"/>
  <c r="O106" i="5"/>
  <c r="O91" i="5"/>
  <c r="O79" i="5"/>
  <c r="O197" i="5"/>
  <c r="O130" i="5"/>
  <c r="O112" i="5"/>
  <c r="O155" i="5"/>
  <c r="O37" i="5"/>
  <c r="O209" i="5"/>
  <c r="O47" i="5"/>
  <c r="O156" i="5"/>
  <c r="O23" i="5"/>
  <c r="O20" i="5"/>
  <c r="O97" i="5"/>
  <c r="O149" i="5"/>
  <c r="O227" i="5"/>
  <c r="O138" i="5"/>
  <c r="O160" i="5"/>
  <c r="O93" i="5"/>
  <c r="O182" i="5"/>
  <c r="O80" i="5"/>
  <c r="O190" i="5"/>
  <c r="O212" i="5"/>
  <c r="O99" i="5"/>
  <c r="O166" i="5"/>
  <c r="O161" i="5"/>
  <c r="O119" i="5"/>
  <c r="O150" i="5"/>
  <c r="O74" i="5"/>
  <c r="O111" i="5"/>
  <c r="O221" i="5"/>
  <c r="O71" i="5"/>
  <c r="O200" i="5"/>
  <c r="O83" i="5"/>
  <c r="O64" i="5"/>
  <c r="P30" i="5"/>
  <c r="P158" i="5"/>
  <c r="P78" i="5"/>
  <c r="P108" i="5"/>
  <c r="P222" i="5"/>
  <c r="P118" i="5"/>
  <c r="P186" i="5"/>
  <c r="P54" i="5"/>
  <c r="P140" i="5"/>
  <c r="P31" i="5"/>
  <c r="P46" i="5"/>
  <c r="P39" i="5"/>
  <c r="P194" i="5"/>
  <c r="P154" i="5"/>
  <c r="P68" i="5"/>
  <c r="P42" i="5"/>
  <c r="P229" i="5"/>
  <c r="P75" i="5"/>
  <c r="P89" i="5"/>
  <c r="P226" i="5"/>
  <c r="P207" i="5"/>
  <c r="P24" i="5"/>
  <c r="P175" i="5"/>
  <c r="P65" i="5"/>
  <c r="P125" i="5"/>
  <c r="P95" i="5"/>
  <c r="P167" i="5"/>
  <c r="P67" i="5"/>
  <c r="P165" i="5"/>
  <c r="P72" i="5"/>
  <c r="P183" i="5"/>
  <c r="P176" i="5"/>
  <c r="P41" i="5"/>
  <c r="P38" i="5"/>
  <c r="P106" i="5"/>
  <c r="P91" i="5"/>
  <c r="P210" i="5"/>
  <c r="P148" i="5"/>
  <c r="P19" i="5"/>
  <c r="P170" i="5"/>
  <c r="P79" i="5"/>
  <c r="P201" i="5"/>
  <c r="P197" i="5"/>
  <c r="P36" i="5"/>
  <c r="P130" i="5"/>
  <c r="P112" i="5"/>
  <c r="P126" i="5"/>
  <c r="P155" i="5"/>
  <c r="P195" i="5"/>
  <c r="P92" i="5"/>
  <c r="P122" i="5"/>
  <c r="P209" i="5"/>
  <c r="P185" i="5"/>
  <c r="P47" i="5"/>
  <c r="P113" i="5"/>
  <c r="P23" i="5"/>
  <c r="P20" i="5"/>
  <c r="P97" i="5"/>
  <c r="P87" i="5"/>
  <c r="P193" i="5"/>
  <c r="P149" i="5"/>
  <c r="P184" i="5"/>
  <c r="P139" i="5"/>
  <c r="P227" i="5"/>
  <c r="P138" i="5"/>
  <c r="P160" i="5"/>
  <c r="P45" i="5"/>
  <c r="P62" i="5"/>
  <c r="P162" i="5"/>
  <c r="P80" i="5"/>
  <c r="P212" i="5"/>
  <c r="P166" i="5"/>
  <c r="P73" i="5"/>
  <c r="P215" i="5"/>
  <c r="P100" i="5"/>
  <c r="P29" i="5"/>
  <c r="P214" i="5"/>
  <c r="P119" i="5"/>
  <c r="P150" i="5"/>
  <c r="P74" i="5"/>
  <c r="P221" i="5"/>
  <c r="P71" i="5"/>
  <c r="P211" i="5"/>
  <c r="P191" i="5"/>
  <c r="P83" i="5"/>
  <c r="H232" i="5"/>
  <c r="B232" i="5"/>
  <c r="Z230" i="5"/>
  <c r="Y230" i="5"/>
  <c r="X230" i="5"/>
  <c r="W230" i="5"/>
  <c r="P230" i="5"/>
  <c r="O230" i="5"/>
  <c r="N230" i="5"/>
  <c r="M230" i="5"/>
  <c r="M64" i="5"/>
  <c r="W22" i="5"/>
  <c r="M200" i="5"/>
  <c r="M191" i="5"/>
  <c r="M211" i="5"/>
  <c r="M71" i="5"/>
  <c r="M76" i="5"/>
  <c r="W221" i="5"/>
  <c r="M221" i="5"/>
  <c r="M111" i="5"/>
  <c r="M74" i="5"/>
  <c r="W104" i="5"/>
  <c r="W150" i="5"/>
  <c r="W119" i="5"/>
  <c r="M119" i="5"/>
  <c r="W214" i="5"/>
  <c r="M214" i="5"/>
  <c r="M29" i="5"/>
  <c r="M100" i="5"/>
  <c r="M215" i="5"/>
  <c r="W73" i="5"/>
  <c r="M166" i="5"/>
  <c r="W99" i="5"/>
  <c r="W141" i="5"/>
  <c r="M141" i="5"/>
  <c r="M212" i="5"/>
  <c r="M190" i="5"/>
  <c r="M80" i="5"/>
  <c r="M162" i="5"/>
  <c r="W49" i="5"/>
  <c r="M93" i="5"/>
  <c r="M160" i="5"/>
  <c r="W105" i="5"/>
  <c r="W138" i="5"/>
  <c r="M138" i="5"/>
  <c r="M139" i="5"/>
  <c r="W203" i="5"/>
  <c r="W184" i="5"/>
  <c r="M184" i="5"/>
  <c r="M149" i="5"/>
  <c r="M107" i="5"/>
  <c r="W193" i="5"/>
  <c r="W217" i="5"/>
  <c r="W25" i="5"/>
  <c r="M97" i="5"/>
  <c r="M20" i="5"/>
  <c r="M127" i="5"/>
  <c r="W23" i="5"/>
  <c r="M23" i="5"/>
  <c r="W113" i="5"/>
  <c r="M113" i="5"/>
  <c r="M156" i="5"/>
  <c r="W110" i="5"/>
  <c r="W47" i="5"/>
  <c r="M47" i="5"/>
  <c r="M185" i="5"/>
  <c r="M209" i="5"/>
  <c r="W122" i="5"/>
  <c r="M122" i="5"/>
  <c r="W92" i="5"/>
  <c r="M92" i="5"/>
  <c r="W98" i="5"/>
  <c r="M98" i="5"/>
  <c r="W124" i="5"/>
  <c r="M124" i="5"/>
  <c r="M195" i="5"/>
  <c r="M37" i="5"/>
  <c r="M129" i="5"/>
  <c r="W155" i="5"/>
  <c r="M155" i="5"/>
  <c r="W126" i="5"/>
  <c r="M112" i="5"/>
  <c r="W130" i="5"/>
  <c r="M130" i="5"/>
  <c r="W60" i="5"/>
  <c r="M60" i="5"/>
  <c r="W36" i="5"/>
  <c r="M197" i="5"/>
  <c r="M201" i="5"/>
  <c r="W79" i="5"/>
  <c r="M170" i="5"/>
  <c r="M19" i="5"/>
  <c r="M171" i="5"/>
  <c r="M148" i="5"/>
  <c r="W159" i="5"/>
  <c r="W116" i="5"/>
  <c r="W210" i="5"/>
  <c r="M210" i="5"/>
  <c r="M91" i="5"/>
  <c r="M106" i="5"/>
  <c r="M38" i="5"/>
  <c r="W61" i="5"/>
  <c r="M61" i="5"/>
  <c r="W132" i="5"/>
  <c r="M132" i="5"/>
  <c r="W169" i="5"/>
  <c r="M41" i="5"/>
  <c r="M176" i="5"/>
  <c r="M183" i="5"/>
  <c r="M72" i="5"/>
  <c r="W26" i="5"/>
  <c r="M26" i="5"/>
  <c r="M165" i="5"/>
  <c r="W96" i="5"/>
  <c r="M96" i="5"/>
  <c r="M196" i="5"/>
  <c r="M67" i="5"/>
  <c r="W85" i="5"/>
  <c r="M85" i="5"/>
  <c r="W206" i="5"/>
  <c r="M206" i="5"/>
  <c r="M167" i="5"/>
  <c r="M95" i="5"/>
  <c r="W94" i="5"/>
  <c r="M125" i="5"/>
  <c r="W65" i="5"/>
  <c r="M65" i="5"/>
  <c r="W175" i="5"/>
  <c r="M175" i="5"/>
  <c r="W109" i="5"/>
  <c r="M109" i="5"/>
  <c r="W52" i="5"/>
  <c r="M52" i="5"/>
  <c r="W24" i="5"/>
  <c r="M207" i="5"/>
  <c r="M226" i="5"/>
  <c r="W179" i="5"/>
  <c r="M179" i="5"/>
  <c r="W89" i="5"/>
  <c r="M89" i="5"/>
  <c r="W75" i="5"/>
  <c r="M75" i="5"/>
  <c r="W229" i="5"/>
  <c r="M229" i="5"/>
  <c r="W147" i="5"/>
  <c r="M42" i="5"/>
  <c r="M198" i="5"/>
  <c r="W68" i="5"/>
  <c r="M68" i="5"/>
  <c r="W90" i="5"/>
  <c r="W154" i="5"/>
  <c r="M154" i="5"/>
  <c r="W194" i="5"/>
  <c r="M194" i="5"/>
  <c r="W178" i="5"/>
  <c r="M39" i="5"/>
  <c r="W172" i="5"/>
  <c r="M172" i="5"/>
  <c r="W46" i="5"/>
  <c r="M46" i="5"/>
  <c r="W31" i="5"/>
  <c r="M31" i="5"/>
  <c r="W140" i="5"/>
  <c r="M140" i="5"/>
  <c r="W54" i="5"/>
  <c r="M54" i="5"/>
  <c r="W202" i="5"/>
  <c r="M202" i="5"/>
  <c r="W177" i="5"/>
  <c r="W50" i="5"/>
  <c r="M50" i="5"/>
  <c r="W186" i="5"/>
  <c r="M186" i="5"/>
  <c r="W118" i="5"/>
  <c r="M118" i="5"/>
  <c r="M222" i="5"/>
  <c r="W108" i="5"/>
  <c r="M108" i="5"/>
  <c r="W28" i="5"/>
  <c r="M28" i="5"/>
  <c r="W88" i="5"/>
  <c r="W78" i="5"/>
  <c r="M78" i="5"/>
  <c r="M157" i="5"/>
  <c r="W158" i="5"/>
  <c r="M158" i="5"/>
  <c r="W121" i="5"/>
  <c r="M121" i="5"/>
  <c r="M223" i="5"/>
  <c r="M56" i="5"/>
  <c r="W163" i="5"/>
  <c r="W103" i="5"/>
  <c r="M103" i="5"/>
  <c r="M30" i="5"/>
  <c r="AD17" i="5"/>
  <c r="AA17" i="5"/>
  <c r="AE15" i="5"/>
  <c r="AD15" i="5"/>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10" i="1"/>
  <c r="A11" i="1"/>
  <c r="A12" i="1"/>
  <c r="A13" i="1"/>
  <c r="E21" i="7"/>
  <c r="X22" i="5"/>
  <c r="X76" i="5"/>
  <c r="X150" i="5"/>
  <c r="Y150" i="5"/>
  <c r="U63" i="5"/>
  <c r="K63" i="5"/>
  <c r="P63" i="5" s="1"/>
  <c r="M63" i="5"/>
  <c r="U43" i="5"/>
  <c r="K43" i="5"/>
  <c r="U40" i="5"/>
  <c r="W40" i="5"/>
  <c r="K40" i="5"/>
  <c r="N40" i="5"/>
  <c r="N157" i="5"/>
  <c r="Y22" i="5"/>
  <c r="Z22" i="5"/>
  <c r="Z76" i="5"/>
  <c r="U64" i="5"/>
  <c r="U200" i="5"/>
  <c r="Z200" i="5"/>
  <c r="G225" i="5"/>
  <c r="I232" i="5"/>
  <c r="Q12" i="5"/>
  <c r="U71" i="5"/>
  <c r="U111" i="5"/>
  <c r="W111" i="5" s="1"/>
  <c r="U83" i="5"/>
  <c r="U162" i="5"/>
  <c r="X162" i="5" s="1"/>
  <c r="W162" i="5"/>
  <c r="G143" i="5"/>
  <c r="G101" i="5"/>
  <c r="K101" i="5" s="1"/>
  <c r="U149" i="5"/>
  <c r="U97" i="5"/>
  <c r="W97" i="5"/>
  <c r="U185" i="5"/>
  <c r="W185" i="5" s="1"/>
  <c r="U195" i="5"/>
  <c r="Z195" i="5"/>
  <c r="U197" i="5"/>
  <c r="U19" i="5"/>
  <c r="W19" i="5" s="1"/>
  <c r="U106" i="5"/>
  <c r="U176" i="5"/>
  <c r="U67" i="5"/>
  <c r="X67" i="5" s="1"/>
  <c r="U226" i="5"/>
  <c r="W226" i="5" s="1"/>
  <c r="U39" i="5"/>
  <c r="U222" i="5"/>
  <c r="U93" i="5"/>
  <c r="W93" i="5"/>
  <c r="G180" i="5"/>
  <c r="K180" i="5" s="1"/>
  <c r="G81" i="5"/>
  <c r="X108" i="5"/>
  <c r="Y108" i="5"/>
  <c r="U100" i="5"/>
  <c r="W100" i="5"/>
  <c r="U166" i="5"/>
  <c r="X166" i="5" s="1"/>
  <c r="U139" i="5"/>
  <c r="U127" i="5"/>
  <c r="U129" i="5"/>
  <c r="U148" i="5"/>
  <c r="U72" i="5"/>
  <c r="U80" i="5"/>
  <c r="U20" i="5"/>
  <c r="X20" i="5" s="1"/>
  <c r="U37" i="5"/>
  <c r="W37" i="5" s="1"/>
  <c r="U171" i="5"/>
  <c r="U183" i="5"/>
  <c r="Z183" i="5"/>
  <c r="U125" i="5"/>
  <c r="U198" i="5"/>
  <c r="U53" i="5"/>
  <c r="Z53" i="5" s="1"/>
  <c r="U51" i="5"/>
  <c r="Z51" i="5" s="1"/>
  <c r="U62" i="5"/>
  <c r="G146" i="5"/>
  <c r="U146" i="5" s="1"/>
  <c r="U30" i="5"/>
  <c r="X30" i="5"/>
  <c r="U215" i="5"/>
  <c r="U216" i="5"/>
  <c r="W216" i="5"/>
  <c r="G142" i="5"/>
  <c r="K142" i="5" s="1"/>
  <c r="U160" i="5"/>
  <c r="G151" i="5"/>
  <c r="K151" i="5" s="1"/>
  <c r="U107" i="5"/>
  <c r="Y107" i="5"/>
  <c r="U187" i="5"/>
  <c r="X187" i="5" s="1"/>
  <c r="U58" i="5"/>
  <c r="X58" i="5" s="1"/>
  <c r="U38" i="5"/>
  <c r="Y215" i="5"/>
  <c r="Z215" i="5"/>
  <c r="X149" i="5"/>
  <c r="Y149" i="5"/>
  <c r="Z149" i="5"/>
  <c r="W149" i="5"/>
  <c r="X71" i="5"/>
  <c r="Z71" i="5"/>
  <c r="W71" i="5"/>
  <c r="P40" i="5"/>
  <c r="M40" i="5"/>
  <c r="X40" i="5"/>
  <c r="Y40" i="5"/>
  <c r="Z40" i="5"/>
  <c r="N63" i="5"/>
  <c r="U151" i="5"/>
  <c r="W151" i="5"/>
  <c r="K146" i="5"/>
  <c r="Z106" i="5"/>
  <c r="W106" i="5"/>
  <c r="X97" i="5"/>
  <c r="Y97" i="5"/>
  <c r="Z97" i="5"/>
  <c r="X125" i="5"/>
  <c r="Y125" i="5"/>
  <c r="Z125" i="5"/>
  <c r="W125" i="5"/>
  <c r="Y226" i="5"/>
  <c r="Z226" i="5"/>
  <c r="X107" i="5"/>
  <c r="W107" i="5"/>
  <c r="X139" i="5"/>
  <c r="Z139" i="5"/>
  <c r="U101" i="5"/>
  <c r="X62" i="5"/>
  <c r="Y62" i="5"/>
  <c r="Z62" i="5"/>
  <c r="W62" i="5"/>
  <c r="Y100" i="5"/>
  <c r="X100" i="5"/>
  <c r="Z100" i="5"/>
  <c r="Z162" i="5"/>
  <c r="X64" i="5"/>
  <c r="Y64" i="5"/>
  <c r="Z64" i="5"/>
  <c r="W64" i="5"/>
  <c r="P43" i="5"/>
  <c r="Y30" i="5"/>
  <c r="Z30" i="5"/>
  <c r="W30" i="5"/>
  <c r="X176" i="5"/>
  <c r="Y20" i="5"/>
  <c r="W20" i="5"/>
  <c r="X93" i="5"/>
  <c r="Y93" i="5"/>
  <c r="U143" i="5"/>
  <c r="Y143" i="5" s="1"/>
  <c r="X143" i="5"/>
  <c r="K143" i="5"/>
  <c r="M143" i="5"/>
  <c r="Y80" i="5"/>
  <c r="Z80" i="5"/>
  <c r="X197" i="5"/>
  <c r="Y197" i="5"/>
  <c r="Z197" i="5"/>
  <c r="W197" i="5"/>
  <c r="Y53" i="5"/>
  <c r="Z72" i="5"/>
  <c r="X222" i="5"/>
  <c r="Z222" i="5"/>
  <c r="X195" i="5"/>
  <c r="Y195" i="5"/>
  <c r="W195" i="5"/>
  <c r="Y43" i="5"/>
  <c r="X43" i="5"/>
  <c r="Z43" i="5"/>
  <c r="W43" i="5"/>
  <c r="Z58" i="5"/>
  <c r="X129" i="5"/>
  <c r="Y129" i="5"/>
  <c r="Z129" i="5"/>
  <c r="W129" i="5"/>
  <c r="Y111" i="5"/>
  <c r="Z111" i="5"/>
  <c r="X171" i="5"/>
  <c r="U81" i="5"/>
  <c r="Z81" i="5" s="1"/>
  <c r="K81" i="5"/>
  <c r="M81" i="5" s="1"/>
  <c r="Z160" i="5"/>
  <c r="Y166" i="5"/>
  <c r="W166" i="5"/>
  <c r="X200" i="5"/>
  <c r="W200" i="5"/>
  <c r="Y216" i="5"/>
  <c r="X216" i="5"/>
  <c r="Z216" i="5"/>
  <c r="X38" i="5"/>
  <c r="Y38" i="5"/>
  <c r="Z38" i="5"/>
  <c r="W38" i="5"/>
  <c r="X198" i="5"/>
  <c r="Y198" i="5"/>
  <c r="Z198" i="5"/>
  <c r="W198" i="5"/>
  <c r="X148" i="5"/>
  <c r="Y148" i="5"/>
  <c r="Z148" i="5"/>
  <c r="W148" i="5"/>
  <c r="X39" i="5"/>
  <c r="Y39" i="5"/>
  <c r="Z39" i="5"/>
  <c r="W39" i="5"/>
  <c r="Y185" i="5"/>
  <c r="Z185" i="5"/>
  <c r="X83" i="5"/>
  <c r="Y83" i="5"/>
  <c r="W83" i="5"/>
  <c r="Z83" i="5"/>
  <c r="O143" i="5"/>
  <c r="P143" i="5"/>
  <c r="Y101" i="5"/>
  <c r="Z143" i="5"/>
  <c r="W143" i="5"/>
  <c r="O146" i="5"/>
  <c r="M146" i="5"/>
  <c r="X151" i="5"/>
  <c r="Y151" i="5"/>
  <c r="Z151" i="5"/>
  <c r="AE232" i="5"/>
  <c r="X63" i="5"/>
  <c r="W63" i="5"/>
  <c r="Y63" i="5"/>
  <c r="Z63" i="5"/>
  <c r="O81" i="5"/>
  <c r="P81" i="5"/>
  <c r="N81" i="5"/>
  <c r="W101" i="5"/>
  <c r="X101" i="5"/>
  <c r="Z101" i="5"/>
  <c r="G134" i="5"/>
  <c r="F232" i="5"/>
  <c r="U168" i="5"/>
  <c r="K168" i="5"/>
  <c r="O56" i="5"/>
  <c r="P56" i="5"/>
  <c r="N56" i="5"/>
  <c r="Y51" i="5"/>
  <c r="W80" i="5"/>
  <c r="X80" i="5"/>
  <c r="Y160" i="5"/>
  <c r="X160" i="5"/>
  <c r="W160" i="5"/>
  <c r="W53" i="5"/>
  <c r="X53" i="5"/>
  <c r="Y72" i="5"/>
  <c r="W72" i="5"/>
  <c r="X72" i="5"/>
  <c r="P146" i="5"/>
  <c r="N146" i="5"/>
  <c r="N57" i="5"/>
  <c r="M57" i="5"/>
  <c r="O57" i="5"/>
  <c r="P57" i="5"/>
  <c r="P105" i="5"/>
  <c r="O105" i="5"/>
  <c r="M105" i="5"/>
  <c r="N105" i="5"/>
  <c r="N87" i="5"/>
  <c r="O87" i="5"/>
  <c r="M87" i="5"/>
  <c r="N27" i="5"/>
  <c r="P27" i="5"/>
  <c r="M27" i="5"/>
  <c r="N66"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s="1"/>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N187" i="5"/>
  <c r="P187" i="5"/>
  <c r="P58" i="5"/>
  <c r="N116" i="5"/>
  <c r="O116" i="5"/>
  <c r="M116" i="5"/>
  <c r="P116" i="5"/>
  <c r="U131" i="5"/>
  <c r="J232" i="5"/>
  <c r="Z107" i="5"/>
  <c r="Y37" i="5"/>
  <c r="O40" i="5"/>
  <c r="O214" i="5"/>
  <c r="N129" i="5"/>
  <c r="N171" i="5"/>
  <c r="P171" i="5" s="1"/>
  <c r="K131" i="5"/>
  <c r="N204" i="5"/>
  <c r="O204" i="5"/>
  <c r="P204" i="5"/>
  <c r="M204" i="5"/>
  <c r="N141" i="5"/>
  <c r="P141" i="5"/>
  <c r="O141" i="5"/>
  <c r="N45" i="5"/>
  <c r="O45" i="5"/>
  <c r="N184" i="5"/>
  <c r="O184" i="5"/>
  <c r="P35" i="5"/>
  <c r="O35" i="5"/>
  <c r="M35" i="5"/>
  <c r="Y200" i="5"/>
  <c r="X111" i="5"/>
  <c r="Z93" i="5"/>
  <c r="X37" i="5"/>
  <c r="Y71" i="5"/>
  <c r="O129" i="5"/>
  <c r="N121" i="5"/>
  <c r="M24" i="5"/>
  <c r="M79" i="5"/>
  <c r="M36" i="5"/>
  <c r="M193" i="5"/>
  <c r="W74" i="5"/>
  <c r="P93" i="5"/>
  <c r="P96" i="5"/>
  <c r="P172" i="5"/>
  <c r="N107" i="5"/>
  <c r="N61" i="5"/>
  <c r="K217" i="5"/>
  <c r="P217" i="5" s="1"/>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X133" i="5" s="1"/>
  <c r="K133" i="5"/>
  <c r="K104" i="5"/>
  <c r="K120" i="5"/>
  <c r="Y169" i="5"/>
  <c r="U191" i="5"/>
  <c r="G82" i="5"/>
  <c r="U211" i="5"/>
  <c r="U204" i="5"/>
  <c r="Y204" i="5" s="1"/>
  <c r="G70" i="5"/>
  <c r="U42" i="5"/>
  <c r="U209" i="5"/>
  <c r="X209" i="5" s="1"/>
  <c r="G137" i="5"/>
  <c r="K137" i="5" s="1"/>
  <c r="G181" i="5"/>
  <c r="X140" i="5"/>
  <c r="Y140" i="5"/>
  <c r="U56" i="5"/>
  <c r="X56" i="5" s="1"/>
  <c r="G86" i="5"/>
  <c r="G199" i="5"/>
  <c r="U153" i="5"/>
  <c r="U201" i="5"/>
  <c r="Z201" i="5" s="1"/>
  <c r="U102" i="5"/>
  <c r="U95" i="5"/>
  <c r="U35" i="5"/>
  <c r="K53" i="5"/>
  <c r="N53" i="5" s="1"/>
  <c r="K51" i="5"/>
  <c r="U136" i="5"/>
  <c r="K136" i="5"/>
  <c r="U161" i="5"/>
  <c r="X161" i="5" s="1"/>
  <c r="U227" i="5"/>
  <c r="U207" i="5"/>
  <c r="G218" i="5"/>
  <c r="G173" i="5"/>
  <c r="K173" i="5" s="1"/>
  <c r="U156" i="5"/>
  <c r="U170" i="5"/>
  <c r="G117" i="5"/>
  <c r="K117" i="5" s="1"/>
  <c r="G48" i="5"/>
  <c r="G232" i="5" s="1"/>
  <c r="U167" i="5"/>
  <c r="G69" i="5"/>
  <c r="G188" i="5"/>
  <c r="U29" i="5"/>
  <c r="Y29" i="5" s="1"/>
  <c r="U182" i="5"/>
  <c r="Y182" i="5" s="1"/>
  <c r="U196" i="5"/>
  <c r="U145" i="5"/>
  <c r="W145" i="5" s="1"/>
  <c r="U157" i="5"/>
  <c r="Y157" i="5" s="1"/>
  <c r="G135" i="5"/>
  <c r="U223" i="5"/>
  <c r="G21" i="5"/>
  <c r="U117" i="5"/>
  <c r="X168" i="5"/>
  <c r="W168" i="5"/>
  <c r="Z168" i="5"/>
  <c r="Y168" i="5"/>
  <c r="Y136" i="5"/>
  <c r="X136" i="5"/>
  <c r="Z136" i="5"/>
  <c r="W136" i="5"/>
  <c r="Z182" i="5"/>
  <c r="W182" i="5"/>
  <c r="X182" i="5"/>
  <c r="N51" i="5"/>
  <c r="O51" i="5"/>
  <c r="P51" i="5"/>
  <c r="M51" i="5"/>
  <c r="U70" i="5"/>
  <c r="K70" i="5"/>
  <c r="Z180" i="5"/>
  <c r="Y180" i="5"/>
  <c r="W180" i="5"/>
  <c r="X180" i="5"/>
  <c r="U134" i="5"/>
  <c r="K134" i="5"/>
  <c r="Z145" i="5"/>
  <c r="X145" i="5"/>
  <c r="Z209" i="5"/>
  <c r="W209" i="5"/>
  <c r="O33" i="5"/>
  <c r="M33" i="5"/>
  <c r="N33" i="5"/>
  <c r="P33" i="5"/>
  <c r="K199" i="5"/>
  <c r="U199" i="5"/>
  <c r="X156" i="5"/>
  <c r="Z156" i="5"/>
  <c r="W156" i="5"/>
  <c r="Y156" i="5"/>
  <c r="U86" i="5"/>
  <c r="K86" i="5"/>
  <c r="N133" i="5"/>
  <c r="O133" i="5"/>
  <c r="M133" i="5"/>
  <c r="P133" i="5"/>
  <c r="W29" i="5"/>
  <c r="P53" i="5"/>
  <c r="O53" i="5"/>
  <c r="Y56" i="5"/>
  <c r="X204" i="5"/>
  <c r="W204" i="5"/>
  <c r="Z133" i="5"/>
  <c r="W133" i="5"/>
  <c r="N217" i="5"/>
  <c r="O217" i="5"/>
  <c r="N189" i="5"/>
  <c r="O189" i="5"/>
  <c r="M189" i="5"/>
  <c r="P189" i="5"/>
  <c r="N104" i="5"/>
  <c r="P104" i="5"/>
  <c r="O104" i="5"/>
  <c r="M104" i="5"/>
  <c r="X35" i="5"/>
  <c r="Y35" i="5"/>
  <c r="Z35" i="5"/>
  <c r="W35" i="5"/>
  <c r="P228" i="5"/>
  <c r="M228" i="5"/>
  <c r="N228" i="5"/>
  <c r="O228" i="5"/>
  <c r="X189" i="5"/>
  <c r="Y189" i="5"/>
  <c r="Z189" i="5"/>
  <c r="W189" i="5"/>
  <c r="X196" i="5"/>
  <c r="Z196" i="5" s="1"/>
  <c r="W196" i="5"/>
  <c r="U188" i="5"/>
  <c r="K188" i="5"/>
  <c r="P188" i="5" s="1"/>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U218" i="5"/>
  <c r="Y218" i="5" s="1"/>
  <c r="K218" i="5"/>
  <c r="Y211" i="5"/>
  <c r="Z211" i="5"/>
  <c r="X211" i="5"/>
  <c r="W211" i="5"/>
  <c r="P44" i="5"/>
  <c r="M44" i="5"/>
  <c r="O44" i="5"/>
  <c r="N44" i="5"/>
  <c r="U69" i="5"/>
  <c r="K69" i="5"/>
  <c r="P69" i="5" s="1"/>
  <c r="X174" i="5"/>
  <c r="Y174" i="5"/>
  <c r="W174" i="5"/>
  <c r="Z174" i="5"/>
  <c r="X167" i="5"/>
  <c r="Z167" i="5" s="1"/>
  <c r="W167" i="5"/>
  <c r="Y102" i="5"/>
  <c r="Z102" i="5"/>
  <c r="X102" i="5"/>
  <c r="W102" i="5"/>
  <c r="Y191" i="5"/>
  <c r="X191" i="5"/>
  <c r="Z191" i="5"/>
  <c r="W191" i="5"/>
  <c r="U59" i="5"/>
  <c r="Y59" i="5" s="1"/>
  <c r="K59" i="5"/>
  <c r="N59" i="5" s="1"/>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X82" i="5" s="1"/>
  <c r="Y57" i="5"/>
  <c r="W57" i="5"/>
  <c r="Z57" i="5"/>
  <c r="X57" i="5"/>
  <c r="U135" i="5"/>
  <c r="Y135" i="5" s="1"/>
  <c r="K135" i="5"/>
  <c r="P135" i="5" s="1"/>
  <c r="X227" i="5"/>
  <c r="Z227" i="5"/>
  <c r="Y227" i="5"/>
  <c r="W227" i="5"/>
  <c r="U181" i="5"/>
  <c r="K181" i="5"/>
  <c r="Z157" i="5"/>
  <c r="X157" i="5"/>
  <c r="W157" i="5"/>
  <c r="U48" i="5"/>
  <c r="K48" i="5"/>
  <c r="O48" i="5" s="1"/>
  <c r="Y161" i="5"/>
  <c r="W161" i="5"/>
  <c r="X201" i="5"/>
  <c r="Y201" i="5"/>
  <c r="W201" i="5"/>
  <c r="U137" i="5"/>
  <c r="Y128" i="5"/>
  <c r="X128" i="5"/>
  <c r="W128" i="5"/>
  <c r="Z128" i="5"/>
  <c r="X32" i="5"/>
  <c r="W32" i="5"/>
  <c r="Y32" i="5"/>
  <c r="Z32" i="5"/>
  <c r="Z19" i="5"/>
  <c r="P66" i="5"/>
  <c r="N168" i="5"/>
  <c r="O168" i="5"/>
  <c r="M168" i="5"/>
  <c r="P168" i="5"/>
  <c r="Y199" i="5"/>
  <c r="Z199" i="5"/>
  <c r="X199" i="5"/>
  <c r="W199" i="5"/>
  <c r="O199" i="5"/>
  <c r="M199" i="5"/>
  <c r="P199" i="5"/>
  <c r="N199" i="5"/>
  <c r="O59" i="5"/>
  <c r="P218" i="5"/>
  <c r="N218" i="5"/>
  <c r="O218" i="5"/>
  <c r="M218" i="5"/>
  <c r="X59" i="5"/>
  <c r="W59" i="5"/>
  <c r="Z59" i="5"/>
  <c r="Z218" i="5"/>
  <c r="W218" i="5"/>
  <c r="N69" i="5"/>
  <c r="M69" i="5"/>
  <c r="O188" i="5"/>
  <c r="N188" i="5"/>
  <c r="P134" i="5"/>
  <c r="O134" i="5"/>
  <c r="N134" i="5"/>
  <c r="M134" i="5"/>
  <c r="N70" i="5"/>
  <c r="P70" i="5"/>
  <c r="M70" i="5"/>
  <c r="X69" i="5"/>
  <c r="Z69" i="5"/>
  <c r="Y69" i="5"/>
  <c r="W69" i="5"/>
  <c r="Z21" i="5"/>
  <c r="W21" i="5"/>
  <c r="X21" i="5"/>
  <c r="Y21" i="5"/>
  <c r="X188" i="5"/>
  <c r="Y188" i="5"/>
  <c r="Z188" i="5"/>
  <c r="W188" i="5"/>
  <c r="X134" i="5"/>
  <c r="W134" i="5"/>
  <c r="Y134" i="5"/>
  <c r="Z134" i="5"/>
  <c r="X70" i="5"/>
  <c r="W70" i="5"/>
  <c r="O86" i="5"/>
  <c r="M86" i="5"/>
  <c r="P86" i="5"/>
  <c r="N86" i="5"/>
  <c r="X137" i="5"/>
  <c r="Y137" i="5"/>
  <c r="Z137" i="5"/>
  <c r="W137" i="5"/>
  <c r="N48" i="5"/>
  <c r="P48" i="5"/>
  <c r="M48" i="5"/>
  <c r="P181" i="5"/>
  <c r="O181" i="5"/>
  <c r="M181" i="5"/>
  <c r="N181" i="5"/>
  <c r="N135" i="5"/>
  <c r="O135" i="5"/>
  <c r="W82" i="5"/>
  <c r="Z82" i="5"/>
  <c r="O21" i="5"/>
  <c r="N21" i="5"/>
  <c r="P21" i="5"/>
  <c r="P82" i="5"/>
  <c r="P137" i="5"/>
  <c r="M21" i="5"/>
  <c r="M82" i="5"/>
  <c r="X86" i="5"/>
  <c r="Y86" i="5"/>
  <c r="W86" i="5"/>
  <c r="Z86" i="5"/>
  <c r="X48" i="5"/>
  <c r="Y48" i="5"/>
  <c r="Z48" i="5"/>
  <c r="W48" i="5"/>
  <c r="Y181" i="5"/>
  <c r="Z181" i="5"/>
  <c r="X181" i="5"/>
  <c r="W181" i="5"/>
  <c r="Z135" i="5"/>
  <c r="W135" i="5"/>
  <c r="N82" i="5"/>
  <c r="O82" i="5"/>
  <c r="Y117" i="5"/>
  <c r="Z117" i="5"/>
  <c r="W117" i="5"/>
  <c r="X117" i="5"/>
  <c r="Z70" i="5"/>
  <c r="E7" i="3" l="1"/>
  <c r="G6" i="1" s="1"/>
  <c r="H6" i="1" s="1"/>
  <c r="D151" i="6"/>
  <c r="D153" i="6"/>
  <c r="D96" i="11"/>
  <c r="C298" i="11"/>
  <c r="C291" i="6"/>
  <c r="D91" i="6"/>
  <c r="D138" i="6"/>
  <c r="F4" i="14"/>
  <c r="F7" i="14" s="1"/>
  <c r="F4" i="1"/>
  <c r="F7" i="1" s="1"/>
  <c r="H4" i="14"/>
  <c r="M117" i="5"/>
  <c r="P117" i="5"/>
  <c r="N117" i="5"/>
  <c r="O117" i="5"/>
  <c r="M137" i="5"/>
  <c r="N137" i="5"/>
  <c r="O137" i="5"/>
  <c r="O173" i="5"/>
  <c r="N173" i="5"/>
  <c r="P173" i="5"/>
  <c r="M173" i="5"/>
  <c r="P180" i="5"/>
  <c r="N180" i="5"/>
  <c r="M180" i="5"/>
  <c r="O180" i="5"/>
  <c r="M151" i="5"/>
  <c r="N151" i="5"/>
  <c r="O151" i="5"/>
  <c r="P151" i="5"/>
  <c r="X146" i="5"/>
  <c r="W146" i="5"/>
  <c r="Y146" i="5"/>
  <c r="Z146" i="5"/>
  <c r="P101" i="5"/>
  <c r="M101" i="5"/>
  <c r="O101" i="5"/>
  <c r="N101" i="5"/>
  <c r="P142" i="5"/>
  <c r="M142" i="5"/>
  <c r="O142" i="5"/>
  <c r="N142" i="5"/>
  <c r="O98" i="5"/>
  <c r="P98" i="5"/>
  <c r="N103" i="5"/>
  <c r="P103" i="5"/>
  <c r="X212" i="5"/>
  <c r="W212" i="5"/>
  <c r="Z193" i="5"/>
  <c r="X193" i="5"/>
  <c r="Y193" i="5"/>
  <c r="X229" i="5"/>
  <c r="Y229" i="5"/>
  <c r="Z229" i="5"/>
  <c r="Y202" i="5"/>
  <c r="X202" i="5"/>
  <c r="M59" i="5"/>
  <c r="Z29" i="5"/>
  <c r="Y58" i="5"/>
  <c r="W67" i="5"/>
  <c r="N162" i="5"/>
  <c r="N139" i="5"/>
  <c r="O139" i="5"/>
  <c r="Z23" i="5"/>
  <c r="X23" i="5"/>
  <c r="Y23" i="5"/>
  <c r="Z85" i="5"/>
  <c r="Y85" i="5"/>
  <c r="X85" i="5"/>
  <c r="X65" i="5"/>
  <c r="Y65" i="5"/>
  <c r="Z65" i="5"/>
  <c r="X147" i="5"/>
  <c r="Y147" i="5"/>
  <c r="X194" i="5"/>
  <c r="Z194" i="5"/>
  <c r="Z177" i="5"/>
  <c r="X177" i="5"/>
  <c r="Y177" i="5"/>
  <c r="X135" i="5"/>
  <c r="Y82" i="5"/>
  <c r="O69" i="5"/>
  <c r="X218" i="5"/>
  <c r="P59" i="5"/>
  <c r="Z161" i="5"/>
  <c r="M217" i="5"/>
  <c r="Z204" i="5"/>
  <c r="M53" i="5"/>
  <c r="X29" i="5"/>
  <c r="Y145" i="5"/>
  <c r="X81" i="5"/>
  <c r="X185" i="5"/>
  <c r="Z166" i="5"/>
  <c r="Y162" i="5"/>
  <c r="O63" i="5"/>
  <c r="Z67" i="5"/>
  <c r="O191" i="5"/>
  <c r="N196" i="5"/>
  <c r="P196" i="5" s="1"/>
  <c r="Z212" i="5"/>
  <c r="O157" i="5"/>
  <c r="Y60" i="5"/>
  <c r="Z55" i="5"/>
  <c r="Y55" i="5"/>
  <c r="W55" i="5"/>
  <c r="X55" i="5"/>
  <c r="X206" i="5"/>
  <c r="Z206" i="5" s="1"/>
  <c r="X178" i="5"/>
  <c r="Z178" i="5"/>
  <c r="Y178" i="5"/>
  <c r="Y28" i="5"/>
  <c r="X28" i="5"/>
  <c r="Z28" i="5"/>
  <c r="Y209" i="5"/>
  <c r="W81" i="5"/>
  <c r="Z37" i="5"/>
  <c r="O103" i="5"/>
  <c r="Z60" i="5"/>
  <c r="O76" i="5"/>
  <c r="N76" i="5"/>
  <c r="P76" i="5"/>
  <c r="Y194" i="5"/>
  <c r="N64" i="5"/>
  <c r="P64" i="5"/>
  <c r="X73" i="5"/>
  <c r="Y73" i="5"/>
  <c r="X113" i="5"/>
  <c r="X27" i="5"/>
  <c r="W27" i="5"/>
  <c r="X26" i="5"/>
  <c r="Y26" i="5"/>
  <c r="X179" i="5"/>
  <c r="Y179" i="5"/>
  <c r="Z179" i="5"/>
  <c r="N198" i="5"/>
  <c r="P198" i="5"/>
  <c r="Y88" i="5"/>
  <c r="X88" i="5"/>
  <c r="X103" i="5"/>
  <c r="Z103" i="5"/>
  <c r="Y103" i="5"/>
  <c r="Y212" i="5"/>
  <c r="Y152" i="5"/>
  <c r="Z152" i="5"/>
  <c r="W152" i="5"/>
  <c r="X152" i="5"/>
  <c r="Z74" i="5"/>
  <c r="X74" i="5"/>
  <c r="X214" i="5"/>
  <c r="Y214" i="5"/>
  <c r="Z214" i="5"/>
  <c r="X184" i="5"/>
  <c r="Y184" i="5"/>
  <c r="Y155" i="5"/>
  <c r="Z155" i="5"/>
  <c r="X155" i="5"/>
  <c r="Y120" i="5"/>
  <c r="W120" i="5"/>
  <c r="X61" i="5"/>
  <c r="Y61" i="5"/>
  <c r="Z61" i="5"/>
  <c r="Z186" i="5"/>
  <c r="Y186" i="5"/>
  <c r="X186" i="5"/>
  <c r="Y78" i="5"/>
  <c r="X78" i="5"/>
  <c r="M188" i="5"/>
  <c r="Y133" i="5"/>
  <c r="W56" i="5"/>
  <c r="U173" i="5"/>
  <c r="W51" i="5"/>
  <c r="U142" i="5"/>
  <c r="Z20" i="5"/>
  <c r="Z187" i="5"/>
  <c r="O107" i="5"/>
  <c r="Z110" i="5"/>
  <c r="X110" i="5"/>
  <c r="X92" i="5"/>
  <c r="Y92" i="5"/>
  <c r="Z126" i="5"/>
  <c r="X126" i="5"/>
  <c r="Y126" i="5"/>
  <c r="X116" i="5"/>
  <c r="Y116" i="5"/>
  <c r="X172" i="5"/>
  <c r="Z172" i="5"/>
  <c r="Y172" i="5"/>
  <c r="Y118" i="5"/>
  <c r="X118" i="5"/>
  <c r="Z118" i="5"/>
  <c r="M135" i="5"/>
  <c r="Z56" i="5"/>
  <c r="X51" i="5"/>
  <c r="X49" i="5"/>
  <c r="Z49" i="5"/>
  <c r="Y49" i="5"/>
  <c r="Y105" i="5"/>
  <c r="X105" i="5"/>
  <c r="Y98" i="5"/>
  <c r="X98" i="5"/>
  <c r="X112" i="5"/>
  <c r="W112" i="5"/>
  <c r="Z112" i="5"/>
  <c r="Y112" i="5"/>
  <c r="Z210" i="5"/>
  <c r="X210" i="5"/>
  <c r="Y210" i="5"/>
  <c r="X169" i="5"/>
  <c r="Z169" i="5"/>
  <c r="X96" i="5"/>
  <c r="Z96" i="5"/>
  <c r="Y96" i="5"/>
  <c r="X90" i="5"/>
  <c r="Y90" i="5"/>
  <c r="Y46" i="5"/>
  <c r="X46" i="5"/>
  <c r="Z46" i="5"/>
  <c r="N98" i="5"/>
  <c r="Z202" i="5"/>
  <c r="M58" i="5"/>
  <c r="O58" i="5"/>
  <c r="Y141" i="5"/>
  <c r="X141" i="5"/>
  <c r="Y138" i="5"/>
  <c r="Z138" i="5"/>
  <c r="X138" i="5"/>
  <c r="X130" i="5"/>
  <c r="Y130" i="5"/>
  <c r="Z130" i="5"/>
  <c r="N41" i="5"/>
  <c r="O41" i="5"/>
  <c r="W190" i="5"/>
  <c r="P161" i="5"/>
  <c r="P153" i="5"/>
  <c r="N227" i="5"/>
  <c r="K22" i="5"/>
  <c r="K177" i="5"/>
  <c r="K88" i="5"/>
  <c r="Y119" i="5"/>
  <c r="Y54" i="5"/>
  <c r="X31" i="5"/>
  <c r="H4" i="1"/>
  <c r="K147" i="5"/>
  <c r="Y99" i="5"/>
  <c r="Y175" i="5"/>
  <c r="O193" i="5"/>
  <c r="Z99" i="5"/>
  <c r="K49" i="5"/>
  <c r="K178" i="5"/>
  <c r="K163" i="5"/>
  <c r="D171" i="6"/>
  <c r="U213" i="5"/>
  <c r="U45" i="5"/>
  <c r="U66" i="5"/>
  <c r="Z158" i="5"/>
  <c r="K90" i="5"/>
  <c r="U87" i="5"/>
  <c r="U91" i="5"/>
  <c r="U41" i="5"/>
  <c r="U165" i="5"/>
  <c r="X213" i="5" l="1"/>
  <c r="W213" i="5"/>
  <c r="Z213" i="5"/>
  <c r="Z45" i="5"/>
  <c r="X45" i="5"/>
  <c r="W45" i="5"/>
  <c r="Y45" i="5"/>
  <c r="N177" i="5"/>
  <c r="O177" i="5"/>
  <c r="P177" i="5"/>
  <c r="M177" i="5"/>
  <c r="N22" i="5"/>
  <c r="M22" i="5"/>
  <c r="O22" i="5"/>
  <c r="K232" i="5"/>
  <c r="P22" i="5"/>
  <c r="Z142" i="5"/>
  <c r="X142" i="5"/>
  <c r="W142" i="5"/>
  <c r="Y142" i="5"/>
  <c r="X41" i="5"/>
  <c r="Y41" i="5"/>
  <c r="Z41" i="5"/>
  <c r="U232" i="5"/>
  <c r="W41" i="5"/>
  <c r="W14" i="5" s="1"/>
  <c r="Z91" i="5"/>
  <c r="X91" i="5"/>
  <c r="Y91" i="5"/>
  <c r="W91" i="5"/>
  <c r="N163" i="5"/>
  <c r="O163" i="5"/>
  <c r="M163" i="5"/>
  <c r="P163" i="5"/>
  <c r="Y173" i="5"/>
  <c r="Z173" i="5"/>
  <c r="W173" i="5"/>
  <c r="X173" i="5"/>
  <c r="P49" i="5"/>
  <c r="O49" i="5"/>
  <c r="M49" i="5"/>
  <c r="N49" i="5"/>
  <c r="X165" i="5"/>
  <c r="Y165" i="5"/>
  <c r="W165" i="5"/>
  <c r="Z165" i="5"/>
  <c r="O147" i="5"/>
  <c r="P147" i="5"/>
  <c r="N147" i="5"/>
  <c r="M147" i="5"/>
  <c r="N178" i="5"/>
  <c r="O178" i="5"/>
  <c r="M178" i="5"/>
  <c r="P178" i="5"/>
  <c r="Z27" i="5"/>
  <c r="X232" i="5"/>
  <c r="AA13" i="5" s="1"/>
  <c r="Z87" i="5"/>
  <c r="X87" i="5"/>
  <c r="W87" i="5"/>
  <c r="Y87" i="5"/>
  <c r="N90" i="5"/>
  <c r="P90" i="5"/>
  <c r="O90" i="5"/>
  <c r="M90" i="5"/>
  <c r="X66" i="5"/>
  <c r="W66" i="5"/>
  <c r="N88" i="5"/>
  <c r="O88" i="5"/>
  <c r="P88" i="5"/>
  <c r="M88" i="5"/>
  <c r="Z113" i="5"/>
  <c r="D15" i="5" l="1"/>
  <c r="D16" i="5" s="1"/>
  <c r="E15" i="5"/>
  <c r="E16" i="5" s="1"/>
  <c r="M14" i="5"/>
  <c r="Z66" i="5"/>
  <c r="Z232" i="5" s="1"/>
  <c r="AA14" i="5"/>
  <c r="N232" i="5"/>
  <c r="Q13" i="5" s="1"/>
  <c r="Q14" i="5" s="1"/>
  <c r="Q16" i="5" s="1"/>
  <c r="P232" i="5"/>
  <c r="Q197" i="5" l="1"/>
  <c r="R197" i="5" s="1"/>
  <c r="S197" i="5" s="1"/>
  <c r="Q183" i="5"/>
  <c r="R183" i="5" s="1"/>
  <c r="S183" i="5" s="1"/>
  <c r="Q186" i="5"/>
  <c r="R186" i="5" s="1"/>
  <c r="S186" i="5" s="1"/>
  <c r="Q96" i="5"/>
  <c r="R96" i="5" s="1"/>
  <c r="S96" i="5" s="1"/>
  <c r="Q203" i="5"/>
  <c r="R203" i="5" s="1"/>
  <c r="S203" i="5" s="1"/>
  <c r="Q209" i="5"/>
  <c r="R209" i="5" s="1"/>
  <c r="S209" i="5" s="1"/>
  <c r="O171" i="5"/>
  <c r="Q39" i="5"/>
  <c r="R39" i="5" s="1"/>
  <c r="S39" i="5" s="1"/>
  <c r="Q55" i="5"/>
  <c r="R55" i="5" s="1"/>
  <c r="S55" i="5" s="1"/>
  <c r="Q160" i="5"/>
  <c r="R160" i="5" s="1"/>
  <c r="S160" i="5" s="1"/>
  <c r="Q45" i="5"/>
  <c r="R45" i="5" s="1"/>
  <c r="S45" i="5" s="1"/>
  <c r="Q226" i="5"/>
  <c r="R226" i="5" s="1"/>
  <c r="S226" i="5" s="1"/>
  <c r="Q227" i="5"/>
  <c r="R227" i="5" s="1"/>
  <c r="S227" i="5" s="1"/>
  <c r="Q91" i="5"/>
  <c r="R91" i="5" s="1"/>
  <c r="S91" i="5" s="1"/>
  <c r="Q155" i="5"/>
  <c r="R155" i="5" s="1"/>
  <c r="S155" i="5" s="1"/>
  <c r="Q121" i="5"/>
  <c r="R121" i="5" s="1"/>
  <c r="S121" i="5" s="1"/>
  <c r="Q132" i="5"/>
  <c r="R132" i="5" s="1"/>
  <c r="S132" i="5" s="1"/>
  <c r="Q207" i="5"/>
  <c r="R207" i="5" s="1"/>
  <c r="S207" i="5" s="1"/>
  <c r="Q159" i="5"/>
  <c r="R159" i="5" s="1"/>
  <c r="S159" i="5" s="1"/>
  <c r="Q111" i="5"/>
  <c r="R111" i="5" s="1"/>
  <c r="S111" i="5" s="1"/>
  <c r="Q56" i="5"/>
  <c r="R56" i="5" s="1"/>
  <c r="S56" i="5" s="1"/>
  <c r="Q211" i="5"/>
  <c r="R211" i="5" s="1"/>
  <c r="S211" i="5" s="1"/>
  <c r="Q190" i="5"/>
  <c r="R190" i="5" s="1"/>
  <c r="S190" i="5" s="1"/>
  <c r="Q169" i="5"/>
  <c r="R169" i="5" s="1"/>
  <c r="S169" i="5" s="1"/>
  <c r="Q112" i="5"/>
  <c r="R112" i="5" s="1"/>
  <c r="S112" i="5" s="1"/>
  <c r="Q83" i="5"/>
  <c r="R83" i="5" s="1"/>
  <c r="S83" i="5" s="1"/>
  <c r="Q148" i="5"/>
  <c r="R148" i="5" s="1"/>
  <c r="S148" i="5" s="1"/>
  <c r="Q63" i="5"/>
  <c r="R63" i="5" s="1"/>
  <c r="S63" i="5" s="1"/>
  <c r="Q106" i="5"/>
  <c r="R106" i="5" s="1"/>
  <c r="S106" i="5" s="1"/>
  <c r="Q222" i="5"/>
  <c r="R222" i="5" s="1"/>
  <c r="S222" i="5" s="1"/>
  <c r="O19" i="5"/>
  <c r="Q19" i="5" s="1"/>
  <c r="Q68" i="5"/>
  <c r="R68" i="5" s="1"/>
  <c r="S68" i="5" s="1"/>
  <c r="Q37" i="5"/>
  <c r="R37" i="5" s="1"/>
  <c r="S37" i="5" s="1"/>
  <c r="Q36" i="5"/>
  <c r="R36" i="5" s="1"/>
  <c r="S36" i="5" s="1"/>
  <c r="Q152" i="5"/>
  <c r="R152" i="5" s="1"/>
  <c r="S152" i="5" s="1"/>
  <c r="Q214" i="5"/>
  <c r="R214" i="5" s="1"/>
  <c r="S214" i="5" s="1"/>
  <c r="Q172" i="5"/>
  <c r="R172" i="5" s="1"/>
  <c r="S172" i="5" s="1"/>
  <c r="Q221" i="5"/>
  <c r="R221" i="5" s="1"/>
  <c r="S221" i="5" s="1"/>
  <c r="Q191" i="5"/>
  <c r="R191" i="5" s="1"/>
  <c r="S191" i="5" s="1"/>
  <c r="Q149" i="5"/>
  <c r="R149" i="5" s="1"/>
  <c r="S149" i="5" s="1"/>
  <c r="Q38" i="5"/>
  <c r="R38" i="5" s="1"/>
  <c r="S38" i="5" s="1"/>
  <c r="Q80" i="5"/>
  <c r="R80" i="5" s="1"/>
  <c r="S80" i="5" s="1"/>
  <c r="Q125" i="5"/>
  <c r="R125" i="5" s="1"/>
  <c r="S125" i="5" s="1"/>
  <c r="Q110" i="5"/>
  <c r="R110" i="5" s="1"/>
  <c r="S110" i="5" s="1"/>
  <c r="Q41" i="5"/>
  <c r="R41" i="5" s="1"/>
  <c r="S41" i="5" s="1"/>
  <c r="Q46" i="5"/>
  <c r="R46" i="5" s="1"/>
  <c r="S46" i="5" s="1"/>
  <c r="Q107" i="5"/>
  <c r="R107" i="5" s="1"/>
  <c r="S107" i="5" s="1"/>
  <c r="Q184" i="5"/>
  <c r="R184" i="5" s="1"/>
  <c r="S184" i="5" s="1"/>
  <c r="Q126" i="5"/>
  <c r="R126" i="5" s="1"/>
  <c r="S126" i="5" s="1"/>
  <c r="Q141" i="5"/>
  <c r="R141" i="5" s="1"/>
  <c r="S141" i="5" s="1"/>
  <c r="Q101" i="5"/>
  <c r="R101" i="5" s="1"/>
  <c r="S101" i="5" s="1"/>
  <c r="Q176" i="5"/>
  <c r="R176" i="5" s="1"/>
  <c r="S176" i="5" s="1"/>
  <c r="Q200" i="5"/>
  <c r="R200" i="5" s="1"/>
  <c r="S200" i="5" s="1"/>
  <c r="Q113" i="5"/>
  <c r="R113" i="5" s="1"/>
  <c r="S113" i="5" s="1"/>
  <c r="Q138" i="5"/>
  <c r="R138" i="5" s="1"/>
  <c r="S138" i="5" s="1"/>
  <c r="Q168" i="5"/>
  <c r="R168" i="5" s="1"/>
  <c r="S168" i="5" s="1"/>
  <c r="Q225" i="5"/>
  <c r="R225" i="5" s="1"/>
  <c r="S225" i="5" s="1"/>
  <c r="Q228" i="5"/>
  <c r="R228" i="5" s="1"/>
  <c r="S228" i="5" s="1"/>
  <c r="Q21" i="5"/>
  <c r="R21" i="5" s="1"/>
  <c r="S21" i="5" s="1"/>
  <c r="Q204" i="5"/>
  <c r="R204" i="5" s="1"/>
  <c r="S204" i="5" s="1"/>
  <c r="Q185" i="5"/>
  <c r="R185" i="5" s="1"/>
  <c r="S185" i="5" s="1"/>
  <c r="Q139" i="5"/>
  <c r="R139" i="5" s="1"/>
  <c r="S139" i="5" s="1"/>
  <c r="Q210" i="5"/>
  <c r="R210" i="5" s="1"/>
  <c r="S210" i="5" s="1"/>
  <c r="Q60" i="5"/>
  <c r="R60" i="5" s="1"/>
  <c r="S60" i="5" s="1"/>
  <c r="Q100" i="5"/>
  <c r="R100" i="5" s="1"/>
  <c r="S100" i="5" s="1"/>
  <c r="Q223" i="5"/>
  <c r="R223" i="5" s="1"/>
  <c r="S223" i="5" s="1"/>
  <c r="Q92" i="5"/>
  <c r="R92" i="5" s="1"/>
  <c r="S92" i="5" s="1"/>
  <c r="Q93" i="5"/>
  <c r="R93" i="5" s="1"/>
  <c r="S93" i="5" s="1"/>
  <c r="Q130" i="5"/>
  <c r="R130" i="5" s="1"/>
  <c r="S130" i="5" s="1"/>
  <c r="Q73" i="5"/>
  <c r="R73" i="5" s="1"/>
  <c r="S73" i="5" s="1"/>
  <c r="Q140" i="5"/>
  <c r="R140" i="5" s="1"/>
  <c r="S140" i="5" s="1"/>
  <c r="Q120" i="5"/>
  <c r="R120" i="5" s="1"/>
  <c r="S120" i="5" s="1"/>
  <c r="O27" i="5"/>
  <c r="Q173" i="5"/>
  <c r="R173" i="5" s="1"/>
  <c r="S173" i="5" s="1"/>
  <c r="Q135" i="5"/>
  <c r="R135" i="5" s="1"/>
  <c r="S135" i="5" s="1"/>
  <c r="Q124" i="5"/>
  <c r="R124" i="5" s="1"/>
  <c r="S124" i="5" s="1"/>
  <c r="Q30" i="5"/>
  <c r="R30" i="5" s="1"/>
  <c r="S30" i="5" s="1"/>
  <c r="Q102" i="5"/>
  <c r="R102" i="5" s="1"/>
  <c r="S102" i="5" s="1"/>
  <c r="Q151" i="5"/>
  <c r="R151" i="5" s="1"/>
  <c r="S151" i="5" s="1"/>
  <c r="Q74" i="5"/>
  <c r="R74" i="5" s="1"/>
  <c r="S74" i="5" s="1"/>
  <c r="Q24" i="5"/>
  <c r="R24" i="5" s="1"/>
  <c r="S24" i="5" s="1"/>
  <c r="Q145" i="5"/>
  <c r="R145" i="5" s="1"/>
  <c r="S145" i="5" s="1"/>
  <c r="Q99" i="5"/>
  <c r="R99" i="5" s="1"/>
  <c r="S99" i="5" s="1"/>
  <c r="Q158" i="5"/>
  <c r="R158" i="5" s="1"/>
  <c r="S158" i="5" s="1"/>
  <c r="Q170" i="5"/>
  <c r="R170" i="5" s="1"/>
  <c r="S170" i="5" s="1"/>
  <c r="Q95" i="5"/>
  <c r="R95" i="5" s="1"/>
  <c r="S95" i="5" s="1"/>
  <c r="Q28" i="5"/>
  <c r="R28" i="5" s="1"/>
  <c r="S28" i="5" s="1"/>
  <c r="O206" i="5"/>
  <c r="Q72" i="5"/>
  <c r="R72" i="5" s="1"/>
  <c r="S72" i="5" s="1"/>
  <c r="Q26" i="5"/>
  <c r="R26" i="5" s="1"/>
  <c r="S26" i="5" s="1"/>
  <c r="Q230" i="5"/>
  <c r="R230" i="5" s="1"/>
  <c r="S230" i="5" s="1"/>
  <c r="Q157" i="5"/>
  <c r="R157" i="5" s="1"/>
  <c r="S157" i="5" s="1"/>
  <c r="Q32" i="5"/>
  <c r="R32" i="5" s="1"/>
  <c r="S32" i="5" s="1"/>
  <c r="Q27" i="5"/>
  <c r="R27" i="5" s="1"/>
  <c r="S27" i="5" s="1"/>
  <c r="Q174" i="5"/>
  <c r="R174" i="5" s="1"/>
  <c r="S174" i="5" s="1"/>
  <c r="Q87" i="5"/>
  <c r="R87" i="5" s="1"/>
  <c r="S87" i="5" s="1"/>
  <c r="Q118" i="5"/>
  <c r="R118" i="5" s="1"/>
  <c r="S118" i="5" s="1"/>
  <c r="Q98" i="5"/>
  <c r="R98" i="5" s="1"/>
  <c r="S98" i="5" s="1"/>
  <c r="Q229" i="5"/>
  <c r="R229" i="5" s="1"/>
  <c r="S229" i="5" s="1"/>
  <c r="Q212" i="5"/>
  <c r="R212" i="5" s="1"/>
  <c r="S212" i="5" s="1"/>
  <c r="Q52" i="5"/>
  <c r="R52" i="5" s="1"/>
  <c r="S52" i="5" s="1"/>
  <c r="Q23" i="5"/>
  <c r="R23" i="5" s="1"/>
  <c r="S23" i="5" s="1"/>
  <c r="Q143" i="5"/>
  <c r="R143" i="5" s="1"/>
  <c r="S143" i="5" s="1"/>
  <c r="Q47" i="5"/>
  <c r="R47" i="5" s="1"/>
  <c r="S47" i="5" s="1"/>
  <c r="Q103" i="5"/>
  <c r="R103" i="5" s="1"/>
  <c r="S103" i="5" s="1"/>
  <c r="Q156" i="5"/>
  <c r="R156" i="5" s="1"/>
  <c r="S156" i="5" s="1"/>
  <c r="Q65" i="5"/>
  <c r="R65" i="5" s="1"/>
  <c r="S65" i="5" s="1"/>
  <c r="Q61" i="5"/>
  <c r="R61" i="5" s="1"/>
  <c r="S61" i="5" s="1"/>
  <c r="Q116" i="5"/>
  <c r="R116" i="5" s="1"/>
  <c r="S116" i="5" s="1"/>
  <c r="Q122" i="5"/>
  <c r="R122" i="5" s="1"/>
  <c r="S122" i="5" s="1"/>
  <c r="Q29" i="5"/>
  <c r="R29" i="5" s="1"/>
  <c r="S29" i="5" s="1"/>
  <c r="Q195" i="5"/>
  <c r="R195" i="5" s="1"/>
  <c r="S195" i="5" s="1"/>
  <c r="Q94" i="5"/>
  <c r="R94" i="5" s="1"/>
  <c r="S94" i="5" s="1"/>
  <c r="Q201" i="5"/>
  <c r="R201" i="5" s="1"/>
  <c r="S201" i="5" s="1"/>
  <c r="Q42" i="5"/>
  <c r="R42" i="5" s="1"/>
  <c r="S42" i="5" s="1"/>
  <c r="Q198" i="5"/>
  <c r="R198" i="5" s="1"/>
  <c r="S198" i="5" s="1"/>
  <c r="Q97" i="5"/>
  <c r="R97" i="5" s="1"/>
  <c r="S97" i="5" s="1"/>
  <c r="Q78" i="5"/>
  <c r="R78" i="5" s="1"/>
  <c r="S78" i="5" s="1"/>
  <c r="Q35" i="5"/>
  <c r="R35" i="5" s="1"/>
  <c r="S35" i="5" s="1"/>
  <c r="Q62" i="5"/>
  <c r="R62" i="5" s="1"/>
  <c r="S62" i="5" s="1"/>
  <c r="Q108" i="5"/>
  <c r="R108" i="5" s="1"/>
  <c r="S108" i="5" s="1"/>
  <c r="Q54" i="5"/>
  <c r="R54" i="5" s="1"/>
  <c r="S54" i="5" s="1"/>
  <c r="Q75" i="5"/>
  <c r="R75" i="5" s="1"/>
  <c r="S75" i="5" s="1"/>
  <c r="O127" i="5"/>
  <c r="Q119" i="5"/>
  <c r="R119" i="5" s="1"/>
  <c r="S119" i="5" s="1"/>
  <c r="Q64" i="5"/>
  <c r="R64" i="5" s="1"/>
  <c r="S64" i="5" s="1"/>
  <c r="Q105" i="5"/>
  <c r="R105" i="5" s="1"/>
  <c r="S105" i="5" s="1"/>
  <c r="Q20" i="5"/>
  <c r="R20" i="5" s="1"/>
  <c r="S20" i="5" s="1"/>
  <c r="Q187" i="5"/>
  <c r="R187" i="5" s="1"/>
  <c r="S187" i="5" s="1"/>
  <c r="Q194" i="5"/>
  <c r="R194" i="5" s="1"/>
  <c r="S194" i="5" s="1"/>
  <c r="Q150" i="5"/>
  <c r="R150" i="5" s="1"/>
  <c r="S150" i="5" s="1"/>
  <c r="Q51" i="5"/>
  <c r="R51" i="5" s="1"/>
  <c r="S51" i="5" s="1"/>
  <c r="Q128" i="5"/>
  <c r="R128" i="5" s="1"/>
  <c r="S128" i="5" s="1"/>
  <c r="Q133" i="5"/>
  <c r="R133" i="5" s="1"/>
  <c r="S133" i="5" s="1"/>
  <c r="O213" i="5"/>
  <c r="Q109" i="5"/>
  <c r="R109" i="5" s="1"/>
  <c r="S109" i="5" s="1"/>
  <c r="Q89" i="5"/>
  <c r="R89" i="5" s="1"/>
  <c r="S89" i="5" s="1"/>
  <c r="Q58" i="5"/>
  <c r="R58" i="5" s="1"/>
  <c r="S58" i="5" s="1"/>
  <c r="Q180" i="5"/>
  <c r="R180" i="5" s="1"/>
  <c r="S180" i="5" s="1"/>
  <c r="Q11" i="5"/>
  <c r="Q9" i="5" s="1"/>
  <c r="Q193" i="5"/>
  <c r="R193" i="5" s="1"/>
  <c r="S193" i="5" s="1"/>
  <c r="O113" i="5"/>
  <c r="Q57" i="5"/>
  <c r="R57" i="5" s="1"/>
  <c r="S57" i="5" s="1"/>
  <c r="Q81" i="5"/>
  <c r="R81" i="5" s="1"/>
  <c r="S81" i="5" s="1"/>
  <c r="Q213" i="5"/>
  <c r="R213" i="5" s="1"/>
  <c r="S213" i="5" s="1"/>
  <c r="Q50" i="5"/>
  <c r="R50" i="5" s="1"/>
  <c r="S50" i="5" s="1"/>
  <c r="Q154" i="5"/>
  <c r="R154" i="5" s="1"/>
  <c r="S154" i="5" s="1"/>
  <c r="Q153" i="5"/>
  <c r="R153" i="5" s="1"/>
  <c r="S153" i="5" s="1"/>
  <c r="Q53" i="5"/>
  <c r="R53" i="5" s="1"/>
  <c r="S53" i="5" s="1"/>
  <c r="Q136" i="5"/>
  <c r="R136" i="5" s="1"/>
  <c r="S136" i="5" s="1"/>
  <c r="O25" i="5"/>
  <c r="Q134" i="5"/>
  <c r="R134" i="5" s="1"/>
  <c r="S134" i="5" s="1"/>
  <c r="Q199" i="5"/>
  <c r="R199" i="5" s="1"/>
  <c r="S199" i="5" s="1"/>
  <c r="Q86" i="5"/>
  <c r="R86" i="5" s="1"/>
  <c r="S86" i="5" s="1"/>
  <c r="Q85" i="5"/>
  <c r="R85" i="5" s="1"/>
  <c r="S85" i="5" s="1"/>
  <c r="Q171" i="5"/>
  <c r="R171" i="5" s="1"/>
  <c r="S171" i="5" s="1"/>
  <c r="Q179" i="5"/>
  <c r="R179" i="5" s="1"/>
  <c r="S179" i="5" s="1"/>
  <c r="Q216" i="5"/>
  <c r="R216" i="5" s="1"/>
  <c r="S216" i="5" s="1"/>
  <c r="Q40" i="5"/>
  <c r="R40" i="5" s="1"/>
  <c r="S40" i="5" s="1"/>
  <c r="Q44" i="5"/>
  <c r="R44" i="5" s="1"/>
  <c r="S44" i="5" s="1"/>
  <c r="Q25" i="5"/>
  <c r="R25" i="5" s="1"/>
  <c r="S25" i="5" s="1"/>
  <c r="Q218" i="5"/>
  <c r="R218" i="5" s="1"/>
  <c r="S218" i="5" s="1"/>
  <c r="Q175" i="5"/>
  <c r="R175" i="5" s="1"/>
  <c r="S175" i="5" s="1"/>
  <c r="Q142" i="5"/>
  <c r="R142" i="5" s="1"/>
  <c r="S142" i="5" s="1"/>
  <c r="Q217" i="5"/>
  <c r="R217" i="5" s="1"/>
  <c r="S217" i="5" s="1"/>
  <c r="O66" i="5"/>
  <c r="Q188" i="5"/>
  <c r="R188" i="5" s="1"/>
  <c r="S188" i="5" s="1"/>
  <c r="Q137" i="5"/>
  <c r="R137" i="5" s="1"/>
  <c r="S137" i="5" s="1"/>
  <c r="Q202" i="5"/>
  <c r="R202" i="5" s="1"/>
  <c r="S202" i="5" s="1"/>
  <c r="Q79" i="5"/>
  <c r="R79" i="5" s="1"/>
  <c r="S79" i="5" s="1"/>
  <c r="Q129" i="5"/>
  <c r="R129" i="5" s="1"/>
  <c r="S129" i="5" s="1"/>
  <c r="Q43" i="5"/>
  <c r="R43" i="5" s="1"/>
  <c r="S43" i="5" s="1"/>
  <c r="Q76" i="5"/>
  <c r="R76" i="5" s="1"/>
  <c r="S76" i="5" s="1"/>
  <c r="Q182" i="5"/>
  <c r="R182" i="5" s="1"/>
  <c r="S182" i="5" s="1"/>
  <c r="Q71" i="5"/>
  <c r="R71" i="5" s="1"/>
  <c r="S71" i="5" s="1"/>
  <c r="Q146" i="5"/>
  <c r="R146" i="5" s="1"/>
  <c r="S146" i="5" s="1"/>
  <c r="Q131" i="5"/>
  <c r="R131" i="5" s="1"/>
  <c r="S131" i="5" s="1"/>
  <c r="Q127" i="5"/>
  <c r="R127" i="5" s="1"/>
  <c r="S127" i="5" s="1"/>
  <c r="Q166" i="5"/>
  <c r="R166" i="5" s="1"/>
  <c r="S166" i="5" s="1"/>
  <c r="Q162" i="5"/>
  <c r="R162" i="5" s="1"/>
  <c r="S162" i="5" s="1"/>
  <c r="Q33" i="5"/>
  <c r="R33" i="5" s="1"/>
  <c r="S33" i="5" s="1"/>
  <c r="O167" i="5"/>
  <c r="Q167" i="5" s="1"/>
  <c r="R167" i="5" s="1"/>
  <c r="S167" i="5" s="1"/>
  <c r="Q161" i="5"/>
  <c r="R161" i="5" s="1"/>
  <c r="S161" i="5" s="1"/>
  <c r="Q59" i="5"/>
  <c r="R59" i="5" s="1"/>
  <c r="S59" i="5" s="1"/>
  <c r="Q82" i="5"/>
  <c r="R82" i="5" s="1"/>
  <c r="S82" i="5" s="1"/>
  <c r="Q165" i="5"/>
  <c r="R165" i="5" s="1"/>
  <c r="S165" i="5" s="1"/>
  <c r="Q104" i="5"/>
  <c r="R104" i="5" s="1"/>
  <c r="S104" i="5" s="1"/>
  <c r="Q189" i="5"/>
  <c r="R189" i="5" s="1"/>
  <c r="S189" i="5" s="1"/>
  <c r="Q66" i="5"/>
  <c r="R66" i="5" s="1"/>
  <c r="S66" i="5" s="1"/>
  <c r="Q48" i="5"/>
  <c r="R48" i="5" s="1"/>
  <c r="S48" i="5" s="1"/>
  <c r="O67" i="5"/>
  <c r="Q67" i="5"/>
  <c r="R67" i="5" s="1"/>
  <c r="S67" i="5" s="1"/>
  <c r="Q69" i="5"/>
  <c r="R69" i="5" s="1"/>
  <c r="S69" i="5" s="1"/>
  <c r="Q31" i="5"/>
  <c r="R31" i="5" s="1"/>
  <c r="S31" i="5" s="1"/>
  <c r="O70" i="5"/>
  <c r="Q70" i="5" s="1"/>
  <c r="R70" i="5" s="1"/>
  <c r="S70" i="5" s="1"/>
  <c r="Q215" i="5"/>
  <c r="R215" i="5" s="1"/>
  <c r="S215" i="5" s="1"/>
  <c r="Q206" i="5"/>
  <c r="R206" i="5" s="1"/>
  <c r="S206" i="5" s="1"/>
  <c r="Q181" i="5"/>
  <c r="R181" i="5" s="1"/>
  <c r="S181" i="5" s="1"/>
  <c r="Q117" i="5"/>
  <c r="R117" i="5" s="1"/>
  <c r="S117" i="5" s="1"/>
  <c r="Q177" i="5"/>
  <c r="R177" i="5" s="1"/>
  <c r="S177" i="5" s="1"/>
  <c r="Q49" i="5"/>
  <c r="R49" i="5" s="1"/>
  <c r="S49" i="5" s="1"/>
  <c r="Q178" i="5"/>
  <c r="R178" i="5" s="1"/>
  <c r="S178" i="5" s="1"/>
  <c r="Q88" i="5"/>
  <c r="R88" i="5" s="1"/>
  <c r="S88" i="5" s="1"/>
  <c r="Q90" i="5"/>
  <c r="R90" i="5" s="1"/>
  <c r="S90" i="5" s="1"/>
  <c r="Q22" i="5"/>
  <c r="R22" i="5" s="1"/>
  <c r="S22" i="5" s="1"/>
  <c r="Q163" i="5"/>
  <c r="R163" i="5" s="1"/>
  <c r="S163" i="5" s="1"/>
  <c r="Q147" i="5"/>
  <c r="R147" i="5" s="1"/>
  <c r="S147" i="5" s="1"/>
  <c r="O196" i="5"/>
  <c r="Q196" i="5" s="1"/>
  <c r="R196" i="5" s="1"/>
  <c r="S196" i="5" s="1"/>
  <c r="L20" i="5"/>
  <c r="L28" i="5"/>
  <c r="L37" i="5"/>
  <c r="L45" i="5"/>
  <c r="L53" i="5"/>
  <c r="L24" i="5"/>
  <c r="L32" i="5"/>
  <c r="L41" i="5"/>
  <c r="L25" i="5"/>
  <c r="L33" i="5"/>
  <c r="L19" i="5"/>
  <c r="L31" i="5"/>
  <c r="L44" i="5"/>
  <c r="L55" i="5"/>
  <c r="L63" i="5"/>
  <c r="L71" i="5"/>
  <c r="L80" i="5"/>
  <c r="L89" i="5"/>
  <c r="L97" i="5"/>
  <c r="L105" i="5"/>
  <c r="L113" i="5"/>
  <c r="L124" i="5"/>
  <c r="L132" i="5"/>
  <c r="L140" i="5"/>
  <c r="L149" i="5"/>
  <c r="L157" i="5"/>
  <c r="L166" i="5"/>
  <c r="L174" i="5"/>
  <c r="L182" i="5"/>
  <c r="L190" i="5"/>
  <c r="L199" i="5"/>
  <c r="L209" i="5"/>
  <c r="L21" i="5"/>
  <c r="L35" i="5"/>
  <c r="L46" i="5"/>
  <c r="L56" i="5"/>
  <c r="L64" i="5"/>
  <c r="L72" i="5"/>
  <c r="L81" i="5"/>
  <c r="L98" i="5"/>
  <c r="L106" i="5"/>
  <c r="L116" i="5"/>
  <c r="L125" i="5"/>
  <c r="L133" i="5"/>
  <c r="L141" i="5"/>
  <c r="L150" i="5"/>
  <c r="L158" i="5"/>
  <c r="L167" i="5"/>
  <c r="L175" i="5"/>
  <c r="L183" i="5"/>
  <c r="L191" i="5"/>
  <c r="L200" i="5"/>
  <c r="L210" i="5"/>
  <c r="L221" i="5"/>
  <c r="L36" i="5"/>
  <c r="L47" i="5"/>
  <c r="L57" i="5"/>
  <c r="L65" i="5"/>
  <c r="L73" i="5"/>
  <c r="L82" i="5"/>
  <c r="L91" i="5"/>
  <c r="L99" i="5"/>
  <c r="L107" i="5"/>
  <c r="L126" i="5"/>
  <c r="L134" i="5"/>
  <c r="L142" i="5"/>
  <c r="L151" i="5"/>
  <c r="L159" i="5"/>
  <c r="L168" i="5"/>
  <c r="L176" i="5"/>
  <c r="L184" i="5"/>
  <c r="L193" i="5"/>
  <c r="L201" i="5"/>
  <c r="L211" i="5"/>
  <c r="L23" i="5"/>
  <c r="L38" i="5"/>
  <c r="L48" i="5"/>
  <c r="L58" i="5"/>
  <c r="L66" i="5"/>
  <c r="L74" i="5"/>
  <c r="L83" i="5"/>
  <c r="L92" i="5"/>
  <c r="L100" i="5"/>
  <c r="L108" i="5"/>
  <c r="L118" i="5"/>
  <c r="L127" i="5"/>
  <c r="L135" i="5"/>
  <c r="L143" i="5"/>
  <c r="L26" i="5"/>
  <c r="L39" i="5"/>
  <c r="L50" i="5"/>
  <c r="L59" i="5"/>
  <c r="L67" i="5"/>
  <c r="L75" i="5"/>
  <c r="L85" i="5"/>
  <c r="L93" i="5"/>
  <c r="L101" i="5"/>
  <c r="L109" i="5"/>
  <c r="L119" i="5"/>
  <c r="L128" i="5"/>
  <c r="L27" i="5"/>
  <c r="L40" i="5"/>
  <c r="L51" i="5"/>
  <c r="L60" i="5"/>
  <c r="L68" i="5"/>
  <c r="L76" i="5"/>
  <c r="L86" i="5"/>
  <c r="L94" i="5"/>
  <c r="L102" i="5"/>
  <c r="L110" i="5"/>
  <c r="L120" i="5"/>
  <c r="L129" i="5"/>
  <c r="L137" i="5"/>
  <c r="L146" i="5"/>
  <c r="L154" i="5"/>
  <c r="L162" i="5"/>
  <c r="L171" i="5"/>
  <c r="L179" i="5"/>
  <c r="L187" i="5"/>
  <c r="L196" i="5"/>
  <c r="L204" i="5"/>
  <c r="L214" i="5"/>
  <c r="L30" i="5"/>
  <c r="L43" i="5"/>
  <c r="L70" i="5"/>
  <c r="L104" i="5"/>
  <c r="L138" i="5"/>
  <c r="L156" i="5"/>
  <c r="L173" i="5"/>
  <c r="L189" i="5"/>
  <c r="L207" i="5"/>
  <c r="L226" i="5"/>
  <c r="L29" i="5"/>
  <c r="L78" i="5"/>
  <c r="L111" i="5"/>
  <c r="L139" i="5"/>
  <c r="L160" i="5"/>
  <c r="L194" i="5"/>
  <c r="L212" i="5"/>
  <c r="L223" i="5"/>
  <c r="L42" i="5"/>
  <c r="L79" i="5"/>
  <c r="L112" i="5"/>
  <c r="L145" i="5"/>
  <c r="L161" i="5"/>
  <c r="L195" i="5"/>
  <c r="L213" i="5"/>
  <c r="L225" i="5"/>
  <c r="L52" i="5"/>
  <c r="L87" i="5"/>
  <c r="L121" i="5"/>
  <c r="L180" i="5"/>
  <c r="L197" i="5"/>
  <c r="L215" i="5"/>
  <c r="L217" i="5"/>
  <c r="L61" i="5"/>
  <c r="L95" i="5"/>
  <c r="L130" i="5"/>
  <c r="L152" i="5"/>
  <c r="L169" i="5"/>
  <c r="L185" i="5"/>
  <c r="L202" i="5"/>
  <c r="L54" i="5"/>
  <c r="L136" i="5"/>
  <c r="L186" i="5"/>
  <c r="L62" i="5"/>
  <c r="L148" i="5"/>
  <c r="L188" i="5"/>
  <c r="L229" i="5"/>
  <c r="L69" i="5"/>
  <c r="L153" i="5"/>
  <c r="L198" i="5"/>
  <c r="L216" i="5"/>
  <c r="L155" i="5"/>
  <c r="L203" i="5"/>
  <c r="L222" i="5"/>
  <c r="L96" i="5"/>
  <c r="L165" i="5"/>
  <c r="L206" i="5"/>
  <c r="L227" i="5"/>
  <c r="L103" i="5"/>
  <c r="L170" i="5"/>
  <c r="L228" i="5"/>
  <c r="L172" i="5"/>
  <c r="L181" i="5"/>
  <c r="L122" i="5"/>
  <c r="L218" i="5"/>
  <c r="L131" i="5"/>
  <c r="L117" i="5"/>
  <c r="L90" i="5"/>
  <c r="L177" i="5"/>
  <c r="L22" i="5"/>
  <c r="L147" i="5"/>
  <c r="L178" i="5"/>
  <c r="L163" i="5"/>
  <c r="L88" i="5"/>
  <c r="L49" i="5"/>
  <c r="V68" i="5"/>
  <c r="V28" i="5"/>
  <c r="V122" i="5"/>
  <c r="V43" i="5"/>
  <c r="V202" i="5"/>
  <c r="V104" i="5"/>
  <c r="V129" i="5"/>
  <c r="V98" i="5"/>
  <c r="V67" i="5"/>
  <c r="V76" i="5"/>
  <c r="V195" i="5"/>
  <c r="V97" i="5"/>
  <c r="V148" i="5"/>
  <c r="V37" i="5"/>
  <c r="V183" i="5"/>
  <c r="V198" i="5"/>
  <c r="V89" i="5"/>
  <c r="V63" i="5"/>
  <c r="V35" i="5"/>
  <c r="V207" i="5"/>
  <c r="V131" i="5"/>
  <c r="V225" i="5"/>
  <c r="V44" i="5"/>
  <c r="V199" i="5"/>
  <c r="V21" i="5"/>
  <c r="V132" i="5"/>
  <c r="V177" i="5"/>
  <c r="V23" i="5"/>
  <c r="V27" i="5"/>
  <c r="V125" i="5"/>
  <c r="V217" i="5"/>
  <c r="V54" i="5"/>
  <c r="V162" i="5"/>
  <c r="V222" i="5"/>
  <c r="V107" i="5"/>
  <c r="V160" i="5"/>
  <c r="V151" i="5"/>
  <c r="V49" i="5"/>
  <c r="V36" i="5"/>
  <c r="V121" i="5"/>
  <c r="V155" i="5"/>
  <c r="V143" i="5"/>
  <c r="V146" i="5"/>
  <c r="V157" i="5"/>
  <c r="V227" i="5"/>
  <c r="V201" i="5"/>
  <c r="V33" i="5"/>
  <c r="V181" i="5"/>
  <c r="V188" i="5"/>
  <c r="V158" i="5"/>
  <c r="V50" i="5"/>
  <c r="V90" i="5"/>
  <c r="V103" i="5"/>
  <c r="V38" i="5"/>
  <c r="V92" i="5"/>
  <c r="V31" i="5"/>
  <c r="V171" i="5"/>
  <c r="V127" i="5"/>
  <c r="V81" i="5"/>
  <c r="V194" i="5"/>
  <c r="V40" i="5"/>
  <c r="V140" i="5"/>
  <c r="V229" i="5"/>
  <c r="V101" i="5"/>
  <c r="V51" i="5"/>
  <c r="V71" i="5"/>
  <c r="V95" i="5"/>
  <c r="V182" i="5"/>
  <c r="V167" i="5"/>
  <c r="V57" i="5"/>
  <c r="V82" i="5"/>
  <c r="V137" i="5"/>
  <c r="V221" i="5"/>
  <c r="V175" i="5"/>
  <c r="V118" i="5"/>
  <c r="V112" i="5"/>
  <c r="V210" i="5"/>
  <c r="V20" i="5"/>
  <c r="V130" i="5"/>
  <c r="V120" i="5"/>
  <c r="V75" i="5"/>
  <c r="V147" i="5"/>
  <c r="V105" i="5"/>
  <c r="V108" i="5"/>
  <c r="V216" i="5"/>
  <c r="V179" i="5"/>
  <c r="V159" i="5"/>
  <c r="V154" i="5"/>
  <c r="V72" i="5"/>
  <c r="V106" i="5"/>
  <c r="V153" i="5"/>
  <c r="V133" i="5"/>
  <c r="V196" i="5"/>
  <c r="V128" i="5"/>
  <c r="V70" i="5"/>
  <c r="V48" i="5"/>
  <c r="V206" i="5"/>
  <c r="V85" i="5"/>
  <c r="V62" i="5"/>
  <c r="V46" i="5"/>
  <c r="V190" i="5"/>
  <c r="V78" i="5"/>
  <c r="V166" i="5"/>
  <c r="V83" i="5"/>
  <c r="V96" i="5"/>
  <c r="V223" i="5"/>
  <c r="V191" i="5"/>
  <c r="V161" i="5"/>
  <c r="V135" i="5"/>
  <c r="V203" i="5"/>
  <c r="V61" i="5"/>
  <c r="V212" i="5"/>
  <c r="V152" i="5"/>
  <c r="V26" i="5"/>
  <c r="V109" i="5"/>
  <c r="V94" i="5"/>
  <c r="V139" i="5"/>
  <c r="V64" i="5"/>
  <c r="V32" i="5"/>
  <c r="V168" i="5"/>
  <c r="V218" i="5"/>
  <c r="V184" i="5"/>
  <c r="V73" i="5"/>
  <c r="V124" i="5"/>
  <c r="V214" i="5"/>
  <c r="V30" i="5"/>
  <c r="V53" i="5"/>
  <c r="V145" i="5"/>
  <c r="V156" i="5"/>
  <c r="V134" i="5"/>
  <c r="V79" i="5"/>
  <c r="V65" i="5"/>
  <c r="V116" i="5"/>
  <c r="V150" i="5"/>
  <c r="V141" i="5"/>
  <c r="V39" i="5"/>
  <c r="V25" i="5"/>
  <c r="V176" i="5"/>
  <c r="V58" i="5"/>
  <c r="V204" i="5"/>
  <c r="V56" i="5"/>
  <c r="V117" i="5"/>
  <c r="V185" i="5"/>
  <c r="V74" i="5"/>
  <c r="V93" i="5"/>
  <c r="V172" i="5"/>
  <c r="V111" i="5"/>
  <c r="V197" i="5"/>
  <c r="V119" i="5"/>
  <c r="V149" i="5"/>
  <c r="V42" i="5"/>
  <c r="V228" i="5"/>
  <c r="V86" i="5"/>
  <c r="V126" i="5"/>
  <c r="V169" i="5"/>
  <c r="V226" i="5"/>
  <c r="V178" i="5"/>
  <c r="V47" i="5"/>
  <c r="V200" i="5"/>
  <c r="V187" i="5"/>
  <c r="V29" i="5"/>
  <c r="V189" i="5"/>
  <c r="V209" i="5"/>
  <c r="V99" i="5"/>
  <c r="V138" i="5"/>
  <c r="V211" i="5"/>
  <c r="V113" i="5"/>
  <c r="V22" i="5"/>
  <c r="V215" i="5"/>
  <c r="V102" i="5"/>
  <c r="V24" i="5"/>
  <c r="V19" i="5"/>
  <c r="V100" i="5"/>
  <c r="V136" i="5"/>
  <c r="V55" i="5"/>
  <c r="V174" i="5"/>
  <c r="V88" i="5"/>
  <c r="V193" i="5"/>
  <c r="V180" i="5"/>
  <c r="V110" i="5"/>
  <c r="V80" i="5"/>
  <c r="V59" i="5"/>
  <c r="V69" i="5"/>
  <c r="V186" i="5"/>
  <c r="V52" i="5"/>
  <c r="V170" i="5"/>
  <c r="V163" i="5"/>
  <c r="V60" i="5"/>
  <c r="V173" i="5"/>
  <c r="V41" i="5"/>
  <c r="V165" i="5"/>
  <c r="V213" i="5"/>
  <c r="V87" i="5"/>
  <c r="V66" i="5"/>
  <c r="V45" i="5"/>
  <c r="V91" i="5"/>
  <c r="V142" i="5"/>
  <c r="AA16" i="5"/>
  <c r="AE16" i="5"/>
  <c r="AD230" i="5"/>
  <c r="R19" i="5" l="1"/>
  <c r="Q232" i="5"/>
  <c r="L232" i="5"/>
  <c r="O232" i="5"/>
  <c r="V232" i="5"/>
  <c r="AA52" i="5"/>
  <c r="AA73" i="5"/>
  <c r="AA116" i="5"/>
  <c r="AA31" i="5"/>
  <c r="Y171" i="5"/>
  <c r="AA179" i="5"/>
  <c r="AA193" i="5"/>
  <c r="AA214" i="5"/>
  <c r="AA200" i="5"/>
  <c r="AA184" i="5"/>
  <c r="AA149" i="5"/>
  <c r="AA154" i="5"/>
  <c r="AA53" i="5"/>
  <c r="Y67" i="5"/>
  <c r="AA139" i="5"/>
  <c r="AA177" i="5"/>
  <c r="AA141" i="5"/>
  <c r="AA212" i="5"/>
  <c r="AA19" i="5"/>
  <c r="AA153" i="5"/>
  <c r="AA189" i="5"/>
  <c r="AA156" i="5"/>
  <c r="AA68" i="5"/>
  <c r="AA62" i="5"/>
  <c r="AA194" i="5"/>
  <c r="AA171" i="5"/>
  <c r="AA110" i="5"/>
  <c r="AA46" i="5"/>
  <c r="AA22" i="5"/>
  <c r="AA162" i="5"/>
  <c r="AA166" i="5"/>
  <c r="AA108" i="5"/>
  <c r="AA140" i="5"/>
  <c r="AA67" i="5"/>
  <c r="AA198" i="5"/>
  <c r="AA160" i="5"/>
  <c r="AA203" i="5"/>
  <c r="AA28" i="5"/>
  <c r="AA42" i="5"/>
  <c r="AA191" i="5"/>
  <c r="AA225" i="5"/>
  <c r="AA133" i="5"/>
  <c r="AA128" i="5"/>
  <c r="AA134" i="5"/>
  <c r="AA137" i="5"/>
  <c r="AA92" i="5"/>
  <c r="AA216" i="5"/>
  <c r="AA126" i="5"/>
  <c r="AA187" i="5"/>
  <c r="AA90" i="5"/>
  <c r="AA36" i="5"/>
  <c r="AA99" i="5"/>
  <c r="AA129" i="5"/>
  <c r="AA125" i="5"/>
  <c r="Y25" i="5"/>
  <c r="AA25" i="5" s="1"/>
  <c r="AA39" i="5"/>
  <c r="AA105" i="5"/>
  <c r="AA152" i="5"/>
  <c r="AA43" i="5"/>
  <c r="AA119" i="5"/>
  <c r="AA97" i="5"/>
  <c r="AA176" i="5"/>
  <c r="AA54" i="5"/>
  <c r="AA57" i="5"/>
  <c r="AA32" i="5"/>
  <c r="AA211" i="5"/>
  <c r="AA35" i="5"/>
  <c r="Y127" i="5"/>
  <c r="AA181" i="5"/>
  <c r="AA82" i="5"/>
  <c r="AA96" i="5"/>
  <c r="AA40" i="5"/>
  <c r="AA55" i="5"/>
  <c r="AA222" i="5"/>
  <c r="AA163" i="5"/>
  <c r="AA80" i="5"/>
  <c r="AA120" i="5"/>
  <c r="AA38" i="5"/>
  <c r="AA175" i="5"/>
  <c r="AA195" i="5"/>
  <c r="AA79" i="5"/>
  <c r="AA30" i="5"/>
  <c r="AA132" i="5"/>
  <c r="AA148" i="5"/>
  <c r="AA147" i="5"/>
  <c r="AA94" i="5"/>
  <c r="AA138" i="5"/>
  <c r="AA78" i="5"/>
  <c r="AA24" i="5"/>
  <c r="AA76" i="5"/>
  <c r="AA75" i="5"/>
  <c r="AA95" i="5"/>
  <c r="AA44" i="5"/>
  <c r="AA136" i="5"/>
  <c r="AA168" i="5"/>
  <c r="AA21" i="5"/>
  <c r="Y70" i="5"/>
  <c r="AA70" i="5" s="1"/>
  <c r="AA85" i="5"/>
  <c r="AA185" i="5"/>
  <c r="AA58" i="5"/>
  <c r="AA71" i="5"/>
  <c r="AA37" i="5"/>
  <c r="AA143" i="5"/>
  <c r="AA226" i="5"/>
  <c r="AA221" i="5"/>
  <c r="AA26" i="5"/>
  <c r="Y19" i="5"/>
  <c r="AA161" i="5"/>
  <c r="AA228" i="5"/>
  <c r="AA56" i="5"/>
  <c r="AA135" i="5"/>
  <c r="AA104" i="5"/>
  <c r="AA202" i="5"/>
  <c r="AA106" i="5"/>
  <c r="AA100" i="5"/>
  <c r="AA197" i="5"/>
  <c r="AA103" i="5"/>
  <c r="AA83" i="5"/>
  <c r="AA112" i="5"/>
  <c r="AA74" i="5"/>
  <c r="AA157" i="5"/>
  <c r="AA182" i="5"/>
  <c r="AA227" i="5"/>
  <c r="AA188" i="5"/>
  <c r="AA89" i="5"/>
  <c r="AA155" i="5"/>
  <c r="AA183" i="5"/>
  <c r="AA93" i="5"/>
  <c r="AA146" i="5"/>
  <c r="AA61" i="5"/>
  <c r="AA88" i="5"/>
  <c r="AA178" i="5"/>
  <c r="AA172" i="5"/>
  <c r="AA72" i="5"/>
  <c r="AA145" i="5"/>
  <c r="AA29" i="5"/>
  <c r="AA102" i="5"/>
  <c r="Y196" i="5"/>
  <c r="AA196" i="5" s="1"/>
  <c r="AA86" i="5"/>
  <c r="AA210" i="5"/>
  <c r="AA50" i="5"/>
  <c r="AA51" i="5"/>
  <c r="AA169" i="5"/>
  <c r="AA130" i="5"/>
  <c r="AA23" i="5"/>
  <c r="AA124" i="5"/>
  <c r="AA158" i="5"/>
  <c r="AA122" i="5"/>
  <c r="AA215" i="5"/>
  <c r="AA64" i="5"/>
  <c r="AA111" i="5"/>
  <c r="AA170" i="5"/>
  <c r="AA204" i="5"/>
  <c r="AA33" i="5"/>
  <c r="AA48" i="5"/>
  <c r="AA59" i="5"/>
  <c r="AA109" i="5"/>
  <c r="AA229" i="5"/>
  <c r="AA20" i="5"/>
  <c r="AA63" i="5"/>
  <c r="AA201" i="5"/>
  <c r="Y167" i="5"/>
  <c r="AA167" i="5" s="1"/>
  <c r="AA186" i="5"/>
  <c r="AA190" i="5"/>
  <c r="AA174" i="5"/>
  <c r="AA127" i="5"/>
  <c r="AA118" i="5"/>
  <c r="AA223" i="5"/>
  <c r="AA159" i="5"/>
  <c r="AA49" i="5"/>
  <c r="AA207" i="5"/>
  <c r="AA60" i="5"/>
  <c r="AA217" i="5"/>
  <c r="AA107" i="5"/>
  <c r="AA180" i="5"/>
  <c r="AA117" i="5"/>
  <c r="AA47" i="5"/>
  <c r="AA151" i="5"/>
  <c r="AA11" i="5"/>
  <c r="AA9" i="5" s="1"/>
  <c r="AA81" i="5"/>
  <c r="AA209" i="5"/>
  <c r="AA218" i="5"/>
  <c r="AA69" i="5"/>
  <c r="AA27" i="5"/>
  <c r="AA98" i="5"/>
  <c r="AA230" i="5"/>
  <c r="AB230" i="5" s="1"/>
  <c r="AA101" i="5"/>
  <c r="AA131" i="5"/>
  <c r="AA121" i="5"/>
  <c r="AA65" i="5"/>
  <c r="AA150" i="5"/>
  <c r="AA199" i="5"/>
  <c r="AA142" i="5"/>
  <c r="AA165" i="5"/>
  <c r="AA66" i="5"/>
  <c r="Y206" i="5"/>
  <c r="AA206" i="5" s="1"/>
  <c r="AA87" i="5"/>
  <c r="AA173" i="5"/>
  <c r="Y27" i="5"/>
  <c r="AA45" i="5"/>
  <c r="Y213" i="5"/>
  <c r="Y113" i="5"/>
  <c r="AA113" i="5" s="1"/>
  <c r="AA91" i="5"/>
  <c r="AA213" i="5"/>
  <c r="AA41" i="5"/>
  <c r="Y66" i="5"/>
  <c r="AD167" i="5" l="1"/>
  <c r="AB167" i="5"/>
  <c r="AC167" i="5" s="1"/>
  <c r="AD70" i="5"/>
  <c r="AB70" i="5"/>
  <c r="AC70" i="5" s="1"/>
  <c r="AD196" i="5"/>
  <c r="AB196" i="5"/>
  <c r="AC196" i="5" s="1"/>
  <c r="AD113" i="5"/>
  <c r="AB113" i="5"/>
  <c r="AC113" i="5" s="1"/>
  <c r="AB25" i="5"/>
  <c r="AC25" i="5" s="1"/>
  <c r="AD25" i="5"/>
  <c r="AD206" i="5"/>
  <c r="AB206" i="5"/>
  <c r="AC206" i="5" s="1"/>
  <c r="AD41" i="5"/>
  <c r="AB41" i="5"/>
  <c r="AC41" i="5" s="1"/>
  <c r="AD87" i="5"/>
  <c r="AB87" i="5"/>
  <c r="AC87" i="5" s="1"/>
  <c r="AD121" i="5"/>
  <c r="AB121" i="5"/>
  <c r="AC121" i="5" s="1"/>
  <c r="AB209" i="5"/>
  <c r="AC209" i="5" s="1"/>
  <c r="AD209" i="5"/>
  <c r="AB217" i="5"/>
  <c r="AC217" i="5" s="1"/>
  <c r="AD217" i="5"/>
  <c r="AD127" i="5"/>
  <c r="AB127" i="5"/>
  <c r="AC127" i="5" s="1"/>
  <c r="AD229" i="5"/>
  <c r="AB229" i="5"/>
  <c r="AC229" i="5" s="1"/>
  <c r="AB64" i="5"/>
  <c r="AC64" i="5" s="1"/>
  <c r="AD64" i="5"/>
  <c r="AB51" i="5"/>
  <c r="AC51" i="5" s="1"/>
  <c r="AD51" i="5"/>
  <c r="AD72" i="5"/>
  <c r="AB72" i="5"/>
  <c r="AC72" i="5" s="1"/>
  <c r="AB155" i="5"/>
  <c r="AC155" i="5" s="1"/>
  <c r="AD155" i="5"/>
  <c r="AB112" i="5"/>
  <c r="AC112" i="5" s="1"/>
  <c r="AD112" i="5"/>
  <c r="AD135" i="5"/>
  <c r="AB135" i="5"/>
  <c r="AC135" i="5" s="1"/>
  <c r="AD143" i="5"/>
  <c r="AB143" i="5"/>
  <c r="AC143" i="5" s="1"/>
  <c r="AB168" i="5"/>
  <c r="AC168" i="5" s="1"/>
  <c r="AD168" i="5"/>
  <c r="AD78" i="5"/>
  <c r="AB78" i="5"/>
  <c r="AC78" i="5" s="1"/>
  <c r="AD79" i="5"/>
  <c r="AB79" i="5"/>
  <c r="AC79" i="5" s="1"/>
  <c r="AB55" i="5"/>
  <c r="AC55" i="5" s="1"/>
  <c r="AD55" i="5"/>
  <c r="AD32" i="5"/>
  <c r="AB32" i="5"/>
  <c r="AC32" i="5" s="1"/>
  <c r="AD105" i="5"/>
  <c r="AB105" i="5"/>
  <c r="AC105" i="5" s="1"/>
  <c r="AD90" i="5"/>
  <c r="AB90" i="5"/>
  <c r="AC90" i="5" s="1"/>
  <c r="AB128" i="5"/>
  <c r="AC128" i="5" s="1"/>
  <c r="AD128" i="5"/>
  <c r="AD198" i="5"/>
  <c r="AB198" i="5"/>
  <c r="AC198" i="5" s="1"/>
  <c r="AB110" i="5"/>
  <c r="AC110" i="5" s="1"/>
  <c r="AD110" i="5"/>
  <c r="AD19" i="5"/>
  <c r="AB19" i="5"/>
  <c r="AA232" i="5"/>
  <c r="AB116" i="5"/>
  <c r="AC116" i="5" s="1"/>
  <c r="AD116" i="5"/>
  <c r="AB213" i="5"/>
  <c r="AC213" i="5" s="1"/>
  <c r="AD213" i="5"/>
  <c r="AD131" i="5"/>
  <c r="AB131" i="5"/>
  <c r="AC131" i="5" s="1"/>
  <c r="AD174" i="5"/>
  <c r="AB174" i="5"/>
  <c r="AC174" i="5" s="1"/>
  <c r="AB215" i="5"/>
  <c r="AC215" i="5" s="1"/>
  <c r="AD215" i="5"/>
  <c r="AD172" i="5"/>
  <c r="AB172" i="5"/>
  <c r="AC172" i="5" s="1"/>
  <c r="AD83" i="5"/>
  <c r="AB83" i="5"/>
  <c r="AC83" i="5" s="1"/>
  <c r="AB37" i="5"/>
  <c r="AC37" i="5" s="1"/>
  <c r="AD37" i="5"/>
  <c r="AB138" i="5"/>
  <c r="AC138" i="5" s="1"/>
  <c r="AD138" i="5"/>
  <c r="AB40" i="5"/>
  <c r="AC40" i="5" s="1"/>
  <c r="AD40" i="5"/>
  <c r="AB57" i="5"/>
  <c r="AC57" i="5" s="1"/>
  <c r="AD57" i="5"/>
  <c r="AD39" i="5"/>
  <c r="AB39" i="5"/>
  <c r="AC39" i="5" s="1"/>
  <c r="AD187" i="5"/>
  <c r="AB187" i="5"/>
  <c r="AC187" i="5" s="1"/>
  <c r="AD133" i="5"/>
  <c r="AB133" i="5"/>
  <c r="AC133" i="5" s="1"/>
  <c r="AD67" i="5"/>
  <c r="AB67" i="5"/>
  <c r="AC67" i="5" s="1"/>
  <c r="AD171" i="5"/>
  <c r="AB171" i="5"/>
  <c r="AC171" i="5" s="1"/>
  <c r="AD212" i="5"/>
  <c r="AB212" i="5"/>
  <c r="AC212" i="5" s="1"/>
  <c r="AB184" i="5"/>
  <c r="AC184" i="5" s="1"/>
  <c r="AD184" i="5"/>
  <c r="AD73" i="5"/>
  <c r="AB73" i="5"/>
  <c r="AC73" i="5" s="1"/>
  <c r="AD91" i="5"/>
  <c r="AB91" i="5"/>
  <c r="AC91" i="5" s="1"/>
  <c r="AB66" i="5"/>
  <c r="AC66" i="5" s="1"/>
  <c r="AD66" i="5"/>
  <c r="AD101" i="5"/>
  <c r="AB101" i="5"/>
  <c r="AC101" i="5" s="1"/>
  <c r="AB207" i="5"/>
  <c r="AC207" i="5" s="1"/>
  <c r="AD207" i="5"/>
  <c r="AD190" i="5"/>
  <c r="AB190" i="5"/>
  <c r="AC190" i="5" s="1"/>
  <c r="AB59" i="5"/>
  <c r="AC59" i="5" s="1"/>
  <c r="AD59" i="5"/>
  <c r="AB122" i="5"/>
  <c r="AC122" i="5" s="1"/>
  <c r="AD122" i="5"/>
  <c r="AB210" i="5"/>
  <c r="AC210" i="5" s="1"/>
  <c r="AD210" i="5"/>
  <c r="AB178" i="5"/>
  <c r="AC178" i="5" s="1"/>
  <c r="AD178" i="5"/>
  <c r="AD188" i="5"/>
  <c r="AB188" i="5"/>
  <c r="AC188" i="5" s="1"/>
  <c r="AB103" i="5"/>
  <c r="AC103" i="5" s="1"/>
  <c r="AD103" i="5"/>
  <c r="AD228" i="5"/>
  <c r="AB228" i="5"/>
  <c r="AC228" i="5" s="1"/>
  <c r="AD71" i="5"/>
  <c r="AB71" i="5"/>
  <c r="AC71" i="5" s="1"/>
  <c r="AB44" i="5"/>
  <c r="AC44" i="5" s="1"/>
  <c r="AD44" i="5"/>
  <c r="AD94" i="5"/>
  <c r="AB94" i="5"/>
  <c r="AC94" i="5" s="1"/>
  <c r="AD175" i="5"/>
  <c r="AB175" i="5"/>
  <c r="AC175" i="5" s="1"/>
  <c r="AD96" i="5"/>
  <c r="AB96" i="5"/>
  <c r="AC96" i="5" s="1"/>
  <c r="AD54" i="5"/>
  <c r="AB54" i="5"/>
  <c r="AC54" i="5" s="1"/>
  <c r="AB126" i="5"/>
  <c r="AC126" i="5" s="1"/>
  <c r="AD126" i="5"/>
  <c r="AD225" i="5"/>
  <c r="AB225" i="5"/>
  <c r="AC225" i="5" s="1"/>
  <c r="AD140" i="5"/>
  <c r="AB140" i="5"/>
  <c r="AC140" i="5" s="1"/>
  <c r="AB194" i="5"/>
  <c r="AC194" i="5" s="1"/>
  <c r="AD194" i="5"/>
  <c r="AB141" i="5"/>
  <c r="AC141" i="5" s="1"/>
  <c r="AD141" i="5"/>
  <c r="AB200" i="5"/>
  <c r="AC200" i="5" s="1"/>
  <c r="AD200" i="5"/>
  <c r="AB52" i="5"/>
  <c r="AC52" i="5" s="1"/>
  <c r="AD52" i="5"/>
  <c r="AD49" i="5"/>
  <c r="AB49" i="5"/>
  <c r="AC49" i="5" s="1"/>
  <c r="AB186" i="5"/>
  <c r="AC186" i="5" s="1"/>
  <c r="AD186" i="5"/>
  <c r="AB48" i="5"/>
  <c r="AC48" i="5" s="1"/>
  <c r="AD48" i="5"/>
  <c r="AB158" i="5"/>
  <c r="AC158" i="5" s="1"/>
  <c r="AD158" i="5"/>
  <c r="AB161" i="5"/>
  <c r="AC161" i="5" s="1"/>
  <c r="AD161" i="5"/>
  <c r="AD58" i="5"/>
  <c r="AB58" i="5"/>
  <c r="AC58" i="5" s="1"/>
  <c r="AD147" i="5"/>
  <c r="AB147" i="5"/>
  <c r="AC147" i="5" s="1"/>
  <c r="AB82" i="5"/>
  <c r="AC82" i="5" s="1"/>
  <c r="AD82" i="5"/>
  <c r="AD125" i="5"/>
  <c r="AB125" i="5"/>
  <c r="AC125" i="5" s="1"/>
  <c r="AB191" i="5"/>
  <c r="AC191" i="5" s="1"/>
  <c r="AD191" i="5"/>
  <c r="AD62" i="5"/>
  <c r="AB62" i="5"/>
  <c r="AC62" i="5" s="1"/>
  <c r="AD214" i="5"/>
  <c r="AB214" i="5"/>
  <c r="AC214" i="5" s="1"/>
  <c r="AD33" i="5"/>
  <c r="AB33" i="5"/>
  <c r="AC33" i="5" s="1"/>
  <c r="Y232" i="5"/>
  <c r="AB75" i="5"/>
  <c r="AC75" i="5" s="1"/>
  <c r="AD75" i="5"/>
  <c r="AB120" i="5"/>
  <c r="AC120" i="5" s="1"/>
  <c r="AD120" i="5"/>
  <c r="AB181" i="5"/>
  <c r="AC181" i="5" s="1"/>
  <c r="AD181" i="5"/>
  <c r="AB97" i="5"/>
  <c r="AC97" i="5" s="1"/>
  <c r="AD97" i="5"/>
  <c r="AD92" i="5"/>
  <c r="AB92" i="5"/>
  <c r="AC92" i="5" s="1"/>
  <c r="AD42" i="5"/>
  <c r="AB42" i="5"/>
  <c r="AC42" i="5" s="1"/>
  <c r="AB166" i="5"/>
  <c r="AC166" i="5" s="1"/>
  <c r="AD166" i="5"/>
  <c r="AB68" i="5"/>
  <c r="AC68" i="5" s="1"/>
  <c r="AD68" i="5"/>
  <c r="AB139" i="5"/>
  <c r="AC139" i="5" s="1"/>
  <c r="AD139" i="5"/>
  <c r="AB193" i="5"/>
  <c r="AC193" i="5" s="1"/>
  <c r="AD193" i="5"/>
  <c r="AB199" i="5"/>
  <c r="AC199" i="5" s="1"/>
  <c r="AD199" i="5"/>
  <c r="AB201" i="5"/>
  <c r="AC201" i="5" s="1"/>
  <c r="AD201" i="5"/>
  <c r="AD204" i="5"/>
  <c r="AB204" i="5"/>
  <c r="AC204" i="5" s="1"/>
  <c r="AD23" i="5"/>
  <c r="AB23" i="5"/>
  <c r="AC23" i="5" s="1"/>
  <c r="AB102" i="5"/>
  <c r="AC102" i="5" s="1"/>
  <c r="AD102" i="5"/>
  <c r="AB146" i="5"/>
  <c r="AC146" i="5" s="1"/>
  <c r="AD146" i="5"/>
  <c r="AD182" i="5"/>
  <c r="AB182" i="5"/>
  <c r="AC182" i="5" s="1"/>
  <c r="AD106" i="5"/>
  <c r="AB106" i="5"/>
  <c r="AC106" i="5" s="1"/>
  <c r="AD26" i="5"/>
  <c r="AB26" i="5"/>
  <c r="AC26" i="5" s="1"/>
  <c r="AD85" i="5"/>
  <c r="AB85" i="5"/>
  <c r="AC85" i="5" s="1"/>
  <c r="AB132" i="5"/>
  <c r="AC132" i="5" s="1"/>
  <c r="AD132" i="5"/>
  <c r="AD80" i="5"/>
  <c r="AB80" i="5"/>
  <c r="AC80" i="5" s="1"/>
  <c r="AB119" i="5"/>
  <c r="AC119" i="5" s="1"/>
  <c r="AD119" i="5"/>
  <c r="AD129" i="5"/>
  <c r="AB129" i="5"/>
  <c r="AC129" i="5" s="1"/>
  <c r="AB28" i="5"/>
  <c r="AC28" i="5" s="1"/>
  <c r="AD28" i="5"/>
  <c r="AB162" i="5"/>
  <c r="AC162" i="5" s="1"/>
  <c r="AD162" i="5"/>
  <c r="AB156" i="5"/>
  <c r="AC156" i="5" s="1"/>
  <c r="AD156" i="5"/>
  <c r="AD179" i="5"/>
  <c r="AB179" i="5"/>
  <c r="AC179" i="5" s="1"/>
  <c r="AD86" i="5"/>
  <c r="AB86" i="5"/>
  <c r="AC86" i="5" s="1"/>
  <c r="AD88" i="5"/>
  <c r="AB88" i="5"/>
  <c r="AC88" i="5" s="1"/>
  <c r="AD227" i="5"/>
  <c r="AB227" i="5"/>
  <c r="AC227" i="5" s="1"/>
  <c r="AD197" i="5"/>
  <c r="AB197" i="5"/>
  <c r="AC197" i="5" s="1"/>
  <c r="AB95" i="5"/>
  <c r="AC95" i="5" s="1"/>
  <c r="AD95" i="5"/>
  <c r="AB142" i="5"/>
  <c r="AC142" i="5" s="1"/>
  <c r="AD142" i="5"/>
  <c r="AD98" i="5"/>
  <c r="AB98" i="5"/>
  <c r="AC98" i="5" s="1"/>
  <c r="AD47" i="5"/>
  <c r="AB47" i="5"/>
  <c r="AC47" i="5" s="1"/>
  <c r="AD159" i="5"/>
  <c r="AB159" i="5"/>
  <c r="AC159" i="5" s="1"/>
  <c r="AD124" i="5"/>
  <c r="AB124" i="5"/>
  <c r="AC124" i="5" s="1"/>
  <c r="AD61" i="5"/>
  <c r="AB61" i="5"/>
  <c r="AC61" i="5" s="1"/>
  <c r="AB100" i="5"/>
  <c r="AC100" i="5" s="1"/>
  <c r="AD100" i="5"/>
  <c r="AB185" i="5"/>
  <c r="AC185" i="5" s="1"/>
  <c r="AD185" i="5"/>
  <c r="AB148" i="5"/>
  <c r="AC148" i="5" s="1"/>
  <c r="AD148" i="5"/>
  <c r="AB45" i="5"/>
  <c r="AC45" i="5" s="1"/>
  <c r="AD45" i="5"/>
  <c r="AD27" i="5"/>
  <c r="AB27" i="5"/>
  <c r="AC27" i="5" s="1"/>
  <c r="AB117" i="5"/>
  <c r="AC117" i="5" s="1"/>
  <c r="AD117" i="5"/>
  <c r="AB69" i="5"/>
  <c r="AC69" i="5" s="1"/>
  <c r="AD69" i="5"/>
  <c r="AD170" i="5"/>
  <c r="AB170" i="5"/>
  <c r="AC170" i="5" s="1"/>
  <c r="AD93" i="5"/>
  <c r="AB93" i="5"/>
  <c r="AC93" i="5" s="1"/>
  <c r="AB163" i="5"/>
  <c r="AC163" i="5" s="1"/>
  <c r="AD163" i="5"/>
  <c r="AD99" i="5"/>
  <c r="AB99" i="5"/>
  <c r="AC99" i="5" s="1"/>
  <c r="AD203" i="5"/>
  <c r="AB203" i="5"/>
  <c r="AC203" i="5" s="1"/>
  <c r="AD22" i="5"/>
  <c r="AB22" i="5"/>
  <c r="AC22" i="5" s="1"/>
  <c r="AB53" i="5"/>
  <c r="AC53" i="5" s="1"/>
  <c r="AD53" i="5"/>
  <c r="AD149" i="5"/>
  <c r="AB149" i="5"/>
  <c r="AC149" i="5" s="1"/>
  <c r="AB81" i="5"/>
  <c r="AC81" i="5" s="1"/>
  <c r="AD81" i="5"/>
  <c r="AB60" i="5"/>
  <c r="AC60" i="5" s="1"/>
  <c r="AD60" i="5"/>
  <c r="AB109" i="5"/>
  <c r="AC109" i="5" s="1"/>
  <c r="AD109" i="5"/>
  <c r="AD50" i="5"/>
  <c r="AB50" i="5"/>
  <c r="AC50" i="5" s="1"/>
  <c r="AD89" i="5"/>
  <c r="AB89" i="5"/>
  <c r="AC89" i="5" s="1"/>
  <c r="AD56" i="5"/>
  <c r="AB56" i="5"/>
  <c r="AC56" i="5" s="1"/>
  <c r="AD136" i="5"/>
  <c r="AB136" i="5"/>
  <c r="AC136" i="5" s="1"/>
  <c r="AD195" i="5"/>
  <c r="AB195" i="5"/>
  <c r="AC195" i="5" s="1"/>
  <c r="AB165" i="5"/>
  <c r="AC165" i="5" s="1"/>
  <c r="AD165" i="5"/>
  <c r="AD151" i="5"/>
  <c r="AB151" i="5"/>
  <c r="AC151" i="5" s="1"/>
  <c r="AD38" i="5"/>
  <c r="AB38" i="5"/>
  <c r="AC38" i="5" s="1"/>
  <c r="AD176" i="5"/>
  <c r="AB176" i="5"/>
  <c r="AC176" i="5" s="1"/>
  <c r="AB216" i="5"/>
  <c r="AC216" i="5" s="1"/>
  <c r="AD216" i="5"/>
  <c r="AD108" i="5"/>
  <c r="AB108" i="5"/>
  <c r="AC108" i="5" s="1"/>
  <c r="AD177" i="5"/>
  <c r="AB177" i="5"/>
  <c r="AC177" i="5" s="1"/>
  <c r="AD150" i="5"/>
  <c r="AB150" i="5"/>
  <c r="AC150" i="5" s="1"/>
  <c r="AB180" i="5"/>
  <c r="AC180" i="5" s="1"/>
  <c r="AD180" i="5"/>
  <c r="AB223" i="5"/>
  <c r="AC223" i="5" s="1"/>
  <c r="AD223" i="5"/>
  <c r="AD63" i="5"/>
  <c r="AB63" i="5"/>
  <c r="AC63" i="5" s="1"/>
  <c r="AB130" i="5"/>
  <c r="AC130" i="5" s="1"/>
  <c r="AD130" i="5"/>
  <c r="AD29" i="5"/>
  <c r="AB29" i="5"/>
  <c r="AC29" i="5" s="1"/>
  <c r="AB157" i="5"/>
  <c r="AC157" i="5" s="1"/>
  <c r="AD157" i="5"/>
  <c r="AB202" i="5"/>
  <c r="AC202" i="5" s="1"/>
  <c r="AD202" i="5"/>
  <c r="AD221" i="5"/>
  <c r="AB221" i="5"/>
  <c r="AC221" i="5" s="1"/>
  <c r="AB76" i="5"/>
  <c r="AC76" i="5" s="1"/>
  <c r="AD76" i="5"/>
  <c r="AB35" i="5"/>
  <c r="AC35" i="5" s="1"/>
  <c r="AD35" i="5"/>
  <c r="AB43" i="5"/>
  <c r="AC43" i="5" s="1"/>
  <c r="AD43" i="5"/>
  <c r="AB137" i="5"/>
  <c r="AC137" i="5" s="1"/>
  <c r="AD137" i="5"/>
  <c r="AB189" i="5"/>
  <c r="AC189" i="5" s="1"/>
  <c r="AD189" i="5"/>
  <c r="AB173" i="5"/>
  <c r="AC173" i="5" s="1"/>
  <c r="AD173" i="5"/>
  <c r="AB65" i="5"/>
  <c r="AC65" i="5" s="1"/>
  <c r="AD65" i="5"/>
  <c r="AB218" i="5"/>
  <c r="AC218" i="5" s="1"/>
  <c r="AD218" i="5"/>
  <c r="AD107" i="5"/>
  <c r="AB107" i="5"/>
  <c r="AC107" i="5" s="1"/>
  <c r="AD118" i="5"/>
  <c r="AB118" i="5"/>
  <c r="AC118" i="5" s="1"/>
  <c r="AB20" i="5"/>
  <c r="AC20" i="5" s="1"/>
  <c r="AD20" i="5"/>
  <c r="AD111" i="5"/>
  <c r="AB111" i="5"/>
  <c r="AC111" i="5" s="1"/>
  <c r="AD169" i="5"/>
  <c r="AB169" i="5"/>
  <c r="AC169" i="5" s="1"/>
  <c r="AD145" i="5"/>
  <c r="AB145" i="5"/>
  <c r="AC145" i="5" s="1"/>
  <c r="AD183" i="5"/>
  <c r="AB183" i="5"/>
  <c r="AC183" i="5" s="1"/>
  <c r="AD74" i="5"/>
  <c r="AB74" i="5"/>
  <c r="AC74" i="5" s="1"/>
  <c r="AD104" i="5"/>
  <c r="AB104" i="5"/>
  <c r="AC104" i="5" s="1"/>
  <c r="AD226" i="5"/>
  <c r="AB226" i="5"/>
  <c r="AC226" i="5" s="1"/>
  <c r="AB21" i="5"/>
  <c r="AC21" i="5" s="1"/>
  <c r="AD21" i="5"/>
  <c r="AB24" i="5"/>
  <c r="AC24" i="5" s="1"/>
  <c r="AD24" i="5"/>
  <c r="AB30" i="5"/>
  <c r="AC30" i="5" s="1"/>
  <c r="AD30" i="5"/>
  <c r="AD222" i="5"/>
  <c r="AB222" i="5"/>
  <c r="AC222" i="5" s="1"/>
  <c r="AD211" i="5"/>
  <c r="AB211" i="5"/>
  <c r="AC211" i="5" s="1"/>
  <c r="AB152" i="5"/>
  <c r="AC152" i="5" s="1"/>
  <c r="AD152" i="5"/>
  <c r="AD36" i="5"/>
  <c r="AB36" i="5"/>
  <c r="AC36" i="5" s="1"/>
  <c r="AB134" i="5"/>
  <c r="AC134" i="5" s="1"/>
  <c r="AD134" i="5"/>
  <c r="AB160" i="5"/>
  <c r="AC160" i="5" s="1"/>
  <c r="AD160" i="5"/>
  <c r="AB46" i="5"/>
  <c r="AC46" i="5" s="1"/>
  <c r="AD46" i="5"/>
  <c r="AD153" i="5"/>
  <c r="AB153" i="5"/>
  <c r="AC153" i="5" s="1"/>
  <c r="AD154" i="5"/>
  <c r="AB154" i="5"/>
  <c r="AC154" i="5" s="1"/>
  <c r="AB31" i="5"/>
  <c r="AC31" i="5" s="1"/>
  <c r="AD31" i="5"/>
  <c r="R232" i="5"/>
  <c r="S19" i="5"/>
  <c r="AC19" i="5" l="1"/>
  <c r="AB232" i="5"/>
  <c r="AD232" i="5"/>
  <c r="AD16" i="5" s="1"/>
</calcChain>
</file>

<file path=xl/sharedStrings.xml><?xml version="1.0" encoding="utf-8"?>
<sst xmlns="http://schemas.openxmlformats.org/spreadsheetml/2006/main" count="1450" uniqueCount="508">
  <si>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</si>
  <si>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</si>
  <si>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</si>
  <si>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</si>
  <si>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</si>
  <si>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</si>
  <si>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</si>
  <si>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</si>
  <si>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</si>
  <si>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</si>
  <si>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</si>
  <si>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</si>
  <si>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</si>
  <si>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</si>
  <si>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</si>
  <si>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</si>
  <si>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</si>
  <si>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</si>
  <si>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</si>
  <si>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</si>
  <si>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</si>
  <si>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</si>
  <si>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</si>
  <si>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</si>
  <si>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</si>
  <si>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</si>
  <si>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</si>
  <si>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</si>
  <si>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</si>
  <si>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</si>
  <si>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</si>
  <si>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</si>
  <si>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</si>
  <si>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</si>
  <si>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</si>
  <si>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</si>
  <si>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</si>
  <si>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</si>
  <si>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</si>
  <si>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</si>
  <si>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</si>
  <si>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</si>
  <si>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</si>
  <si>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</si>
  <si>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</si>
  <si>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</si>
  <si>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</si>
  <si>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</si>
  <si>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</si>
  <si>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</si>
  <si>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</si>
  <si>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</si>
  <si>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</si>
  <si>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</si>
  <si>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</si>
  <si>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</si>
  <si>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</si>
  <si>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</si>
  <si>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</si>
  <si>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</si>
  <si>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</si>
  <si>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</si>
  <si>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</si>
  <si>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</si>
  <si>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</si>
  <si>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</si>
  <si>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</si>
  <si>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</si>
  <si>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</si>
  <si>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</si>
  <si>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</si>
  <si>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</si>
  <si>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</si>
  <si>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</si>
  <si>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</si>
  <si>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</si>
  <si>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</si>
  <si>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</si>
  <si>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</si>
  <si>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</si>
  <si>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</si>
  <si>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</si>
  <si>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</si>
  <si>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</si>
  <si>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</si>
  <si>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</si>
  <si>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</si>
  <si>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</si>
  <si>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</si>
  <si>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</si>
  <si>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</si>
  <si>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</si>
  <si>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</si>
  <si>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</si>
  <si>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</si>
  <si>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</si>
  <si>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</si>
  <si>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</si>
  <si>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</si>
  <si>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</si>
  <si>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</si>
  <si>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</si>
  <si>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</si>
  <si>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</si>
  <si>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</si>
  <si>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</si>
  <si>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</si>
  <si>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</si>
  <si>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</si>
  <si>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</si>
  <si>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</si>
  <si>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</si>
  <si>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</si>
  <si>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</si>
  <si>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</si>
  <si>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</si>
  <si>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</si>
  <si>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</si>
  <si>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</si>
  <si>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</si>
  <si>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</si>
  <si>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</si>
  <si>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</si>
  <si>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</si>
  <si>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</si>
  <si>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</si>
  <si>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</si>
  <si>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</si>
  <si>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</si>
  <si>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</si>
  <si>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</si>
  <si>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</si>
  <si>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</si>
  <si>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</si>
  <si>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</si>
  <si>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</si>
  <si>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</si>
  <si>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</si>
  <si>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</si>
  <si>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</si>
  <si>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</si>
  <si>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</si>
  <si>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</si>
  <si>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</si>
  <si>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</si>
  <si>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</si>
  <si>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</si>
  <si>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</si>
  <si>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</si>
  <si>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</si>
  <si>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</si>
  <si>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</si>
  <si>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</si>
  <si>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</si>
  <si>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</si>
  <si>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</si>
  <si>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</si>
  <si>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</si>
  <si>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</si>
  <si>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</si>
  <si>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</si>
  <si>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</si>
  <si>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</si>
  <si>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</si>
  <si>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</si>
  <si>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</si>
  <si>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</si>
  <si>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</si>
  <si>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</si>
  <si>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</si>
  <si>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</si>
  <si>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</si>
  <si>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</si>
  <si>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</si>
  <si>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</si>
  <si>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</si>
  <si>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</si>
  <si>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</si>
  <si>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</si>
  <si>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</si>
  <si>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</si>
  <si>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</si>
  <si>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</si>
  <si>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</si>
  <si>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</si>
  <si>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</si>
  <si>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</si>
  <si>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</si>
  <si>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</si>
  <si>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</si>
  <si>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</si>
  <si>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</si>
  <si>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</si>
  <si>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</si>
  <si>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</si>
  <si>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</si>
  <si>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</si>
  <si>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</si>
  <si>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</si>
  <si>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</si>
  <si>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</si>
  <si>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</si>
  <si>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</si>
  <si>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</si>
  <si>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</si>
  <si>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</si>
  <si>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</si>
  <si>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</si>
  <si>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</si>
  <si>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</si>
  <si>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</si>
  <si>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</si>
  <si>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</si>
  <si>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</si>
  <si>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</si>
  <si>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</si>
  <si>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</si>
  <si>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</si>
  <si>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</si>
  <si>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</si>
  <si>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</si>
  <si>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</si>
  <si>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</si>
  <si>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</si>
  <si>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</si>
  <si>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</si>
  <si>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</si>
  <si>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</si>
  <si>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</si>
  <si>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</si>
  <si>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</si>
  <si>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</si>
  <si>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</si>
  <si>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</si>
  <si>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</si>
  <si>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</si>
  <si>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</si>
  <si>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</si>
  <si>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</si>
  <si>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</si>
  <si>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</si>
  <si>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</si>
  <si>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</si>
  <si>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</si>
  <si>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</si>
  <si>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</si>
  <si>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</si>
  <si>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</si>
  <si>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</si>
  <si>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</si>
  <si>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</si>
  <si>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</si>
  <si>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</si>
  <si>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</si>
  <si>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</si>
  <si>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</si>
  <si>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</si>
  <si>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</si>
  <si>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</si>
  <si>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</si>
  <si>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</si>
  <si>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</si>
  <si>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</si>
  <si>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</si>
  <si>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</si>
  <si>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</si>
  <si>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</si>
  <si>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</si>
  <si>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</si>
  <si>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</si>
  <si>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</si>
  <si>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</si>
  <si>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</si>
  <si>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</si>
  <si>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</si>
  <si>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</si>
  <si>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</si>
  <si>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</si>
  <si>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</si>
  <si>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</si>
  <si>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</si>
  <si>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</si>
  <si>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</si>
  <si>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</si>
  <si>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</si>
  <si>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</si>
  <si>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</si>
  <si>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</si>
  <si>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</si>
  <si>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</si>
  <si>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</si>
  <si>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</si>
  <si>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</si>
  <si>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</si>
  <si>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</si>
  <si>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</si>
  <si>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</si>
  <si>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</si>
  <si>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</si>
  <si>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</si>
  <si>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</si>
  <si>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</si>
  <si>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</si>
  <si>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</si>
  <si>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</si>
  <si>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</si>
  <si>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</si>
  <si>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</si>
  <si>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</si>
  <si>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</si>
  <si>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</si>
  <si>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</si>
  <si>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</si>
  <si>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</si>
  <si>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</si>
  <si>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</si>
  <si>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</si>
  <si>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</si>
  <si>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</si>
  <si>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</si>
  <si>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</si>
  <si>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</si>
  <si>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</si>
  <si>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</si>
  <si>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</si>
  <si>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</si>
  <si>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</si>
  <si>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</si>
  <si>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</si>
  <si>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</si>
  <si>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</si>
  <si>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</si>
  <si>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</si>
  <si>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</si>
  <si>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</si>
  <si>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</si>
  <si>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</si>
  <si>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</si>
  <si>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</si>
  <si>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</si>
  <si>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</si>
  <si>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</si>
  <si>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</si>
  <si>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Maximum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</si>
  <si>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</si>
  <si>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</si>
  <si>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</si>
  <si>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</si>
  <si>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</si>
  <si>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</si>
  <si>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</si>
  <si>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</si>
  <si>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</si>
  <si>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</si>
  <si>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</si>
  <si>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</si>
  <si>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</si>
  <si>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</si>
  <si>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</si>
  <si>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</si>
  <si>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</si>
  <si>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</si>
  <si>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</si>
  <si>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</si>
  <si>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</si>
  <si>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</si>
  <si>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</si>
  <si>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</si>
  <si>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</si>
  <si>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</si>
  <si>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</si>
  <si>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</si>
  <si>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</si>
  <si>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</si>
  <si>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</si>
  <si>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UPDATED December 15, 2020</t>
  </si>
  <si>
    <t>Charter Allocation</t>
  </si>
  <si>
    <t>District Allocation</t>
  </si>
  <si>
    <t>District Sponsored Charter Allocation</t>
  </si>
  <si>
    <t>2022 - 2023</t>
  </si>
  <si>
    <t>2021 - 2022</t>
  </si>
  <si>
    <t>School Year</t>
  </si>
  <si>
    <t>Total Allocation</t>
  </si>
  <si>
    <t>TOTAL SIA Allocation</t>
  </si>
  <si>
    <t>Total Administrative Costs</t>
  </si>
  <si>
    <t>Budget Notes</t>
  </si>
  <si>
    <t>Below are brief descriptions of some of the accounting codes that are commonly used for the Student Investment Account (taken from the Program Budgeting and Accounting Manual).</t>
  </si>
  <si>
    <t>Costs for work performed by regular licensed employees of the district.  Include licensed coordinators and licensed employees in bargaining unit under this object.</t>
  </si>
  <si>
    <t>Costs for work performed by regular classified employees of the district. Confidential staff may be coded to this object or 114 below or you may use a district defined code to track separately.</t>
  </si>
  <si>
    <t xml:space="preserve">Classified Salaries </t>
  </si>
  <si>
    <t>Costs for work performed by regular administrative employees who manage, direct, or administer programs of the district. Administrators need not be licensed to be charged to 113.</t>
  </si>
  <si>
    <t>Administrators</t>
  </si>
  <si>
    <t>Substitutes—Licensed</t>
  </si>
  <si>
    <t>Costs for work performed by substitute licensed employees of the district.</t>
  </si>
  <si>
    <t>Money paid to employees of the district in positions of either a temporary or permanent nature for work performed in addition to the normal work period for which the employee is compensated under Regular Salaries and Temporary Salaries above. The terms of such payment for overtime is a matter of state and local regulation or negotiated agreement. Includes additional pay for classified employee overtime and for activities such as coaching, supervision of extracurricular activities, extended contracts, etc.  Object 130 should be used for all overtime.</t>
  </si>
  <si>
    <t>Additional Salary</t>
  </si>
  <si>
    <t>Expenditures to persons (not on the district payroll) or agencies for the purpose of transporting children. These include those expenditures to individuals who transport themselves or to parents who transport their own children. Expenditures for the rental of buses which are operated by personnel on the district payroll are not recorded here; they are recorded under Purchased Services—Rentals.</t>
  </si>
  <si>
    <r>
      <rPr>
        <i/>
        <u/>
        <sz val="14"/>
        <color theme="1"/>
        <rFont val="Calibri"/>
        <family val="2"/>
        <scheme val="minor"/>
      </rPr>
      <t>Student Transportation Services</t>
    </r>
    <r>
      <rPr>
        <u/>
        <sz val="14"/>
        <color theme="1"/>
        <rFont val="Calibri"/>
        <family val="2"/>
        <scheme val="minor"/>
      </rPr>
      <t xml:space="preserve"> </t>
    </r>
  </si>
  <si>
    <t>Costs for transportation for all district personnel (including students), conference registration, meals, hotel, and other expenses associated with traveling on business for the district. Payments for per diem in lieu of meals and lodging and for car allowance also are charged here. Travel costs may be identified through use of the following sub-accounts at the option of the district.  Use for travel costs incurred by district employees and students. Travel costs incurred by contracted professionals should be included in the cost of the service. Vehicles rented in lieu of reimbursing mileage to an employee should be charged to 340.</t>
  </si>
  <si>
    <t>Services provided by persons or businesses to assist in transmitting and receiving data or information. This category includes telephone and international data commu­nications, postage machine rental and postage, fax and advertising. Expenditures for these services may be identified through the use of sub-accounts at the option of the district.</t>
  </si>
  <si>
    <t>Communication</t>
  </si>
  <si>
    <t>Capitol Outlay</t>
  </si>
  <si>
    <t>Expenditures or assessments for membership in professional or other organizations or associations or payments to a paying agent for services rendered.</t>
  </si>
  <si>
    <t xml:space="preserve">Miscellaneous </t>
  </si>
  <si>
    <t xml:space="preserve">Services which by their nature can be performed only by persons with specialized skills and knowledge. Included are the services of medical doctors, lawyers, consultants, teachers for the instructional area.  </t>
  </si>
  <si>
    <t>2021-22</t>
  </si>
  <si>
    <t>2022-23</t>
  </si>
  <si>
    <t>Which could include Textbook, E-textbooks, library books, periodicals, food, equipment that is less than $5,000, computer software and computer hardware</t>
  </si>
  <si>
    <t xml:space="preserve">Which could include land acquisition, building acquisition, permanent structural alterations (heating, ventilation, electrical), improvements other than buildings (sidewalks, fire hydrants, playground), purchase of buses and bus improvements </t>
  </si>
  <si>
    <t>District / Charter</t>
  </si>
  <si>
    <t>Consortium allocation</t>
  </si>
  <si>
    <t>Baker SD (Baker Early College)</t>
  </si>
  <si>
    <t>Bend- LaPine Adminsitrative (Desert Sky Montessori)</t>
  </si>
  <si>
    <t>Corvallis SD (Inavale Community Partners)</t>
  </si>
  <si>
    <t>Cottonwood School (Portland SD)</t>
  </si>
  <si>
    <t>Crook County SD (Powell Butte Community)</t>
  </si>
  <si>
    <t>Dallas SD 2 (Dallas Community Charter)</t>
  </si>
  <si>
    <t>David Douglas SD (Arthur Academy)</t>
  </si>
  <si>
    <t>Eugene SD (Coburg Community Charter)</t>
  </si>
  <si>
    <t>Eugene SD (Twin Rivers Charter)</t>
  </si>
  <si>
    <t>Eugene SD (Ridgeline Montessori)</t>
  </si>
  <si>
    <t>Forest Grove SD (Forest Grove Community)</t>
  </si>
  <si>
    <t>Gresham-Barlow SD (Lewis and Clark Montessori Charter)</t>
  </si>
  <si>
    <t>Gresham-Barlow SD (Gresham Arthur Academy)</t>
  </si>
  <si>
    <t xml:space="preserve">Harney Consortium </t>
  </si>
  <si>
    <t>(Harney Consortium) Diamond SD 7</t>
  </si>
  <si>
    <t>(Harney Consortium) Double O SD 28</t>
  </si>
  <si>
    <t>(Harney Consortium) Drewsey SD 13</t>
  </si>
  <si>
    <t>(Harney Consortium) Frenchglen SD 16</t>
  </si>
  <si>
    <t>(Harney Consortium) Pine Creek SD 5</t>
  </si>
  <si>
    <t>(Harney Consortium) South Harney SD 33</t>
  </si>
  <si>
    <t>(Harney Consortium) Suntex SD 10</t>
  </si>
  <si>
    <t>Hillsboro SD (City View Charter)</t>
  </si>
  <si>
    <t>Lincoln County SD (Eddyville Charter)</t>
  </si>
  <si>
    <t>Lowell SD (Mountain View Academy)</t>
  </si>
  <si>
    <t>Lowell SD (Bridge Charter Academy)</t>
  </si>
  <si>
    <t>Medford SD (Madrone Trail Public Charter)</t>
  </si>
  <si>
    <t>Medford SD (Logos Public Charter)</t>
  </si>
  <si>
    <t>Medford SD (The Valley of Southern Oregon)</t>
  </si>
  <si>
    <t>Molalla River SD (Molalla River Academy)</t>
  </si>
  <si>
    <t>Molalla River SD (Renaissance River Academy)</t>
  </si>
  <si>
    <t>North Clackamas SD (Clackamas Middle College)</t>
  </si>
  <si>
    <t>North Clackamas SD (Milwaukie Academy of the Arts)</t>
  </si>
  <si>
    <t>North Clackamas SD (Cascade Heights Public Charter School)</t>
  </si>
  <si>
    <t>North Wasco County SD (Mosier Community School)</t>
  </si>
  <si>
    <t>Oregon City SD (Springwater Environmental Sciences School)</t>
  </si>
  <si>
    <t>Oregon City SD (Alliance Charter Academy)</t>
  </si>
  <si>
    <t>Oregon City SD (Clackamas Academy of Industrial Sciences)</t>
  </si>
  <si>
    <t>Oregon Trail SD (Oregon Trail Academy)</t>
  </si>
  <si>
    <t>Philomath SD (Kings Valley Charter)</t>
  </si>
  <si>
    <t>Portland SD (Opal School of the Portland Children's Museum)</t>
  </si>
  <si>
    <t>Portland SD (Emerson School)</t>
  </si>
  <si>
    <t>Portland SD (Portland Arthur Academy Charter School)</t>
  </si>
  <si>
    <t>Portland SD (Portland Village School)</t>
  </si>
  <si>
    <t>Portland SD (Le Monde French Immersion Public Charter)</t>
  </si>
  <si>
    <t>Redmond SD (Redmond Proficiency Academy)</t>
  </si>
  <si>
    <t>Reynolds SD (Multnomah Learning Academy)</t>
  </si>
  <si>
    <t>Reynolds SD (Reynolds Arthur Academy)</t>
  </si>
  <si>
    <t>Riverbend Community School</t>
  </si>
  <si>
    <t>Rogue River SD (Rivers Edge Academy Charter)</t>
  </si>
  <si>
    <t>Salem-Keizer SD (Optimum Learning Environment Charter School)</t>
  </si>
  <si>
    <t>Salem-Keizer SD (Jane Goodall Environmental Middle Charter)</t>
  </si>
  <si>
    <t>Salem-Keizer SD (Valley Inquity Charter School)</t>
  </si>
  <si>
    <t>Salem-Keizer SD (Eagle Charter School)</t>
  </si>
  <si>
    <t>Salem-Keizer SD (Howard Street Charter)</t>
  </si>
  <si>
    <t>Scappoose SD (South Columbia Family School)</t>
  </si>
  <si>
    <t>Scappoose SD (Sauvie Island School)</t>
  </si>
  <si>
    <t>Scio SD (Lourdes School)</t>
  </si>
  <si>
    <t>Sheridan SD (Sheridan Japanese School)</t>
  </si>
  <si>
    <t>Silver Falls SD (Bethany Charter School)</t>
  </si>
  <si>
    <t>South Lane SD (Academy for Character Education)</t>
  </si>
  <si>
    <t>St Helens SD (St Helens Arthur Academy)</t>
  </si>
  <si>
    <t>The Ivy School (Portland SD)</t>
  </si>
  <si>
    <t>Three Rivers/Josephine County SD (Woodland Charter)</t>
  </si>
  <si>
    <t>Tigard-Tualatin SD (Multi-sensory Instruction Teaching Children)</t>
  </si>
  <si>
    <t xml:space="preserve">West Linn-Wilsonville SD (Three Rivers Charter) </t>
  </si>
  <si>
    <t>Total</t>
  </si>
  <si>
    <t>Charter calculation</t>
  </si>
  <si>
    <t>Charter</t>
  </si>
  <si>
    <t>Y</t>
  </si>
  <si>
    <t>Harmony Academy</t>
  </si>
  <si>
    <t>Oregon City Service Learning Academy</t>
  </si>
  <si>
    <t>The Cannon Beach</t>
  </si>
  <si>
    <t>Lighthouse Charter School</t>
  </si>
  <si>
    <t>Reedsport Community Charter</t>
  </si>
  <si>
    <t>Armadillo Technical Institute</t>
  </si>
  <si>
    <t>EagleRidge High School</t>
  </si>
  <si>
    <t>Network Charter School</t>
  </si>
  <si>
    <t>Childs Way Charter School</t>
  </si>
  <si>
    <t>The Community Roots School</t>
  </si>
  <si>
    <t>Woodburn Arthur Academy</t>
  </si>
  <si>
    <t>Rockwood Preparatory Academy</t>
  </si>
  <si>
    <t>Luckiamute Valley Charter School</t>
  </si>
  <si>
    <t>Joseph Charter School</t>
  </si>
  <si>
    <t>Arco Iris Spanish Immersion School</t>
  </si>
  <si>
    <t>Hope Chinese School</t>
  </si>
  <si>
    <t>Hope Chinese Charter School</t>
  </si>
  <si>
    <t>Reedsport Community Charter School</t>
  </si>
  <si>
    <t>Resource Link Charter School</t>
  </si>
  <si>
    <t>The Cannon Beach Academy</t>
  </si>
  <si>
    <t>Sherwood Charter School</t>
  </si>
  <si>
    <t>Sand Ridge Charter School</t>
  </si>
  <si>
    <t>Glendale Community Charter School</t>
  </si>
  <si>
    <t>Supporting Quality Implementation Guidance</t>
  </si>
  <si>
    <t>Charter Calculation</t>
  </si>
  <si>
    <t>Lebanon Community SD 9 (Sand Ridge Charter School)</t>
  </si>
  <si>
    <t>Molalla River SD (Renaissance Public Academy)</t>
  </si>
  <si>
    <t>Salem-Keizer SD (Valley Inquiry Charter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</si>
</sst>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family val="2"/>
      <scheme val="minor"/>
    </font>
    <font>
      <u/>
      <sz val="12"/>
      <color theme="10"/>
      <name val="Calibri"/>
      <family val="2"/>
      <scheme val="minor"/>
    </font>
    <font>
      <u/>
      <sz val="12"/>
      <color theme="11"/>
      <name val="Calibri"/>
      <family val="2"/>
      <scheme val="minor"/>
    </font>
    <font>
      <sz val="16"/>
      <color theme="1"/>
      <name val="Calibri"/>
      <family val="2"/>
      <scheme val="minor"/>
    </font>
    <font>
      <u/>
      <sz val="16"/>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family val="2"/>
      <scheme val="minor"/>
    </font>
    <font>
      <b/>
      <sz val="18"/>
      <color theme="1"/>
      <name val="Calibri"/>
      <family val="2"/>
      <scheme val="minor"/>
    </font>
    <font>
      <b/>
      <sz val="14"/>
      <color theme="1"/>
      <name val="Calibri"/>
      <family val="2"/>
      <scheme val="minor"/>
    </font>
    <font>
      <b/>
      <sz val="16"/>
      <color theme="1"/>
      <name val="Calibri"/>
      <family val="2"/>
      <scheme val="minor"/>
    </font>
    <font>
      <i/>
      <sz val="14"/>
      <color theme="1"/>
      <name val="Calibri"/>
      <family val="2"/>
      <scheme val="minor"/>
    </font>
    <font>
      <i/>
      <u/>
      <sz val="14"/>
      <color theme="1"/>
      <name val="Calibri"/>
      <family val="2"/>
      <scheme val="minor"/>
    </font>
    <font>
      <i/>
      <sz val="12"/>
      <color theme="3" tint="0.59999389629810485"/>
      <name val="Calibri"/>
      <family val="2"/>
      <scheme val="minor"/>
    </font>
    <font>
      <sz val="12"/>
      <name val="Calibri"/>
      <family val="2"/>
      <scheme val="minor"/>
    </font>
    <font>
      <sz val="12"/>
      <color theme="0"/>
      <name val="Calibri"/>
      <family val="2"/>
      <scheme val="minor"/>
    </font>
    <font>
      <sz val="8"/>
      <color theme="0"/>
      <name val="Calibri"/>
      <family val="2"/>
      <scheme val="minor"/>
    </font>
    <font>
      <b/>
      <sz val="14"/>
      <color rgb="FFFF0000"/>
      <name val="Calibri"/>
      <family val="2"/>
      <scheme val="minor"/>
    </font>
    <font>
      <sz val="8"/>
      <name val="Calibri"/>
      <family val="2"/>
      <scheme val="minor"/>
    </font>
    <font>
      <u/>
      <sz val="14"/>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1">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233">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1" fillId="3" borderId="0" xfId="0" applyFont="1" applyFill="1"/>
    <xf numFmtId="0" fontId="23" fillId="3" borderId="0" xfId="0" applyFont="1" applyFill="1"/>
    <xf numFmtId="165" fontId="0" fillId="0" borderId="0" xfId="0" applyNumberFormat="1"/>
    <xf numFmtId="0" fontId="0" fillId="0" borderId="0" xfId="0" applyBorder="1"/>
    <xf numFmtId="164" fontId="0" fillId="0" borderId="0" xfId="1" applyFont="1" applyBorder="1"/>
    <xf numFmtId="165" fontId="0" fillId="0" borderId="0" xfId="1" applyNumberFormat="1" applyFont="1" applyBorder="1"/>
    <xf numFmtId="164" fontId="0" fillId="0" borderId="0" xfId="1" applyFont="1"/>
    <xf numFmtId="0" fontId="3" fillId="3" borderId="8" xfId="0" applyFont="1" applyFill="1" applyBorder="1" applyAlignment="1">
      <alignment vertical="center"/>
    </xf>
    <xf numFmtId="0" fontId="3" fillId="3" borderId="27" xfId="0" applyFont="1" applyFill="1" applyBorder="1" applyAlignment="1">
      <alignment vertical="center"/>
    </xf>
    <xf numFmtId="0" fontId="3" fillId="3" borderId="10" xfId="0" applyFont="1" applyFill="1" applyBorder="1" applyAlignment="1">
      <alignment vertical="center"/>
    </xf>
    <xf numFmtId="0" fontId="3" fillId="3" borderId="0" xfId="0" applyFont="1" applyFill="1" applyBorder="1"/>
    <xf numFmtId="0" fontId="3" fillId="3" borderId="12" xfId="0" applyFont="1" applyFill="1" applyBorder="1"/>
    <xf numFmtId="0" fontId="3" fillId="3" borderId="29" xfId="0" applyFont="1" applyFill="1" applyBorder="1"/>
    <xf numFmtId="0" fontId="3" fillId="3" borderId="0" xfId="0" applyFont="1" applyFill="1" applyBorder="1" applyAlignment="1">
      <alignment horizontal="right" vertical="center"/>
    </xf>
    <xf numFmtId="0" fontId="3" fillId="3" borderId="0" xfId="0" applyFont="1" applyFill="1" applyBorder="1" applyAlignment="1">
      <alignment horizontal="center" vertical="center"/>
    </xf>
    <xf numFmtId="0" fontId="3" fillId="9" borderId="0" xfId="0" applyFont="1" applyFill="1" applyBorder="1" applyAlignment="1">
      <alignment horizontal="center" vertical="center"/>
    </xf>
    <xf numFmtId="164" fontId="6" fillId="9" borderId="12" xfId="1" applyFont="1" applyFill="1" applyBorder="1" applyAlignment="1">
      <alignment horizontal="center" vertical="center"/>
    </xf>
    <xf numFmtId="164" fontId="6" fillId="9" borderId="0" xfId="1" applyFont="1" applyFill="1" applyBorder="1" applyAlignment="1">
      <alignment horizontal="center" vertical="center"/>
    </xf>
    <xf numFmtId="164" fontId="6" fillId="9" borderId="29" xfId="1" applyFont="1" applyFill="1" applyBorder="1" applyAlignment="1">
      <alignment horizontal="center" vertical="center"/>
    </xf>
    <xf numFmtId="0" fontId="3" fillId="10" borderId="0" xfId="0" applyFont="1" applyFill="1" applyBorder="1" applyAlignment="1">
      <alignment horizontal="center" vertical="center"/>
    </xf>
    <xf numFmtId="164" fontId="6" fillId="10" borderId="9" xfId="1" applyFont="1" applyFill="1" applyBorder="1" applyAlignment="1">
      <alignment horizontal="center" vertical="center"/>
    </xf>
    <xf numFmtId="164" fontId="6" fillId="10" borderId="28" xfId="1" applyFont="1" applyFill="1" applyBorder="1" applyAlignment="1">
      <alignment horizontal="center" vertical="center"/>
    </xf>
    <xf numFmtId="164" fontId="6" fillId="10" borderId="11" xfId="1" applyFont="1" applyFill="1" applyBorder="1" applyAlignment="1">
      <alignment horizontal="center" vertical="center"/>
    </xf>
    <xf numFmtId="0" fontId="24" fillId="3" borderId="0" xfId="0" applyFont="1" applyFill="1"/>
    <xf numFmtId="0" fontId="25" fillId="3" borderId="0" xfId="0" applyFont="1" applyFill="1"/>
    <xf numFmtId="0" fontId="26" fillId="3" borderId="0" xfId="0" applyFont="1" applyFill="1"/>
    <xf numFmtId="0" fontId="25" fillId="3" borderId="0" xfId="0" applyFont="1" applyFill="1" applyAlignment="1">
      <alignment horizontal="center"/>
    </xf>
    <xf numFmtId="8" fontId="0" fillId="0" borderId="1" xfId="1" applyNumberFormat="1" applyFont="1" applyBorder="1"/>
    <xf numFmtId="0" fontId="24" fillId="3" borderId="0" xfId="0" applyFont="1" applyFill="1" applyAlignment="1">
      <alignment horizontal="center"/>
    </xf>
    <xf numFmtId="0" fontId="19" fillId="3" borderId="0" xfId="0" applyFont="1" applyFill="1" applyAlignment="1">
      <alignment horizontal="center" vertical="center"/>
    </xf>
    <xf numFmtId="0" fontId="27" fillId="3" borderId="0" xfId="0" applyFont="1" applyFill="1" applyAlignment="1">
      <alignment horizontal="center" vertical="center"/>
    </xf>
    <xf numFmtId="0" fontId="28" fillId="3" borderId="0" xfId="0" applyFont="1" applyFill="1"/>
    <xf numFmtId="0" fontId="2" fillId="3" borderId="0" xfId="0" applyFont="1" applyFill="1"/>
    <xf numFmtId="0" fontId="19" fillId="3" borderId="0" xfId="0" applyFont="1" applyFill="1"/>
    <xf numFmtId="0" fontId="0" fillId="3" borderId="0" xfId="0" applyFill="1" applyAlignment="1">
      <alignment wrapText="1"/>
    </xf>
    <xf numFmtId="0" fontId="2" fillId="0" borderId="0" xfId="0" applyFont="1"/>
    <xf numFmtId="0" fontId="19" fillId="3" borderId="0" xfId="0" applyFont="1" applyFill="1" applyAlignment="1">
      <alignment horizontal="left"/>
    </xf>
    <xf numFmtId="0" fontId="2" fillId="3" borderId="0" xfId="0" applyFont="1" applyFill="1" applyAlignment="1">
      <alignment wrapText="1"/>
    </xf>
    <xf numFmtId="0" fontId="0" fillId="0" borderId="0" xfId="0" applyAlignment="1">
      <alignment wrapText="1"/>
    </xf>
    <xf numFmtId="0" fontId="0" fillId="3" borderId="0" xfId="0" applyFill="1" applyAlignment="1"/>
    <xf numFmtId="0" fontId="2" fillId="3" borderId="0" xfId="0" applyFont="1" applyFill="1" applyAlignment="1"/>
    <xf numFmtId="0" fontId="0" fillId="0" borderId="0" xfId="0" applyAlignment="1"/>
    <xf numFmtId="0" fontId="22" fillId="3" borderId="0" xfId="0" applyFont="1" applyFill="1" applyAlignment="1">
      <alignment horizontal="left" wrapText="1"/>
    </xf>
    <xf numFmtId="0" fontId="0" fillId="3" borderId="0" xfId="0" applyFont="1" applyFill="1" applyAlignment="1">
      <alignment wrapText="1"/>
    </xf>
    <xf numFmtId="0" fontId="22" fillId="3" borderId="0" xfId="0" applyFont="1" applyFill="1" applyAlignment="1">
      <alignment wrapText="1"/>
    </xf>
    <xf numFmtId="0" fontId="29" fillId="3" borderId="0" xfId="0" applyFont="1" applyFill="1" applyAlignment="1">
      <alignment wrapText="1"/>
    </xf>
    <xf numFmtId="0" fontId="0" fillId="3" borderId="0" xfId="0" applyFont="1" applyFill="1" applyAlignment="1">
      <alignment vertical="top" wrapText="1"/>
    </xf>
    <xf numFmtId="0" fontId="0" fillId="4" borderId="0" xfId="0" applyFill="1" applyAlignment="1">
      <alignment wrapText="1"/>
    </xf>
    <xf numFmtId="0" fontId="0" fillId="4" borderId="0" xfId="0" applyFill="1" applyBorder="1" applyAlignment="1">
      <alignment horizontal="center" vertical="center"/>
    </xf>
    <xf numFmtId="165" fontId="0" fillId="4" borderId="0" xfId="0" applyNumberFormat="1" applyFill="1" applyBorder="1" applyAlignment="1">
      <alignment horizontal="center" vertical="center"/>
    </xf>
    <xf numFmtId="0" fontId="0" fillId="0" borderId="0" xfId="0" applyFill="1" applyAlignment="1">
      <alignment horizontal="left"/>
    </xf>
    <xf numFmtId="164" fontId="0" fillId="0" borderId="0" xfId="1" applyFont="1" applyFill="1" applyAlignment="1">
      <alignment horizontal="left"/>
    </xf>
    <xf numFmtId="164" fontId="0" fillId="0" borderId="0" xfId="1" applyFont="1" applyFill="1" applyBorder="1" applyAlignment="1">
      <alignment horizontal="left"/>
    </xf>
    <xf numFmtId="165" fontId="0" fillId="0" borderId="0" xfId="1" applyNumberFormat="1" applyFont="1" applyFill="1" applyBorder="1" applyAlignment="1">
      <alignment horizontal="left"/>
    </xf>
    <xf numFmtId="0" fontId="0" fillId="0" borderId="0" xfId="0" applyFill="1"/>
    <xf numFmtId="164" fontId="0" fillId="0" borderId="0" xfId="1" applyFont="1" applyFill="1"/>
    <xf numFmtId="164" fontId="0" fillId="0" borderId="0" xfId="1" applyFont="1" applyFill="1" applyBorder="1"/>
    <xf numFmtId="165" fontId="0" fillId="0" borderId="0" xfId="1" applyNumberFormat="1" applyFont="1" applyFill="1" applyBorder="1" applyAlignment="1">
      <alignment horizontal="right"/>
    </xf>
    <xf numFmtId="165" fontId="0" fillId="0" borderId="0" xfId="0" applyNumberFormat="1" applyBorder="1"/>
    <xf numFmtId="0" fontId="2" fillId="0" borderId="0" xfId="0" applyFont="1" applyFill="1" applyBorder="1" applyAlignment="1">
      <alignment horizontal="right"/>
    </xf>
    <xf numFmtId="0" fontId="4" fillId="0" borderId="0" xfId="36"/>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1">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Followed Hyperlink" xfId="40"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FF0000"/>
      </font>
      <fill>
        <patternFill>
          <bgColor rgb="FFFF0000"/>
        </patternFill>
      </fill>
    </dxf>
    <dxf>
      <font>
        <color rgb="FFFF0000"/>
      </font>
      <fill>
        <patternFill>
          <bgColor rgb="FFFF00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22</xdr:row>
      <xdr:rowOff>109220</xdr:rowOff>
    </xdr:from>
    <xdr:to>
      <xdr:col>2</xdr:col>
      <xdr:colOff>355600</xdr:colOff>
      <xdr:row>43</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1149350</xdr:colOff>
      <xdr:row>24</xdr:row>
      <xdr:rowOff>69850</xdr:rowOff>
    </xdr:from>
    <xdr:to>
      <xdr:col>3</xdr:col>
      <xdr:colOff>63500</xdr:colOff>
      <xdr:row>43</xdr:row>
      <xdr:rowOff>139700</xdr:rowOff>
    </xdr:to>
    <xdr:cxnSp macro="">
      <xdr:nvCxnSpPr>
        <xdr:cNvPr id="7" name="Straight Arrow Connector 6" descr="Arrow to Expenditures tab description"/>
        <xdr:cNvCxnSpPr/>
      </xdr:nvCxnSpPr>
      <xdr:spPr>
        <a:xfrm flipV="1">
          <a:off x="2400300" y="6369050"/>
          <a:ext cx="457200" cy="384810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482600</xdr:colOff>
      <xdr:row>26</xdr:row>
      <xdr:rowOff>177800</xdr:rowOff>
    </xdr:from>
    <xdr:to>
      <xdr:col>4</xdr:col>
      <xdr:colOff>177800</xdr:colOff>
      <xdr:row>44</xdr:row>
      <xdr:rowOff>6350</xdr:rowOff>
    </xdr:to>
    <xdr:cxnSp macro="">
      <xdr:nvCxnSpPr>
        <xdr:cNvPr id="9" name="Straight Arrow Connector 8" descr="Arrow to Summary tab description"/>
        <xdr:cNvCxnSpPr/>
      </xdr:nvCxnSpPr>
      <xdr:spPr>
        <a:xfrm flipV="1">
          <a:off x="3276600" y="6908800"/>
          <a:ext cx="1073150" cy="337185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37</xdr:row>
      <xdr:rowOff>31750</xdr:rowOff>
    </xdr:from>
    <xdr:to>
      <xdr:col>5</xdr:col>
      <xdr:colOff>3279902</xdr:colOff>
      <xdr:row>42</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twoCellAnchor>
    <xdr:from>
      <xdr:col>6</xdr:col>
      <xdr:colOff>387350</xdr:colOff>
      <xdr:row>5</xdr:row>
      <xdr:rowOff>203200</xdr:rowOff>
    </xdr:from>
    <xdr:to>
      <xdr:col>9</xdr:col>
      <xdr:colOff>622300</xdr:colOff>
      <xdr:row>8</xdr:row>
      <xdr:rowOff>342900</xdr:rowOff>
    </xdr:to>
    <xdr:sp macro="" textlink="">
      <xdr:nvSpPr>
        <xdr:cNvPr id="8" name="TextBox 7"/>
        <xdr:cNvSpPr txBox="1"/>
      </xdr:nvSpPr>
      <xdr:spPr>
        <a:xfrm>
          <a:off x="10807700" y="1250950"/>
          <a:ext cx="3311525" cy="920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Total</a:t>
          </a:r>
          <a:r>
            <a:rPr lang="en-US" sz="1600" baseline="0"/>
            <a:t> SIA Allocation = (District Allocation) + (District Sponsored Charter Allocation)</a:t>
          </a:r>
        </a:p>
        <a:p>
          <a:r>
            <a:rPr lang="en-US" sz="1100" baseline="0"/>
            <a:t> </a:t>
          </a: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regon.gov/ode/StudentSuccess/Documents/SIAsupportingqualityimplementation.pdf" TargetMode="External"/><Relationship Id="rId1" Type="http://schemas.openxmlformats.org/officeDocument/2006/relationships/hyperlink" Target="https://www.oregon.gov/ode/StudentSuccess/Documents/SIAsupportingqualityimplementation.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tabSelected="1" topLeftCell="F2" zoomScale="112" zoomScaleNormal="112" workbookViewId="0">
      <selection activeCell="F2" sqref="F2"/>
    </sheetView>
  </sheetViews>
  <sheetFormatPr defaultColWidth="10.625" defaultRowHeight="15.75" x14ac:dyDescent="0.25"/>
  <cols>
    <col min="1" max="1" width="5.875" customWidth="1"/>
    <col min="3" max="3" width="20.125" customWidth="1"/>
    <col min="4" max="4" width="18.125" customWidth="1"/>
    <col min="5" max="5" width="38.625" customWidth="1"/>
    <col min="6" max="6" width="43.375" customWidth="1"/>
    <col min="9" max="9" width="19.125" customWidth="1"/>
  </cols>
  <sheetData>
    <row r="1" spans="1:14" ht="16.5" thickBot="1" x14ac:dyDescent="0.3">
      <c r="A1" s="10"/>
      <c r="B1" s="10"/>
      <c r="C1" s="10"/>
      <c r="D1" s="10"/>
      <c r="E1" s="10"/>
      <c r="F1" s="10"/>
      <c r="G1" s="10"/>
      <c r="H1" s="10"/>
      <c r="I1" s="10"/>
      <c r="J1" s="10"/>
      <c r="K1" s="10"/>
      <c r="L1" s="10"/>
      <c r="M1" s="10"/>
      <c r="N1" s="10"/>
    </row>
    <row r="2" spans="1:14" ht="29.1" customHeight="1" thickBot="1" x14ac:dyDescent="0.3">
      <c r="A2" s="10"/>
      <c r="B2" s="20"/>
      <c r="C2" s="21"/>
      <c r="D2" s="21"/>
      <c r="E2" s="20" t="s">
        <v>231</v>
      </c>
      <c r="F2" s="19" t="s">
        <v>409</v>
      </c>
      <c r="G2" s="10"/>
      <c r="H2" s="10"/>
      <c r="I2" s="10"/>
      <c r="J2" s="10"/>
      <c r="K2" s="10"/>
      <c r="L2" s="10"/>
      <c r="M2" s="10"/>
      <c r="N2" s="10"/>
    </row>
    <row r="3" spans="1:14" ht="5.0999999999999996" customHeight="1" x14ac:dyDescent="0.25">
      <c r="A3" s="10"/>
      <c r="B3" s="176"/>
      <c r="C3" s="176"/>
      <c r="D3" s="176"/>
      <c r="E3" s="176"/>
      <c r="F3" s="177"/>
      <c r="G3" s="10"/>
      <c r="H3" s="10"/>
      <c r="I3" s="10"/>
      <c r="J3" s="10"/>
      <c r="K3" s="10"/>
      <c r="L3" s="10"/>
      <c r="M3" s="10"/>
      <c r="N3" s="10"/>
    </row>
    <row r="4" spans="1:14" ht="29.1" customHeight="1" x14ac:dyDescent="0.25">
      <c r="A4" s="10"/>
      <c r="C4" s="176"/>
      <c r="D4" s="176" t="s">
        <v>381</v>
      </c>
      <c r="E4" s="178" t="s">
        <v>380</v>
      </c>
      <c r="F4" s="182" t="s">
        <v>379</v>
      </c>
      <c r="G4" s="10"/>
      <c r="H4" s="10"/>
      <c r="I4" s="10"/>
      <c r="J4" s="10"/>
      <c r="K4" s="10"/>
      <c r="L4" s="10"/>
      <c r="M4" s="10"/>
      <c r="N4" s="10"/>
    </row>
    <row r="5" spans="1:14" ht="5.0999999999999996" customHeight="1" thickBot="1" x14ac:dyDescent="0.4">
      <c r="A5" s="10"/>
      <c r="B5" s="12"/>
      <c r="C5" s="12"/>
      <c r="D5" s="12"/>
      <c r="E5" s="12"/>
      <c r="F5" s="10"/>
      <c r="G5" s="10"/>
      <c r="H5" s="10"/>
      <c r="I5" s="10"/>
      <c r="J5" s="10"/>
      <c r="K5" s="10"/>
      <c r="L5" s="10"/>
      <c r="M5" s="10"/>
      <c r="N5" s="10"/>
    </row>
    <row r="6" spans="1:14" ht="29.1" customHeight="1" x14ac:dyDescent="0.35">
      <c r="A6" s="10"/>
      <c r="B6" s="170" t="s">
        <v>383</v>
      </c>
      <c r="C6" s="154"/>
      <c r="D6" s="174"/>
      <c r="E6" s="179" t="str">
        <f>VLOOKUP(F2,Y1Wrksht!B1:G289,2,0)</f>
        <v>Total Allocation</v>
      </c>
      <c r="F6" s="183" t="str">
        <f>VLOOKUP(F2,Y2Wrksht!B1:H289,2,0)</f>
        <v>Total Allocation</v>
      </c>
      <c r="G6" s="10"/>
      <c r="H6" s="10"/>
      <c r="I6" s="10"/>
      <c r="J6" s="10"/>
      <c r="K6" s="10"/>
      <c r="L6" s="10"/>
      <c r="M6" s="10"/>
      <c r="N6" s="10"/>
    </row>
    <row r="7" spans="1:14" ht="29.1" customHeight="1" x14ac:dyDescent="0.35">
      <c r="A7" s="10"/>
      <c r="B7" s="171" t="s">
        <v>343</v>
      </c>
      <c r="C7" s="157"/>
      <c r="D7" s="173"/>
      <c r="E7" s="180" t="str">
        <f>VLOOKUP(F2,Y1Wrksht!B1:G289,4,0)</f>
        <v>Maximum Administrative Costs</v>
      </c>
      <c r="F7" s="184" t="str">
        <f>VLOOKUP(F2,Y2Wrksht!B1:H289,4,0)</f>
        <v>Maximum Administrative Costs</v>
      </c>
      <c r="G7" s="10"/>
      <c r="H7" s="10"/>
      <c r="I7" s="10"/>
      <c r="J7" s="10"/>
      <c r="K7" s="10"/>
      <c r="L7" s="10"/>
      <c r="M7" s="10"/>
      <c r="N7" s="10"/>
    </row>
    <row r="8" spans="1:14" ht="5.0999999999999996" customHeight="1" x14ac:dyDescent="0.35">
      <c r="A8" s="10"/>
      <c r="B8" s="171"/>
      <c r="C8" s="157"/>
      <c r="D8" s="173"/>
      <c r="E8" s="180"/>
      <c r="F8" s="184"/>
      <c r="G8" s="10"/>
      <c r="H8" s="10"/>
      <c r="I8" s="10"/>
      <c r="J8" s="10"/>
      <c r="K8" s="10"/>
      <c r="L8" s="10"/>
      <c r="M8" s="10"/>
      <c r="N8" s="10"/>
    </row>
    <row r="9" spans="1:14" ht="29.1" customHeight="1" thickBot="1" x14ac:dyDescent="0.4">
      <c r="A9" s="10"/>
      <c r="B9" s="172" t="s">
        <v>378</v>
      </c>
      <c r="C9" s="161"/>
      <c r="D9" s="175"/>
      <c r="E9" s="181" t="str">
        <f>VLOOKUP(F2,Y1Wrksht!B1:G289,6,0)</f>
        <v>Charter calculation</v>
      </c>
      <c r="F9" s="185" t="str">
        <f>VLOOKUP(F2,Y2Wrksht!B1:H289,6,0)</f>
        <v>Charter Calculation</v>
      </c>
      <c r="G9" s="10"/>
      <c r="H9" s="10"/>
      <c r="I9" s="10"/>
      <c r="J9" s="10"/>
      <c r="K9" s="10"/>
      <c r="L9" s="10"/>
      <c r="M9" s="10"/>
      <c r="N9" s="10"/>
    </row>
    <row r="10" spans="1:14" ht="29.1" customHeight="1" thickBot="1" x14ac:dyDescent="0.4">
      <c r="A10" s="10"/>
      <c r="B10" s="12"/>
      <c r="C10" s="12"/>
      <c r="D10" s="12"/>
      <c r="E10" s="12"/>
      <c r="F10" s="10"/>
      <c r="G10" s="10"/>
      <c r="H10" s="10"/>
      <c r="I10" s="10"/>
      <c r="J10" s="10"/>
      <c r="K10" s="10"/>
      <c r="L10" s="10"/>
      <c r="M10" s="10"/>
      <c r="N10" s="10"/>
    </row>
    <row r="11" spans="1:14" ht="24.95" customHeight="1" thickBot="1" x14ac:dyDescent="0.4">
      <c r="A11" s="10"/>
      <c r="B11" s="224" t="s">
        <v>230</v>
      </c>
      <c r="C11" s="225"/>
      <c r="D11" s="225"/>
      <c r="E11" s="225"/>
      <c r="F11" s="226"/>
      <c r="G11" s="10"/>
      <c r="H11" s="10"/>
      <c r="I11" s="10"/>
      <c r="J11" s="10"/>
      <c r="K11" s="10"/>
      <c r="L11" s="10"/>
      <c r="M11" s="10"/>
      <c r="N11" s="10"/>
    </row>
    <row r="12" spans="1:14" ht="29.1" customHeight="1" x14ac:dyDescent="0.35">
      <c r="A12" s="10"/>
      <c r="B12" s="22" t="s">
        <v>29</v>
      </c>
      <c r="C12" s="229"/>
      <c r="D12" s="229"/>
      <c r="E12" s="229"/>
      <c r="F12" s="230"/>
      <c r="G12" s="10"/>
      <c r="H12" s="10"/>
      <c r="I12" s="10"/>
      <c r="J12" s="10"/>
      <c r="K12" s="10"/>
      <c r="L12" s="10"/>
      <c r="M12" s="10"/>
      <c r="N12" s="10"/>
    </row>
    <row r="13" spans="1:14" ht="29.1" customHeight="1" x14ac:dyDescent="0.35">
      <c r="A13" s="10"/>
      <c r="B13" s="23" t="s">
        <v>30</v>
      </c>
      <c r="C13" s="227"/>
      <c r="D13" s="227"/>
      <c r="E13" s="227"/>
      <c r="F13" s="228"/>
      <c r="G13" s="10"/>
      <c r="H13" s="10"/>
      <c r="I13" s="10"/>
      <c r="J13" s="10"/>
      <c r="K13" s="10"/>
      <c r="L13" s="10"/>
      <c r="M13" s="10"/>
      <c r="N13" s="10"/>
    </row>
    <row r="14" spans="1:14" ht="29.1" customHeight="1" thickBot="1" x14ac:dyDescent="0.4">
      <c r="A14" s="10"/>
      <c r="B14" s="24" t="s">
        <v>31</v>
      </c>
      <c r="C14" s="231"/>
      <c r="D14" s="231"/>
      <c r="E14" s="231"/>
      <c r="F14" s="232"/>
      <c r="G14" s="10"/>
      <c r="H14" s="10"/>
      <c r="I14" s="10"/>
      <c r="J14" s="10"/>
      <c r="K14" s="10"/>
      <c r="L14" s="10"/>
      <c r="M14" s="10"/>
      <c r="N14" s="10"/>
    </row>
    <row r="15" spans="1:14" ht="16.5" thickBot="1" x14ac:dyDescent="0.3">
      <c r="A15" s="10"/>
      <c r="B15" s="10"/>
      <c r="C15" s="10"/>
      <c r="D15" s="10"/>
      <c r="E15" s="10"/>
      <c r="F15" s="10"/>
      <c r="G15" s="10"/>
      <c r="H15" s="10"/>
      <c r="I15" s="10"/>
      <c r="J15" s="10"/>
      <c r="K15" s="10"/>
      <c r="L15" s="10"/>
      <c r="M15" s="10"/>
      <c r="N15" s="10"/>
    </row>
    <row r="16" spans="1:14" ht="18.75" x14ac:dyDescent="0.3">
      <c r="A16" s="10"/>
      <c r="B16" s="153" t="s">
        <v>368</v>
      </c>
      <c r="C16" s="154"/>
      <c r="D16" s="154"/>
      <c r="E16" s="154"/>
      <c r="F16" s="155"/>
      <c r="G16" s="10"/>
      <c r="H16" s="10"/>
      <c r="I16" s="10"/>
      <c r="J16" s="10"/>
      <c r="K16" s="10"/>
      <c r="L16" s="10"/>
      <c r="M16" s="10"/>
      <c r="N16" s="10"/>
    </row>
    <row r="17" spans="1:14" x14ac:dyDescent="0.25">
      <c r="A17" s="10"/>
      <c r="B17" s="156"/>
      <c r="C17" s="223" t="s">
        <v>503</v>
      </c>
      <c r="D17" s="157"/>
      <c r="E17" s="157"/>
      <c r="F17" s="158"/>
      <c r="G17" s="10"/>
      <c r="H17" s="10"/>
      <c r="I17" s="10"/>
      <c r="J17" s="10"/>
      <c r="K17" s="10"/>
      <c r="L17" s="10"/>
      <c r="M17" s="10"/>
      <c r="N17" s="10"/>
    </row>
    <row r="18" spans="1:14" x14ac:dyDescent="0.25">
      <c r="A18" s="10"/>
      <c r="B18" s="156"/>
      <c r="C18" s="223" t="s">
        <v>369</v>
      </c>
      <c r="D18" s="157"/>
      <c r="E18" s="157"/>
      <c r="F18" s="158"/>
      <c r="G18" s="10"/>
      <c r="H18" s="10"/>
      <c r="I18" s="10"/>
      <c r="J18" s="10"/>
      <c r="K18" s="10"/>
      <c r="L18" s="10"/>
      <c r="M18" s="10"/>
      <c r="N18" s="10"/>
    </row>
    <row r="19" spans="1:14" ht="16.5" thickBot="1" x14ac:dyDescent="0.3">
      <c r="A19" s="10"/>
      <c r="B19" s="159"/>
      <c r="C19" s="160"/>
      <c r="D19" s="161"/>
      <c r="E19" s="161"/>
      <c r="F19" s="162"/>
      <c r="G19" s="10"/>
      <c r="H19" s="10"/>
      <c r="I19" s="10"/>
      <c r="J19" s="10"/>
      <c r="K19" s="10"/>
      <c r="L19" s="10"/>
      <c r="M19" s="10"/>
      <c r="N19" s="10"/>
    </row>
    <row r="20" spans="1:14" x14ac:dyDescent="0.25">
      <c r="A20" s="10"/>
      <c r="B20" s="10"/>
      <c r="C20" s="10"/>
      <c r="D20" s="10"/>
      <c r="E20" s="10"/>
      <c r="F20" s="10"/>
      <c r="G20" s="10"/>
      <c r="H20" s="10"/>
      <c r="I20" s="10"/>
      <c r="J20" s="10"/>
      <c r="K20" s="10"/>
      <c r="L20" s="10"/>
      <c r="M20" s="10"/>
      <c r="N20" s="10"/>
    </row>
    <row r="21" spans="1:14" x14ac:dyDescent="0.25">
      <c r="A21" s="10"/>
      <c r="B21" s="10"/>
      <c r="C21" s="10"/>
      <c r="D21" s="10"/>
      <c r="E21" s="10"/>
      <c r="F21" s="10"/>
      <c r="G21" s="10"/>
      <c r="H21" s="10"/>
      <c r="I21" s="10"/>
      <c r="J21" s="10"/>
      <c r="K21" s="10"/>
      <c r="L21" s="10"/>
      <c r="M21" s="10"/>
      <c r="N21" s="10"/>
    </row>
    <row r="22" spans="1:14" ht="18.75" x14ac:dyDescent="0.3">
      <c r="A22" s="10"/>
      <c r="B22" s="10"/>
      <c r="C22" s="163" t="s">
        <v>370</v>
      </c>
      <c r="D22" s="10"/>
      <c r="E22" s="10"/>
      <c r="F22" s="10"/>
      <c r="G22" s="10"/>
      <c r="H22" s="10"/>
      <c r="I22" s="10"/>
      <c r="J22" s="10"/>
      <c r="K22" s="10"/>
      <c r="L22" s="10"/>
      <c r="M22" s="10"/>
      <c r="N22" s="10"/>
    </row>
    <row r="23" spans="1:14" x14ac:dyDescent="0.25">
      <c r="A23" s="10"/>
      <c r="B23" s="10"/>
      <c r="C23" s="10"/>
      <c r="D23" s="10"/>
      <c r="E23" s="10"/>
      <c r="F23" s="10"/>
      <c r="G23" s="10"/>
      <c r="H23" s="10"/>
      <c r="I23" s="10"/>
      <c r="J23" s="10"/>
      <c r="K23" s="10"/>
      <c r="L23" s="10"/>
      <c r="M23" s="10"/>
      <c r="N23" s="10"/>
    </row>
    <row r="24" spans="1:14" ht="18.75" x14ac:dyDescent="0.3">
      <c r="A24" s="10"/>
      <c r="B24" s="10"/>
      <c r="C24" s="10"/>
      <c r="D24" s="163" t="s">
        <v>372</v>
      </c>
      <c r="E24" s="10"/>
      <c r="F24" s="10"/>
      <c r="G24" s="10"/>
      <c r="H24" s="10"/>
      <c r="I24" s="10"/>
      <c r="J24" s="10"/>
      <c r="K24" s="10"/>
      <c r="L24" s="10"/>
      <c r="M24" s="10"/>
      <c r="N24" s="10"/>
    </row>
    <row r="25" spans="1:14" x14ac:dyDescent="0.25">
      <c r="A25" s="10"/>
      <c r="B25" s="10"/>
      <c r="C25" s="10"/>
      <c r="D25" s="10"/>
      <c r="E25" s="10"/>
      <c r="F25" s="10"/>
      <c r="G25" s="10"/>
      <c r="H25" s="10"/>
      <c r="I25" s="10"/>
      <c r="J25" s="10"/>
      <c r="K25" s="10"/>
      <c r="L25" s="10"/>
      <c r="M25" s="10"/>
      <c r="N25" s="10"/>
    </row>
    <row r="26" spans="1:14" ht="18.75" x14ac:dyDescent="0.3">
      <c r="A26" s="10"/>
      <c r="B26" s="10"/>
      <c r="C26" s="10"/>
      <c r="D26" s="10"/>
      <c r="E26" s="163" t="s">
        <v>371</v>
      </c>
      <c r="F26" s="10"/>
      <c r="G26" s="10"/>
      <c r="H26" s="10"/>
      <c r="I26" s="10"/>
      <c r="J26" s="10"/>
      <c r="K26" s="10"/>
      <c r="L26" s="10"/>
      <c r="M26" s="10"/>
      <c r="N26" s="10"/>
    </row>
    <row r="27" spans="1:14" x14ac:dyDescent="0.25">
      <c r="A27" s="10"/>
      <c r="B27" s="10"/>
      <c r="C27" s="10"/>
      <c r="D27" s="10"/>
      <c r="E27" s="10"/>
      <c r="F27" s="10"/>
      <c r="G27" s="10"/>
      <c r="H27" s="10"/>
      <c r="I27" s="10"/>
      <c r="J27" s="10"/>
      <c r="K27" s="10"/>
      <c r="L27" s="10"/>
      <c r="M27" s="10"/>
      <c r="N27" s="10"/>
    </row>
    <row r="28" spans="1:14" x14ac:dyDescent="0.25">
      <c r="A28" s="10"/>
      <c r="B28" s="10"/>
      <c r="C28" s="10"/>
      <c r="D28" s="10"/>
      <c r="E28" s="10"/>
      <c r="F28" s="10"/>
      <c r="G28" s="10"/>
      <c r="H28" s="10"/>
      <c r="I28" s="10"/>
      <c r="J28" s="10"/>
      <c r="K28" s="10"/>
      <c r="L28" s="10"/>
      <c r="M28" s="10"/>
      <c r="N28" s="10"/>
    </row>
    <row r="29" spans="1:14" x14ac:dyDescent="0.25">
      <c r="A29" s="10"/>
      <c r="B29" s="10"/>
      <c r="C29" s="10"/>
      <c r="D29" s="10"/>
      <c r="E29" s="10"/>
      <c r="F29" s="10"/>
      <c r="G29" s="10"/>
      <c r="H29" s="10"/>
      <c r="I29" s="10"/>
      <c r="J29" s="10"/>
      <c r="K29" s="10"/>
      <c r="L29" s="10"/>
      <c r="M29" s="10"/>
      <c r="N29" s="10"/>
    </row>
    <row r="30" spans="1:14" x14ac:dyDescent="0.25">
      <c r="A30" s="10"/>
      <c r="B30" s="10"/>
      <c r="C30" s="10"/>
      <c r="D30" s="10"/>
      <c r="E30" s="10"/>
      <c r="F30" s="10"/>
      <c r="G30" s="10"/>
      <c r="H30" s="10"/>
      <c r="I30" s="10"/>
      <c r="J30" s="10"/>
      <c r="K30" s="10"/>
      <c r="L30" s="10"/>
      <c r="M30" s="10"/>
      <c r="N30" s="10"/>
    </row>
    <row r="31" spans="1:14" x14ac:dyDescent="0.25">
      <c r="A31" s="10"/>
      <c r="B31" s="10"/>
      <c r="C31" s="10"/>
      <c r="D31" s="10"/>
      <c r="E31" s="10"/>
      <c r="F31" s="10"/>
      <c r="G31" s="10"/>
      <c r="H31" s="10"/>
      <c r="I31" s="10"/>
      <c r="J31" s="10"/>
      <c r="K31" s="10"/>
      <c r="L31" s="10"/>
      <c r="M31" s="10"/>
      <c r="N31" s="10"/>
    </row>
    <row r="32" spans="1:14" x14ac:dyDescent="0.25">
      <c r="A32" s="10"/>
      <c r="B32" s="10"/>
      <c r="C32" s="10"/>
      <c r="D32" s="10"/>
      <c r="E32" s="10"/>
      <c r="F32" s="10"/>
      <c r="G32" s="10"/>
      <c r="H32" s="10"/>
      <c r="I32" s="10"/>
      <c r="J32" s="10"/>
      <c r="K32" s="10"/>
      <c r="L32" s="10"/>
      <c r="M32" s="10"/>
      <c r="N32" s="10"/>
    </row>
    <row r="33" spans="1:14" x14ac:dyDescent="0.25">
      <c r="A33" s="10"/>
      <c r="B33" s="10"/>
      <c r="C33" s="10"/>
      <c r="D33" s="10"/>
      <c r="E33" s="10"/>
      <c r="F33" s="10"/>
      <c r="G33" s="10"/>
      <c r="H33" s="10"/>
      <c r="I33" s="10"/>
      <c r="J33" s="10"/>
      <c r="K33" s="10"/>
      <c r="L33" s="10"/>
      <c r="M33" s="10"/>
      <c r="N33" s="10"/>
    </row>
    <row r="34" spans="1:14" x14ac:dyDescent="0.25">
      <c r="A34" s="10"/>
      <c r="B34" s="10"/>
      <c r="C34" s="10"/>
      <c r="D34" s="10"/>
      <c r="E34" s="10"/>
      <c r="F34" s="10"/>
      <c r="G34" s="10"/>
      <c r="H34" s="10"/>
      <c r="I34" s="10"/>
      <c r="J34" s="10"/>
      <c r="K34" s="10"/>
      <c r="L34" s="10"/>
      <c r="M34" s="10"/>
      <c r="N34" s="10"/>
    </row>
    <row r="35" spans="1:14" x14ac:dyDescent="0.25">
      <c r="A35" s="10"/>
      <c r="B35" s="10"/>
      <c r="C35" s="10"/>
      <c r="D35" s="10"/>
      <c r="E35" s="10"/>
      <c r="F35" s="10"/>
      <c r="G35" s="10"/>
      <c r="H35" s="10"/>
      <c r="I35" s="10"/>
      <c r="J35" s="10"/>
      <c r="K35" s="10"/>
      <c r="L35" s="10"/>
      <c r="M35" s="10"/>
      <c r="N35" s="10"/>
    </row>
    <row r="36" spans="1:14" x14ac:dyDescent="0.25">
      <c r="A36" s="10"/>
      <c r="B36" s="10"/>
      <c r="C36" s="10"/>
      <c r="D36" s="10"/>
      <c r="E36" s="10"/>
      <c r="F36" s="10"/>
      <c r="G36" s="10"/>
      <c r="H36" s="10"/>
      <c r="I36" s="10"/>
      <c r="J36" s="10"/>
      <c r="K36" s="10"/>
      <c r="L36" s="10"/>
      <c r="M36" s="10"/>
      <c r="N36" s="10"/>
    </row>
    <row r="37" spans="1:14" x14ac:dyDescent="0.25">
      <c r="A37" s="10"/>
      <c r="B37" s="10"/>
      <c r="C37" s="10"/>
      <c r="D37" s="10"/>
      <c r="E37" s="10"/>
      <c r="F37" s="10"/>
      <c r="G37" s="10"/>
      <c r="H37" s="10"/>
      <c r="I37" s="10"/>
      <c r="J37" s="10"/>
      <c r="K37" s="10"/>
      <c r="L37" s="10"/>
      <c r="M37" s="10"/>
      <c r="N37" s="10"/>
    </row>
    <row r="38" spans="1:14" x14ac:dyDescent="0.25">
      <c r="A38" s="10"/>
      <c r="B38" s="10"/>
      <c r="C38" s="10"/>
      <c r="D38" s="10"/>
      <c r="E38" s="10"/>
      <c r="F38" s="10"/>
      <c r="G38" s="10"/>
      <c r="H38" s="10"/>
      <c r="I38" s="10"/>
      <c r="J38" s="10"/>
      <c r="K38" s="10"/>
      <c r="L38" s="10"/>
      <c r="M38" s="10"/>
      <c r="N38" s="10"/>
    </row>
    <row r="39" spans="1:14" x14ac:dyDescent="0.25">
      <c r="A39" s="10"/>
      <c r="B39" s="10"/>
      <c r="C39" s="10"/>
      <c r="D39" s="10"/>
      <c r="E39" s="10"/>
      <c r="F39" s="10"/>
      <c r="G39" s="10"/>
      <c r="H39" s="10"/>
      <c r="I39" s="10"/>
      <c r="J39" s="10"/>
      <c r="K39" s="10"/>
      <c r="L39" s="10"/>
      <c r="M39" s="10"/>
      <c r="N39" s="10"/>
    </row>
    <row r="40" spans="1:14" x14ac:dyDescent="0.25">
      <c r="A40" s="10"/>
      <c r="B40" s="10"/>
      <c r="C40" s="10"/>
      <c r="D40" s="10"/>
      <c r="E40" s="10"/>
      <c r="F40" s="10"/>
      <c r="G40" s="10"/>
      <c r="H40" s="10"/>
      <c r="I40" s="10"/>
      <c r="J40" s="10"/>
      <c r="K40" s="10"/>
      <c r="L40" s="10"/>
      <c r="M40" s="10"/>
      <c r="N40" s="10"/>
    </row>
    <row r="41" spans="1:14" x14ac:dyDescent="0.25">
      <c r="A41" s="10"/>
      <c r="B41" s="10"/>
      <c r="C41" s="10"/>
      <c r="D41" s="10"/>
      <c r="E41" s="10"/>
      <c r="F41" s="10"/>
      <c r="G41" s="10"/>
      <c r="H41" s="10"/>
      <c r="I41" s="10"/>
      <c r="J41" s="10"/>
      <c r="K41" s="10"/>
      <c r="L41" s="10"/>
      <c r="M41" s="10"/>
      <c r="N41" s="10"/>
    </row>
    <row r="42" spans="1:14" x14ac:dyDescent="0.25">
      <c r="A42" s="10"/>
      <c r="B42" s="10"/>
      <c r="C42" s="10"/>
      <c r="D42" s="10"/>
      <c r="E42" s="10"/>
      <c r="F42" s="10"/>
      <c r="G42" s="10"/>
      <c r="H42" s="10"/>
      <c r="I42" s="10"/>
      <c r="J42" s="10"/>
      <c r="K42" s="10"/>
      <c r="L42" s="10"/>
      <c r="M42" s="10"/>
      <c r="N42" s="10"/>
    </row>
    <row r="43" spans="1:14" x14ac:dyDescent="0.25">
      <c r="A43" s="10"/>
      <c r="B43" s="10"/>
      <c r="C43" s="10"/>
      <c r="D43" s="10"/>
      <c r="E43" s="10"/>
      <c r="F43" s="10"/>
      <c r="G43" s="10"/>
      <c r="H43" s="10"/>
      <c r="I43" s="10"/>
      <c r="J43" s="10"/>
      <c r="K43" s="10"/>
      <c r="L43" s="10"/>
      <c r="M43" s="10"/>
      <c r="N43" s="10"/>
    </row>
    <row r="44" spans="1:14" x14ac:dyDescent="0.25">
      <c r="A44" s="10"/>
      <c r="B44" s="10"/>
      <c r="C44" s="10"/>
      <c r="D44" s="10"/>
      <c r="E44" s="10"/>
      <c r="F44" s="10"/>
      <c r="H44" s="164" t="s">
        <v>375</v>
      </c>
      <c r="I44" s="10"/>
      <c r="J44" s="10"/>
      <c r="K44" s="10"/>
      <c r="L44" s="10"/>
      <c r="M44" s="10"/>
      <c r="N44" s="10"/>
    </row>
    <row r="45" spans="1:14" x14ac:dyDescent="0.25">
      <c r="A45" s="10"/>
      <c r="B45" s="10"/>
      <c r="C45" s="10"/>
      <c r="D45" s="10"/>
      <c r="E45" s="10"/>
      <c r="F45" s="10"/>
      <c r="G45" s="10"/>
      <c r="H45" s="10"/>
      <c r="I45" s="10"/>
      <c r="J45" s="10"/>
      <c r="K45" s="10"/>
      <c r="L45" s="10"/>
      <c r="M45" s="10"/>
      <c r="N45" s="10"/>
    </row>
    <row r="46" spans="1:14" x14ac:dyDescent="0.25">
      <c r="A46" s="10"/>
      <c r="B46" s="10"/>
      <c r="C46" s="10"/>
      <c r="D46" s="10"/>
      <c r="E46" s="10"/>
      <c r="F46" s="10"/>
      <c r="G46" s="10"/>
      <c r="H46" s="10"/>
      <c r="I46" s="10"/>
      <c r="J46" s="10"/>
      <c r="K46" s="10"/>
      <c r="L46" s="10"/>
      <c r="M46" s="10"/>
      <c r="N46" s="10"/>
    </row>
    <row r="47" spans="1:14" x14ac:dyDescent="0.25">
      <c r="A47" s="10"/>
      <c r="B47" s="10"/>
      <c r="C47" s="10"/>
      <c r="D47" s="10"/>
      <c r="E47" s="10"/>
      <c r="F47" s="10"/>
      <c r="G47" s="10"/>
      <c r="H47" s="10"/>
      <c r="I47" s="10"/>
      <c r="J47" s="10"/>
      <c r="K47" s="10"/>
      <c r="L47" s="10"/>
      <c r="M47" s="10"/>
      <c r="N47" s="10"/>
    </row>
    <row r="48" spans="1:14" x14ac:dyDescent="0.25">
      <c r="I48" s="10"/>
      <c r="J48" s="10"/>
      <c r="K48" s="10"/>
      <c r="L48" s="10"/>
      <c r="M48" s="10"/>
      <c r="N48" s="10"/>
    </row>
  </sheetData>
  <mergeCells count="4">
    <mergeCell ref="B11:F11"/>
    <mergeCell ref="C13:F13"/>
    <mergeCell ref="C12:F12"/>
    <mergeCell ref="C14:F14"/>
  </mergeCells>
  <hyperlinks>
    <hyperlink ref="C17" r:id="rId1"/>
    <hyperlink ref="C18" r:id="rId2"/>
  </hyperlinks>
  <pageMargins left="0.75" right="0.75" top="1" bottom="1" header="0.5" footer="0.5"/>
  <pageSetup orientation="portrait" horizontalDpi="4294967292" verticalDpi="4294967292" r:id="rId3"/>
  <drawing r:id="rId4"/>
  <extLst>
    <ext xmlns:x14="http://schemas.microsoft.com/office/spreadsheetml/2009/9/main" uri="{CCE6A557-97BC-4b89-ADB6-D9C93CAAB3DF}">
      <x14:dataValidations xmlns:xm="http://schemas.microsoft.com/office/excel/2006/main" count="3">
        <x14:dataValidation type="list" showInputMessage="1" showErrorMessage="1">
          <x14:formula1>
            <xm:f>Y1Wrksht!$B$1:$B$216</xm:f>
          </x14:formula1>
          <xm:sqref>F3</xm:sqref>
        </x14:dataValidation>
        <x14:dataValidation type="list" allowBlank="1" showInputMessage="1" showErrorMessage="1">
          <x14:formula1>
            <xm:f>Y1Wrksht!$B$1:$B$216</xm:f>
          </x14:formula1>
          <xm:sqref>E6</xm:sqref>
        </x14:dataValidation>
        <x14:dataValidation type="list" showInputMessage="1" showErrorMessage="1">
          <x14:formula1>
            <xm:f>Y1Wrksht!$B$1:$B$289</xm:f>
          </x14:formula1>
          <xm:sqref>F2</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8"/>
  <sheetViews>
    <sheetView topLeftCell="A28" workbookViewId="0">
      <selection activeCell="C55" sqref="C55"/>
    </sheetView>
  </sheetViews>
  <sheetFormatPr defaultColWidth="8.875" defaultRowHeight="15.75" x14ac:dyDescent="0.25"/>
  <cols>
    <col min="3" max="3" width="207.375" style="201" customWidth="1"/>
    <col min="26" max="26" width="8.875" style="204"/>
  </cols>
  <sheetData>
    <row r="1" spans="1:26" x14ac:dyDescent="0.25">
      <c r="A1" s="10"/>
      <c r="B1" s="10"/>
      <c r="C1" s="197"/>
      <c r="D1" s="10"/>
      <c r="E1" s="10"/>
      <c r="F1" s="10"/>
      <c r="G1" s="10"/>
      <c r="H1" s="10"/>
      <c r="I1" s="10"/>
      <c r="J1" s="10"/>
      <c r="K1" s="10"/>
      <c r="L1" s="10"/>
      <c r="M1" s="10"/>
      <c r="N1" s="10"/>
      <c r="O1" s="10"/>
      <c r="P1" s="10"/>
      <c r="Q1" s="10"/>
      <c r="R1" s="10"/>
      <c r="S1" s="10"/>
      <c r="T1" s="10"/>
      <c r="U1" s="10"/>
      <c r="V1" s="10"/>
      <c r="W1" s="10"/>
      <c r="X1" s="10"/>
      <c r="Y1" s="10"/>
      <c r="Z1" s="202"/>
    </row>
    <row r="2" spans="1:26" x14ac:dyDescent="0.25">
      <c r="A2" s="10"/>
      <c r="B2" s="10"/>
      <c r="C2" s="197"/>
      <c r="D2" s="10"/>
      <c r="E2" s="10"/>
      <c r="F2" s="10"/>
      <c r="G2" s="10"/>
      <c r="H2" s="10"/>
      <c r="I2" s="10"/>
      <c r="J2" s="10"/>
      <c r="K2" s="10"/>
      <c r="L2" s="10"/>
      <c r="M2" s="10"/>
      <c r="N2" s="10"/>
      <c r="O2" s="10"/>
      <c r="P2" s="10"/>
      <c r="Q2" s="10"/>
      <c r="R2" s="10"/>
      <c r="S2" s="10"/>
      <c r="T2" s="10"/>
      <c r="U2" s="10"/>
      <c r="V2" s="10"/>
      <c r="W2" s="10"/>
      <c r="X2" s="10"/>
      <c r="Y2" s="10"/>
      <c r="Z2" s="202"/>
    </row>
    <row r="3" spans="1:26" s="198" customFormat="1" x14ac:dyDescent="0.25">
      <c r="A3" s="195"/>
      <c r="B3" s="195" t="s">
        <v>366</v>
      </c>
      <c r="C3" s="200"/>
      <c r="D3" s="195"/>
      <c r="E3" s="195"/>
      <c r="F3" s="195"/>
      <c r="G3" s="195"/>
      <c r="H3" s="195"/>
      <c r="I3" s="195"/>
      <c r="J3" s="195"/>
      <c r="K3" s="195"/>
      <c r="L3" s="195"/>
      <c r="M3" s="195"/>
      <c r="N3" s="195"/>
      <c r="O3" s="195"/>
      <c r="P3" s="195"/>
      <c r="Q3" s="195"/>
      <c r="R3" s="195"/>
      <c r="S3" s="195"/>
      <c r="T3" s="195"/>
      <c r="U3" s="195"/>
      <c r="V3" s="195"/>
      <c r="W3" s="195"/>
      <c r="X3" s="195"/>
      <c r="Y3" s="195"/>
      <c r="Z3" s="203"/>
    </row>
    <row r="4" spans="1:26" x14ac:dyDescent="0.25">
      <c r="A4" s="10"/>
      <c r="B4" s="10"/>
      <c r="C4" s="197"/>
      <c r="D4" s="10"/>
      <c r="E4" s="10"/>
      <c r="F4" s="10"/>
      <c r="G4" s="10"/>
      <c r="H4" s="10"/>
      <c r="I4" s="10"/>
      <c r="J4" s="10"/>
      <c r="K4" s="10"/>
      <c r="L4" s="10"/>
      <c r="M4" s="10"/>
      <c r="N4" s="10"/>
      <c r="O4" s="10"/>
      <c r="P4" s="10"/>
      <c r="Q4" s="10"/>
      <c r="R4" s="10"/>
      <c r="S4" s="10"/>
      <c r="T4" s="10"/>
      <c r="U4" s="10"/>
      <c r="V4" s="10"/>
      <c r="W4" s="10"/>
      <c r="X4" s="10"/>
      <c r="Y4" s="10"/>
      <c r="Z4" s="202"/>
    </row>
    <row r="5" spans="1:26" ht="18.75" x14ac:dyDescent="0.3">
      <c r="A5" s="10"/>
      <c r="B5" s="152" t="s">
        <v>351</v>
      </c>
      <c r="C5" s="205" t="s">
        <v>352</v>
      </c>
      <c r="D5" s="10"/>
      <c r="E5" s="10"/>
      <c r="F5" s="10"/>
      <c r="G5" s="10"/>
      <c r="H5" s="10"/>
      <c r="I5" s="10"/>
      <c r="J5" s="10"/>
      <c r="K5" s="10"/>
      <c r="L5" s="10"/>
      <c r="M5" s="10"/>
      <c r="N5" s="10"/>
      <c r="O5" s="10"/>
      <c r="P5" s="10"/>
      <c r="Q5" s="10"/>
      <c r="R5" s="10"/>
      <c r="S5" s="10"/>
      <c r="T5" s="10"/>
      <c r="U5" s="10"/>
      <c r="V5" s="10"/>
      <c r="W5" s="10"/>
      <c r="X5" s="10"/>
      <c r="Y5" s="10"/>
      <c r="Z5" s="202"/>
    </row>
    <row r="6" spans="1:26" x14ac:dyDescent="0.25">
      <c r="A6" s="10"/>
      <c r="B6" s="10"/>
      <c r="C6" s="10" t="s">
        <v>367</v>
      </c>
      <c r="E6" s="10"/>
      <c r="F6" s="10"/>
      <c r="G6" s="10"/>
      <c r="H6" s="10"/>
      <c r="I6" s="10"/>
      <c r="J6" s="10"/>
      <c r="K6" s="10"/>
      <c r="L6" s="10"/>
      <c r="M6" s="10"/>
      <c r="N6" s="10"/>
      <c r="O6" s="10"/>
      <c r="P6" s="10"/>
      <c r="Q6" s="10"/>
      <c r="R6" s="10"/>
      <c r="S6" s="10"/>
      <c r="T6" s="10"/>
      <c r="U6" s="10"/>
      <c r="V6" s="10"/>
      <c r="W6" s="10"/>
      <c r="X6" s="10"/>
      <c r="Y6" s="10"/>
      <c r="Z6" s="202"/>
    </row>
    <row r="7" spans="1:26" x14ac:dyDescent="0.25">
      <c r="A7" s="10"/>
      <c r="B7" s="10"/>
      <c r="C7" s="197"/>
      <c r="D7" s="10"/>
      <c r="E7" s="10"/>
      <c r="F7" s="10"/>
      <c r="G7" s="10"/>
      <c r="H7" s="10"/>
      <c r="I7" s="10"/>
      <c r="J7" s="10"/>
      <c r="K7" s="10"/>
      <c r="L7" s="10"/>
      <c r="M7" s="10"/>
      <c r="N7" s="10"/>
      <c r="O7" s="10"/>
      <c r="P7" s="10"/>
      <c r="Q7" s="10"/>
      <c r="R7" s="10"/>
      <c r="S7" s="10"/>
      <c r="T7" s="10"/>
      <c r="U7" s="10"/>
      <c r="V7" s="10"/>
      <c r="W7" s="10"/>
      <c r="X7" s="10"/>
      <c r="Y7" s="10"/>
      <c r="Z7" s="202"/>
    </row>
    <row r="8" spans="1:26" ht="18.75" x14ac:dyDescent="0.3">
      <c r="A8" s="10"/>
      <c r="B8" s="152" t="s">
        <v>338</v>
      </c>
      <c r="C8" s="205" t="s">
        <v>339</v>
      </c>
      <c r="D8" s="10"/>
      <c r="E8" s="10"/>
      <c r="F8" s="10"/>
      <c r="G8" s="10"/>
      <c r="H8" s="10"/>
      <c r="I8" s="10"/>
      <c r="J8" s="10"/>
      <c r="K8" s="10"/>
      <c r="L8" s="10"/>
      <c r="M8" s="10"/>
      <c r="N8" s="10"/>
      <c r="O8" s="10"/>
      <c r="P8" s="10"/>
      <c r="Q8" s="10"/>
      <c r="R8" s="10"/>
      <c r="S8" s="10"/>
      <c r="T8" s="10"/>
      <c r="U8" s="10"/>
      <c r="V8" s="10"/>
      <c r="W8" s="10"/>
      <c r="X8" s="10"/>
      <c r="Y8" s="10"/>
      <c r="Z8" s="202"/>
    </row>
    <row r="9" spans="1:26" ht="18.75" x14ac:dyDescent="0.3">
      <c r="A9" s="10"/>
      <c r="B9" s="152"/>
      <c r="C9" s="10" t="s">
        <v>355</v>
      </c>
      <c r="E9" s="10"/>
      <c r="F9" s="10"/>
      <c r="G9" s="10"/>
      <c r="H9" s="10"/>
      <c r="I9" s="10"/>
      <c r="J9" s="10"/>
      <c r="K9" s="10"/>
      <c r="L9" s="10"/>
      <c r="M9" s="10"/>
      <c r="N9" s="10"/>
      <c r="O9" s="10"/>
      <c r="P9" s="10"/>
      <c r="Q9" s="10"/>
      <c r="R9" s="10"/>
      <c r="S9" s="10"/>
      <c r="T9" s="10"/>
      <c r="U9" s="10"/>
      <c r="V9" s="10"/>
      <c r="W9" s="10"/>
      <c r="X9" s="10"/>
      <c r="Y9" s="10"/>
      <c r="Z9" s="202"/>
    </row>
    <row r="10" spans="1:26" ht="18.75" x14ac:dyDescent="0.3">
      <c r="A10" s="10"/>
      <c r="B10" s="152"/>
      <c r="C10" s="10" t="s">
        <v>356</v>
      </c>
      <c r="E10" s="10"/>
      <c r="F10" s="10"/>
      <c r="G10" s="10"/>
      <c r="H10" s="10"/>
      <c r="I10" s="10"/>
      <c r="J10" s="10"/>
      <c r="K10" s="10"/>
      <c r="L10" s="10"/>
      <c r="M10" s="10"/>
      <c r="N10" s="10"/>
      <c r="O10" s="10"/>
      <c r="P10" s="10"/>
      <c r="Q10" s="10"/>
      <c r="R10" s="10"/>
      <c r="S10" s="10"/>
      <c r="T10" s="10"/>
      <c r="U10" s="10"/>
      <c r="V10" s="10"/>
      <c r="W10" s="10"/>
      <c r="X10" s="10"/>
      <c r="Y10" s="10"/>
      <c r="Z10" s="202"/>
    </row>
    <row r="11" spans="1:26" ht="18.75" x14ac:dyDescent="0.3">
      <c r="A11" s="10"/>
      <c r="B11" s="152"/>
      <c r="C11" s="10" t="s">
        <v>357</v>
      </c>
      <c r="E11" s="10"/>
      <c r="F11" s="10"/>
      <c r="G11" s="10"/>
      <c r="H11" s="10"/>
      <c r="I11" s="10"/>
      <c r="J11" s="10"/>
      <c r="K11" s="10"/>
      <c r="L11" s="10"/>
      <c r="M11" s="10"/>
      <c r="N11" s="10"/>
      <c r="O11" s="10"/>
      <c r="P11" s="10"/>
      <c r="Q11" s="10"/>
      <c r="R11" s="10"/>
      <c r="S11" s="10"/>
      <c r="T11" s="10"/>
      <c r="U11" s="10"/>
      <c r="V11" s="10"/>
      <c r="W11" s="10"/>
      <c r="X11" s="10"/>
      <c r="Y11" s="10"/>
      <c r="Z11" s="202"/>
    </row>
    <row r="12" spans="1:26" ht="18.75" x14ac:dyDescent="0.3">
      <c r="A12" s="10"/>
      <c r="B12" s="152"/>
      <c r="C12" s="197"/>
      <c r="D12" s="10"/>
      <c r="E12" s="10"/>
      <c r="F12" s="10"/>
      <c r="G12" s="10"/>
      <c r="H12" s="10"/>
      <c r="I12" s="10"/>
      <c r="J12" s="10"/>
      <c r="K12" s="10"/>
      <c r="L12" s="10"/>
      <c r="M12" s="10"/>
      <c r="N12" s="10"/>
      <c r="O12" s="10"/>
      <c r="P12" s="10"/>
      <c r="Q12" s="10"/>
      <c r="R12" s="10"/>
      <c r="S12" s="10"/>
      <c r="T12" s="10"/>
      <c r="U12" s="10"/>
      <c r="V12" s="10"/>
      <c r="W12" s="10"/>
      <c r="X12" s="10"/>
      <c r="Y12" s="10"/>
      <c r="Z12" s="202"/>
    </row>
    <row r="13" spans="1:26" ht="18.75" x14ac:dyDescent="0.3">
      <c r="A13" s="10"/>
      <c r="B13" s="152" t="s">
        <v>337</v>
      </c>
      <c r="C13" s="205" t="s">
        <v>340</v>
      </c>
      <c r="D13" s="10"/>
      <c r="E13" s="10"/>
      <c r="F13" s="10"/>
      <c r="G13" s="10"/>
      <c r="H13" s="10"/>
      <c r="I13" s="10"/>
      <c r="J13" s="10"/>
      <c r="K13" s="10"/>
      <c r="L13" s="10"/>
      <c r="M13" s="10"/>
      <c r="N13" s="10"/>
      <c r="O13" s="10"/>
      <c r="P13" s="10"/>
      <c r="Q13" s="10"/>
      <c r="R13" s="10"/>
      <c r="S13" s="10"/>
      <c r="T13" s="10"/>
      <c r="U13" s="10"/>
      <c r="V13" s="10"/>
      <c r="W13" s="10"/>
      <c r="X13" s="10"/>
      <c r="Y13" s="10"/>
      <c r="Z13" s="202"/>
    </row>
    <row r="14" spans="1:26" ht="18.75" x14ac:dyDescent="0.3">
      <c r="A14" s="10"/>
      <c r="B14" s="152"/>
      <c r="C14" s="10" t="s">
        <v>358</v>
      </c>
      <c r="E14" s="10"/>
      <c r="F14" s="10"/>
      <c r="G14" s="10"/>
      <c r="H14" s="10"/>
      <c r="I14" s="10"/>
      <c r="J14" s="10"/>
      <c r="K14" s="10"/>
      <c r="L14" s="10"/>
      <c r="M14" s="10"/>
      <c r="N14" s="10"/>
      <c r="O14" s="10"/>
      <c r="P14" s="10"/>
      <c r="Q14" s="10"/>
      <c r="R14" s="10"/>
      <c r="S14" s="10"/>
      <c r="T14" s="10"/>
      <c r="U14" s="10"/>
      <c r="V14" s="10"/>
      <c r="W14" s="10"/>
      <c r="X14" s="10"/>
      <c r="Y14" s="10"/>
      <c r="Z14" s="202"/>
    </row>
    <row r="15" spans="1:26" ht="18.75" x14ac:dyDescent="0.3">
      <c r="A15" s="10"/>
      <c r="B15" s="152"/>
      <c r="C15" s="197"/>
      <c r="D15" s="10"/>
      <c r="E15" s="10"/>
      <c r="F15" s="10"/>
      <c r="G15" s="10"/>
      <c r="H15" s="10"/>
      <c r="I15" s="10"/>
      <c r="J15" s="10"/>
      <c r="K15" s="10"/>
      <c r="L15" s="10"/>
      <c r="M15" s="10"/>
      <c r="N15" s="10"/>
      <c r="O15" s="10"/>
      <c r="P15" s="10"/>
      <c r="Q15" s="10"/>
      <c r="R15" s="10"/>
      <c r="S15" s="10"/>
      <c r="T15" s="10"/>
      <c r="U15" s="10"/>
      <c r="V15" s="10"/>
      <c r="W15" s="10"/>
      <c r="X15" s="10"/>
      <c r="Y15" s="10"/>
      <c r="Z15" s="202"/>
    </row>
    <row r="16" spans="1:26" ht="18.75" x14ac:dyDescent="0.3">
      <c r="A16" s="10"/>
      <c r="B16" s="152" t="s">
        <v>336</v>
      </c>
      <c r="C16" s="205" t="s">
        <v>341</v>
      </c>
      <c r="D16" s="10"/>
      <c r="E16" s="10"/>
      <c r="F16" s="10"/>
      <c r="G16" s="10"/>
      <c r="H16" s="10"/>
      <c r="I16" s="10"/>
      <c r="J16" s="10"/>
      <c r="K16" s="10"/>
      <c r="L16" s="10"/>
      <c r="M16" s="10"/>
      <c r="N16" s="10"/>
      <c r="O16" s="10"/>
      <c r="P16" s="10"/>
      <c r="Q16" s="10"/>
      <c r="R16" s="10"/>
      <c r="S16" s="10"/>
      <c r="T16" s="10"/>
      <c r="U16" s="10"/>
      <c r="V16" s="10"/>
      <c r="W16" s="10"/>
      <c r="X16" s="10"/>
      <c r="Y16" s="10"/>
      <c r="Z16" s="202"/>
    </row>
    <row r="17" spans="1:26" ht="18.75" x14ac:dyDescent="0.3">
      <c r="A17" s="10"/>
      <c r="B17" s="152"/>
      <c r="C17" s="10" t="s">
        <v>353</v>
      </c>
      <c r="E17" s="10"/>
      <c r="F17" s="10"/>
      <c r="G17" s="10"/>
      <c r="H17" s="10"/>
      <c r="I17" s="10"/>
      <c r="J17" s="10"/>
      <c r="K17" s="10"/>
      <c r="L17" s="10"/>
      <c r="M17" s="10"/>
      <c r="N17" s="10"/>
      <c r="O17" s="10"/>
      <c r="P17" s="10"/>
      <c r="Q17" s="10"/>
      <c r="R17" s="10"/>
      <c r="S17" s="10"/>
      <c r="T17" s="10"/>
      <c r="U17" s="10"/>
      <c r="V17" s="10"/>
      <c r="W17" s="10"/>
      <c r="X17" s="10"/>
      <c r="Y17" s="10"/>
      <c r="Z17" s="202"/>
    </row>
    <row r="18" spans="1:26" ht="18.75" x14ac:dyDescent="0.3">
      <c r="A18" s="10"/>
      <c r="B18" s="152"/>
      <c r="C18" s="10" t="s">
        <v>354</v>
      </c>
      <c r="E18" s="10"/>
      <c r="F18" s="10"/>
      <c r="G18" s="10"/>
      <c r="H18" s="10"/>
      <c r="I18" s="10"/>
      <c r="J18" s="10"/>
      <c r="K18" s="10"/>
      <c r="L18" s="10"/>
      <c r="M18" s="10"/>
      <c r="N18" s="10"/>
      <c r="O18" s="10"/>
      <c r="P18" s="10"/>
      <c r="Q18" s="10"/>
      <c r="R18" s="10"/>
      <c r="S18" s="10"/>
      <c r="T18" s="10"/>
      <c r="U18" s="10"/>
      <c r="V18" s="10"/>
      <c r="W18" s="10"/>
      <c r="X18" s="10"/>
      <c r="Y18" s="10"/>
      <c r="Z18" s="202"/>
    </row>
    <row r="19" spans="1:26" ht="18.75" x14ac:dyDescent="0.3">
      <c r="A19" s="10"/>
      <c r="B19" s="152"/>
      <c r="C19" s="197"/>
      <c r="D19" s="10"/>
      <c r="E19" s="10"/>
      <c r="F19" s="10"/>
      <c r="G19" s="10"/>
      <c r="H19" s="10"/>
      <c r="I19" s="10"/>
      <c r="J19" s="10"/>
      <c r="K19" s="10"/>
      <c r="L19" s="10"/>
      <c r="M19" s="10"/>
      <c r="N19" s="10"/>
      <c r="O19" s="10"/>
      <c r="P19" s="10"/>
      <c r="Q19" s="10"/>
      <c r="R19" s="10"/>
      <c r="S19" s="10"/>
      <c r="T19" s="10"/>
      <c r="U19" s="10"/>
      <c r="V19" s="10"/>
      <c r="W19" s="10"/>
      <c r="X19" s="10"/>
      <c r="Y19" s="10"/>
      <c r="Z19" s="202"/>
    </row>
    <row r="20" spans="1:26" ht="18.75" x14ac:dyDescent="0.3">
      <c r="A20" s="10"/>
      <c r="B20" s="152" t="s">
        <v>364</v>
      </c>
      <c r="C20" s="205" t="s">
        <v>359</v>
      </c>
      <c r="D20" s="10"/>
      <c r="E20" s="10"/>
      <c r="F20" s="10"/>
      <c r="G20" s="10"/>
      <c r="H20" s="10"/>
      <c r="I20" s="10"/>
      <c r="J20" s="10"/>
      <c r="K20" s="10"/>
      <c r="L20" s="10"/>
      <c r="M20" s="10"/>
      <c r="N20" s="10"/>
      <c r="O20" s="10"/>
      <c r="P20" s="10"/>
      <c r="Q20" s="10"/>
      <c r="R20" s="10"/>
      <c r="S20" s="10"/>
      <c r="T20" s="10"/>
      <c r="U20" s="10"/>
      <c r="V20" s="10"/>
      <c r="W20" s="10"/>
      <c r="X20" s="10"/>
      <c r="Y20" s="10"/>
      <c r="Z20" s="202"/>
    </row>
    <row r="21" spans="1:26" x14ac:dyDescent="0.25">
      <c r="A21" s="10"/>
      <c r="B21" s="10"/>
      <c r="C21" s="10" t="s">
        <v>360</v>
      </c>
      <c r="E21" s="10"/>
      <c r="F21" s="10"/>
      <c r="G21" s="10"/>
      <c r="H21" s="10"/>
      <c r="I21" s="10"/>
      <c r="J21" s="10"/>
      <c r="K21" s="10"/>
      <c r="L21" s="10"/>
      <c r="M21" s="10"/>
      <c r="N21" s="10"/>
      <c r="O21" s="10"/>
      <c r="P21" s="10"/>
      <c r="Q21" s="10"/>
      <c r="R21" s="10"/>
      <c r="S21" s="10"/>
      <c r="T21" s="10"/>
      <c r="U21" s="10"/>
      <c r="V21" s="10"/>
      <c r="W21" s="10"/>
      <c r="X21" s="10"/>
      <c r="Y21" s="10"/>
      <c r="Z21" s="202"/>
    </row>
    <row r="22" spans="1:26" x14ac:dyDescent="0.25">
      <c r="A22" s="10"/>
      <c r="B22" s="10"/>
      <c r="C22" s="10" t="s">
        <v>361</v>
      </c>
      <c r="E22" s="10"/>
      <c r="F22" s="10"/>
      <c r="G22" s="10"/>
      <c r="H22" s="10"/>
      <c r="I22" s="10"/>
      <c r="J22" s="10"/>
      <c r="K22" s="10"/>
      <c r="L22" s="10"/>
      <c r="M22" s="10"/>
      <c r="N22" s="10"/>
      <c r="O22" s="10"/>
      <c r="P22" s="10"/>
      <c r="Q22" s="10"/>
      <c r="R22" s="10"/>
      <c r="S22" s="10"/>
      <c r="T22" s="10"/>
      <c r="U22" s="10"/>
      <c r="V22" s="10"/>
      <c r="W22" s="10"/>
      <c r="X22" s="10"/>
      <c r="Y22" s="10"/>
      <c r="Z22" s="202"/>
    </row>
    <row r="23" spans="1:26" x14ac:dyDescent="0.25">
      <c r="A23" s="10"/>
      <c r="B23" s="10"/>
      <c r="C23" s="10" t="s">
        <v>362</v>
      </c>
      <c r="E23" s="10"/>
      <c r="F23" s="10"/>
      <c r="G23" s="10"/>
      <c r="H23" s="10"/>
      <c r="I23" s="10"/>
      <c r="J23" s="10"/>
      <c r="K23" s="10"/>
      <c r="L23" s="10"/>
      <c r="M23" s="10"/>
      <c r="N23" s="10"/>
      <c r="O23" s="10"/>
      <c r="P23" s="10"/>
      <c r="Q23" s="10"/>
      <c r="R23" s="10"/>
      <c r="S23" s="10"/>
      <c r="T23" s="10"/>
      <c r="U23" s="10"/>
      <c r="V23" s="10"/>
      <c r="W23" s="10"/>
      <c r="X23" s="10"/>
      <c r="Y23" s="10"/>
      <c r="Z23" s="202"/>
    </row>
    <row r="24" spans="1:26" x14ac:dyDescent="0.25">
      <c r="A24" s="10"/>
      <c r="B24" s="10"/>
      <c r="C24" s="10" t="s">
        <v>363</v>
      </c>
      <c r="E24" s="10"/>
      <c r="F24" s="10"/>
      <c r="G24" s="10"/>
      <c r="H24" s="10"/>
      <c r="I24" s="10"/>
      <c r="J24" s="10"/>
      <c r="K24" s="10"/>
      <c r="L24" s="10"/>
      <c r="M24" s="10"/>
      <c r="N24" s="10"/>
      <c r="O24" s="10"/>
      <c r="P24" s="10"/>
      <c r="Q24" s="10"/>
      <c r="R24" s="10"/>
      <c r="S24" s="10"/>
      <c r="T24" s="10"/>
      <c r="U24" s="10"/>
      <c r="V24" s="10"/>
      <c r="W24" s="10"/>
      <c r="X24" s="10"/>
      <c r="Y24" s="10"/>
      <c r="Z24" s="202"/>
    </row>
    <row r="25" spans="1:26" x14ac:dyDescent="0.25">
      <c r="A25" s="10"/>
      <c r="B25" s="10"/>
      <c r="C25" s="197"/>
      <c r="D25" s="10"/>
      <c r="E25" s="10"/>
      <c r="F25" s="10"/>
      <c r="G25" s="10"/>
      <c r="H25" s="10"/>
      <c r="I25" s="10"/>
      <c r="J25" s="10"/>
      <c r="K25" s="10"/>
      <c r="L25" s="10"/>
      <c r="M25" s="10"/>
      <c r="N25" s="10"/>
      <c r="O25" s="10"/>
      <c r="P25" s="10"/>
      <c r="Q25" s="10"/>
      <c r="R25" s="10"/>
      <c r="S25" s="10"/>
      <c r="T25" s="10"/>
      <c r="U25" s="10"/>
      <c r="V25" s="10"/>
      <c r="W25" s="10"/>
      <c r="X25" s="10"/>
      <c r="Y25" s="10"/>
      <c r="Z25" s="202"/>
    </row>
    <row r="26" spans="1:26" ht="18.75" x14ac:dyDescent="0.3">
      <c r="A26" s="10"/>
      <c r="B26" s="152" t="s">
        <v>346</v>
      </c>
      <c r="C26" s="205" t="s">
        <v>348</v>
      </c>
      <c r="D26" s="10"/>
      <c r="E26" s="10"/>
      <c r="F26" s="10"/>
      <c r="G26" s="10"/>
      <c r="H26" s="10"/>
      <c r="I26" s="10"/>
      <c r="J26" s="10"/>
      <c r="K26" s="10"/>
      <c r="L26" s="10"/>
      <c r="M26" s="10"/>
      <c r="N26" s="10"/>
      <c r="O26" s="10"/>
      <c r="P26" s="10"/>
      <c r="Q26" s="10"/>
      <c r="R26" s="10"/>
      <c r="S26" s="10"/>
      <c r="T26" s="10"/>
      <c r="U26" s="10"/>
      <c r="V26" s="10"/>
      <c r="W26" s="10"/>
      <c r="X26" s="10"/>
      <c r="Y26" s="10"/>
      <c r="Z26" s="202"/>
    </row>
    <row r="27" spans="1:26" ht="18.75" x14ac:dyDescent="0.3">
      <c r="A27" s="10"/>
      <c r="B27" s="152"/>
      <c r="C27" s="205"/>
      <c r="D27" s="10"/>
      <c r="E27" s="10"/>
      <c r="F27" s="10"/>
      <c r="G27" s="10"/>
      <c r="H27" s="10"/>
      <c r="I27" s="10"/>
      <c r="J27" s="10"/>
      <c r="K27" s="10"/>
      <c r="L27" s="10"/>
      <c r="M27" s="10"/>
      <c r="N27" s="10"/>
      <c r="O27" s="10"/>
      <c r="P27" s="10"/>
      <c r="Q27" s="10"/>
      <c r="R27" s="10"/>
      <c r="S27" s="10"/>
      <c r="T27" s="10"/>
      <c r="U27" s="10"/>
      <c r="V27" s="10"/>
      <c r="W27" s="10"/>
      <c r="X27" s="10"/>
      <c r="Y27" s="10"/>
      <c r="Z27" s="202"/>
    </row>
    <row r="28" spans="1:26" x14ac:dyDescent="0.25">
      <c r="A28" s="10"/>
      <c r="B28" s="10"/>
      <c r="C28" s="197"/>
      <c r="D28" s="10"/>
      <c r="E28" s="10"/>
      <c r="F28" s="10"/>
      <c r="G28" s="10"/>
      <c r="H28" s="10"/>
      <c r="I28" s="10"/>
      <c r="J28" s="10"/>
      <c r="K28" s="10"/>
      <c r="L28" s="10"/>
      <c r="M28" s="10"/>
      <c r="N28" s="10"/>
      <c r="O28" s="10"/>
      <c r="P28" s="10"/>
      <c r="Q28" s="10"/>
      <c r="R28" s="10"/>
      <c r="S28" s="10"/>
      <c r="T28" s="10"/>
      <c r="U28" s="10"/>
      <c r="V28" s="10"/>
      <c r="W28" s="10"/>
      <c r="X28" s="10"/>
      <c r="Y28" s="10"/>
      <c r="Z28" s="202"/>
    </row>
    <row r="29" spans="1:26" x14ac:dyDescent="0.25">
      <c r="A29" s="10"/>
      <c r="B29" s="195" t="s">
        <v>386</v>
      </c>
      <c r="C29" s="197"/>
      <c r="D29" s="10"/>
      <c r="E29" s="10"/>
      <c r="F29" s="10"/>
      <c r="G29" s="10"/>
      <c r="H29" s="10"/>
      <c r="I29" s="10"/>
      <c r="J29" s="10"/>
      <c r="K29" s="10"/>
      <c r="L29" s="10"/>
      <c r="M29" s="10"/>
      <c r="N29" s="10"/>
      <c r="O29" s="10"/>
      <c r="P29" s="10"/>
      <c r="Q29" s="10"/>
      <c r="R29" s="10"/>
      <c r="S29" s="10"/>
      <c r="T29" s="10"/>
      <c r="U29" s="10"/>
      <c r="V29" s="10"/>
      <c r="W29" s="10"/>
      <c r="X29" s="10"/>
      <c r="Y29" s="10"/>
      <c r="Z29" s="202"/>
    </row>
    <row r="30" spans="1:26" x14ac:dyDescent="0.25">
      <c r="A30" s="10"/>
      <c r="B30" s="10"/>
      <c r="C30" s="197"/>
      <c r="D30" s="10"/>
      <c r="E30" s="10"/>
      <c r="F30" s="10"/>
      <c r="G30" s="10"/>
      <c r="H30" s="10"/>
      <c r="I30" s="10"/>
      <c r="J30" s="10"/>
      <c r="K30" s="10"/>
      <c r="L30" s="10"/>
      <c r="M30" s="10"/>
      <c r="N30" s="10"/>
      <c r="O30" s="10"/>
      <c r="P30" s="10"/>
      <c r="Q30" s="10"/>
      <c r="R30" s="10"/>
      <c r="S30" s="10"/>
      <c r="T30" s="10"/>
      <c r="U30" s="10"/>
      <c r="V30" s="10"/>
      <c r="W30" s="10"/>
      <c r="X30" s="10"/>
      <c r="Y30" s="10"/>
      <c r="Z30" s="202"/>
    </row>
    <row r="31" spans="1:26" ht="18.75" x14ac:dyDescent="0.3">
      <c r="A31" s="10"/>
      <c r="B31" s="199">
        <v>111</v>
      </c>
      <c r="C31" s="207" t="s">
        <v>12</v>
      </c>
      <c r="D31" s="10"/>
      <c r="E31" s="10"/>
      <c r="F31" s="10"/>
      <c r="G31" s="10"/>
      <c r="H31" s="10"/>
      <c r="I31" s="10"/>
      <c r="J31" s="10"/>
      <c r="K31" s="10"/>
      <c r="L31" s="10"/>
      <c r="M31" s="10"/>
      <c r="N31" s="10"/>
      <c r="O31" s="10"/>
      <c r="P31" s="10"/>
      <c r="Q31" s="10"/>
      <c r="R31" s="10"/>
      <c r="S31" s="10"/>
      <c r="T31" s="10"/>
      <c r="U31" s="10"/>
      <c r="V31" s="10"/>
      <c r="W31" s="10"/>
      <c r="X31" s="10"/>
      <c r="Y31" s="10"/>
      <c r="Z31" s="202"/>
    </row>
    <row r="32" spans="1:26" ht="18.75" x14ac:dyDescent="0.3">
      <c r="A32" s="10"/>
      <c r="B32" s="199"/>
      <c r="C32" s="206" t="s">
        <v>387</v>
      </c>
      <c r="D32" s="10"/>
      <c r="E32" s="10"/>
      <c r="F32" s="10"/>
      <c r="G32" s="10"/>
      <c r="H32" s="10"/>
      <c r="I32" s="10"/>
      <c r="J32" s="10"/>
      <c r="K32" s="10"/>
      <c r="L32" s="10"/>
      <c r="M32" s="10"/>
      <c r="N32" s="10"/>
      <c r="O32" s="10"/>
      <c r="P32" s="10"/>
      <c r="Q32" s="10"/>
      <c r="R32" s="10"/>
      <c r="S32" s="10"/>
      <c r="T32" s="10"/>
      <c r="U32" s="10"/>
      <c r="V32" s="10"/>
      <c r="W32" s="10"/>
      <c r="X32" s="10"/>
      <c r="Y32" s="10"/>
      <c r="Z32" s="202"/>
    </row>
    <row r="33" spans="1:26" ht="21" customHeight="1" x14ac:dyDescent="0.3">
      <c r="A33" s="10"/>
      <c r="B33" s="199">
        <v>112</v>
      </c>
      <c r="C33" s="207" t="s">
        <v>389</v>
      </c>
      <c r="D33" s="10"/>
      <c r="E33" s="10"/>
      <c r="F33" s="10"/>
      <c r="G33" s="10"/>
      <c r="H33" s="10"/>
      <c r="I33" s="10"/>
      <c r="J33" s="10"/>
      <c r="K33" s="10"/>
      <c r="L33" s="10"/>
      <c r="M33" s="10"/>
      <c r="N33" s="10"/>
      <c r="O33" s="10"/>
      <c r="P33" s="10"/>
      <c r="Q33" s="10"/>
      <c r="R33" s="10"/>
      <c r="S33" s="10"/>
      <c r="T33" s="10"/>
      <c r="U33" s="10"/>
      <c r="V33" s="10"/>
      <c r="W33" s="10"/>
      <c r="X33" s="10"/>
      <c r="Y33" s="10"/>
      <c r="Z33" s="202"/>
    </row>
    <row r="34" spans="1:26" ht="21" customHeight="1" x14ac:dyDescent="0.3">
      <c r="A34" s="10"/>
      <c r="B34" s="199"/>
      <c r="C34" s="206" t="s">
        <v>388</v>
      </c>
      <c r="D34" s="10"/>
      <c r="E34" s="10"/>
      <c r="F34" s="10"/>
      <c r="G34" s="10"/>
      <c r="H34" s="10"/>
      <c r="I34" s="10"/>
      <c r="J34" s="10"/>
      <c r="K34" s="10"/>
      <c r="L34" s="10"/>
      <c r="M34" s="10"/>
      <c r="N34" s="10"/>
      <c r="O34" s="10"/>
      <c r="P34" s="10"/>
      <c r="Q34" s="10"/>
      <c r="R34" s="10"/>
      <c r="S34" s="10"/>
      <c r="T34" s="10"/>
      <c r="U34" s="10"/>
      <c r="V34" s="10"/>
      <c r="W34" s="10"/>
      <c r="X34" s="10"/>
      <c r="Y34" s="10"/>
      <c r="Z34" s="202"/>
    </row>
    <row r="35" spans="1:26" ht="18.75" x14ac:dyDescent="0.3">
      <c r="A35" s="10"/>
      <c r="B35" s="199">
        <v>113</v>
      </c>
      <c r="C35" s="207" t="s">
        <v>391</v>
      </c>
      <c r="D35" s="10"/>
      <c r="E35" s="10"/>
      <c r="F35" s="10"/>
      <c r="G35" s="10"/>
      <c r="H35" s="10"/>
      <c r="I35" s="10"/>
      <c r="J35" s="10"/>
      <c r="K35" s="10"/>
      <c r="L35" s="10"/>
      <c r="M35" s="10"/>
      <c r="N35" s="10"/>
      <c r="O35" s="10"/>
      <c r="P35" s="10"/>
      <c r="Q35" s="10"/>
      <c r="R35" s="10"/>
      <c r="S35" s="10"/>
      <c r="T35" s="10"/>
      <c r="U35" s="10"/>
      <c r="V35" s="10"/>
      <c r="W35" s="10"/>
      <c r="X35" s="10"/>
      <c r="Y35" s="10"/>
      <c r="Z35" s="202"/>
    </row>
    <row r="36" spans="1:26" ht="18.75" x14ac:dyDescent="0.3">
      <c r="A36" s="10"/>
      <c r="B36" s="199"/>
      <c r="C36" s="206" t="s">
        <v>390</v>
      </c>
      <c r="D36" s="10"/>
      <c r="E36" s="10"/>
      <c r="F36" s="10"/>
      <c r="G36" s="10"/>
      <c r="H36" s="10"/>
      <c r="I36" s="10"/>
      <c r="J36" s="10"/>
      <c r="K36" s="10"/>
      <c r="L36" s="10"/>
      <c r="M36" s="10"/>
      <c r="N36" s="10"/>
      <c r="O36" s="10"/>
      <c r="P36" s="10"/>
      <c r="Q36" s="10"/>
      <c r="R36" s="10"/>
      <c r="S36" s="10"/>
      <c r="T36" s="10"/>
      <c r="U36" s="10"/>
      <c r="V36" s="10"/>
      <c r="W36" s="10"/>
      <c r="X36" s="10"/>
      <c r="Y36" s="10"/>
      <c r="Z36" s="202"/>
    </row>
    <row r="37" spans="1:26" ht="18.75" x14ac:dyDescent="0.3">
      <c r="A37" s="10"/>
      <c r="B37" s="199" t="s">
        <v>4</v>
      </c>
      <c r="C37" s="207" t="s">
        <v>392</v>
      </c>
      <c r="D37" s="10"/>
      <c r="E37" s="10"/>
      <c r="F37" s="10"/>
      <c r="G37" s="10"/>
      <c r="H37" s="10"/>
      <c r="I37" s="10"/>
      <c r="J37" s="10"/>
      <c r="K37" s="10"/>
      <c r="L37" s="10"/>
      <c r="M37" s="10"/>
      <c r="N37" s="10"/>
      <c r="O37" s="10"/>
      <c r="P37" s="10"/>
      <c r="Q37" s="10"/>
      <c r="R37" s="10"/>
      <c r="S37" s="10"/>
      <c r="T37" s="10"/>
      <c r="U37" s="10"/>
      <c r="V37" s="10"/>
      <c r="W37" s="10"/>
      <c r="X37" s="10"/>
      <c r="Y37" s="10"/>
      <c r="Z37" s="202"/>
    </row>
    <row r="38" spans="1:26" x14ac:dyDescent="0.25">
      <c r="A38" s="10"/>
      <c r="C38" s="206" t="s">
        <v>393</v>
      </c>
      <c r="D38" s="10"/>
      <c r="E38" s="10"/>
      <c r="F38" s="10"/>
      <c r="G38" s="10"/>
      <c r="H38" s="10"/>
      <c r="I38" s="10"/>
      <c r="J38" s="10"/>
      <c r="K38" s="10"/>
      <c r="L38" s="10"/>
      <c r="M38" s="10"/>
      <c r="N38" s="10"/>
      <c r="O38" s="10"/>
      <c r="P38" s="10"/>
      <c r="Q38" s="10"/>
      <c r="R38" s="10"/>
      <c r="S38" s="10"/>
      <c r="T38" s="10"/>
      <c r="U38" s="10"/>
      <c r="V38" s="10"/>
      <c r="W38" s="10"/>
      <c r="X38" s="10"/>
      <c r="Y38" s="10"/>
      <c r="Z38" s="202"/>
    </row>
    <row r="39" spans="1:26" ht="18.75" x14ac:dyDescent="0.3">
      <c r="A39" s="10"/>
      <c r="B39" s="199" t="s">
        <v>5</v>
      </c>
      <c r="C39" s="207" t="s">
        <v>395</v>
      </c>
      <c r="D39" s="10"/>
      <c r="E39" s="10"/>
      <c r="F39" s="10"/>
      <c r="G39" s="10"/>
      <c r="H39" s="10"/>
      <c r="I39" s="10"/>
      <c r="J39" s="10"/>
      <c r="K39" s="10"/>
      <c r="L39" s="10"/>
      <c r="M39" s="10"/>
      <c r="N39" s="10"/>
      <c r="O39" s="10"/>
      <c r="P39" s="10"/>
      <c r="Q39" s="10"/>
      <c r="R39" s="10"/>
      <c r="S39" s="10"/>
      <c r="T39" s="10"/>
      <c r="U39" s="10"/>
      <c r="V39" s="10"/>
      <c r="W39" s="10"/>
      <c r="X39" s="10"/>
      <c r="Y39" s="10"/>
      <c r="Z39" s="202"/>
    </row>
    <row r="40" spans="1:26" ht="48" x14ac:dyDescent="0.3">
      <c r="A40" s="10"/>
      <c r="B40" s="199"/>
      <c r="C40" s="206" t="s">
        <v>394</v>
      </c>
      <c r="D40" s="10"/>
      <c r="E40" s="10"/>
      <c r="F40" s="10"/>
      <c r="G40" s="10"/>
      <c r="H40" s="10"/>
      <c r="I40" s="10"/>
      <c r="J40" s="10"/>
      <c r="K40" s="10"/>
      <c r="L40" s="10"/>
      <c r="M40" s="10"/>
      <c r="N40" s="10"/>
      <c r="O40" s="10"/>
      <c r="P40" s="10"/>
      <c r="Q40" s="10"/>
      <c r="R40" s="10"/>
      <c r="S40" s="10"/>
      <c r="T40" s="10"/>
      <c r="U40" s="10"/>
      <c r="V40" s="10"/>
      <c r="W40" s="10"/>
      <c r="X40" s="10"/>
      <c r="Y40" s="10"/>
      <c r="Z40" s="202"/>
    </row>
    <row r="41" spans="1:26" ht="18.75" x14ac:dyDescent="0.3">
      <c r="A41" s="10"/>
      <c r="B41" s="196" t="s">
        <v>3</v>
      </c>
      <c r="C41" s="207" t="s">
        <v>17</v>
      </c>
      <c r="D41" s="10"/>
      <c r="E41" s="10"/>
      <c r="F41" s="10"/>
      <c r="G41" s="10"/>
      <c r="H41" s="10"/>
      <c r="I41" s="10"/>
      <c r="J41" s="10"/>
      <c r="K41" s="10"/>
      <c r="L41" s="10"/>
      <c r="M41" s="10"/>
      <c r="N41" s="10"/>
      <c r="O41" s="10"/>
      <c r="P41" s="10"/>
      <c r="Q41" s="10"/>
      <c r="R41" s="10"/>
      <c r="S41" s="10"/>
      <c r="T41" s="10"/>
      <c r="U41" s="10"/>
      <c r="V41" s="10"/>
      <c r="W41" s="10"/>
      <c r="X41" s="10"/>
      <c r="Y41" s="10"/>
      <c r="Z41" s="202"/>
    </row>
    <row r="42" spans="1:26" ht="18.75" x14ac:dyDescent="0.3">
      <c r="A42" s="10"/>
      <c r="B42" s="196" t="s">
        <v>18</v>
      </c>
      <c r="C42" s="207" t="s">
        <v>19</v>
      </c>
      <c r="D42" s="10"/>
      <c r="E42" s="10"/>
      <c r="F42" s="10"/>
      <c r="G42" s="10"/>
      <c r="H42" s="10"/>
      <c r="I42" s="10"/>
      <c r="J42" s="10"/>
      <c r="K42" s="10"/>
      <c r="L42" s="10"/>
      <c r="M42" s="10"/>
      <c r="N42" s="10"/>
      <c r="O42" s="10"/>
      <c r="P42" s="10"/>
      <c r="Q42" s="10"/>
      <c r="R42" s="10"/>
      <c r="S42" s="10"/>
      <c r="T42" s="10"/>
      <c r="U42" s="10"/>
      <c r="V42" s="10"/>
      <c r="W42" s="10"/>
      <c r="X42" s="10"/>
      <c r="Y42" s="10"/>
      <c r="Z42" s="202"/>
    </row>
    <row r="43" spans="1:26" ht="18.75" x14ac:dyDescent="0.3">
      <c r="A43" s="10"/>
      <c r="B43" s="196"/>
      <c r="C43" s="206" t="s">
        <v>404</v>
      </c>
      <c r="D43" s="10"/>
      <c r="E43" s="10"/>
      <c r="F43" s="10"/>
      <c r="G43" s="10"/>
      <c r="H43" s="10"/>
      <c r="I43" s="10"/>
      <c r="J43" s="10"/>
      <c r="K43" s="10"/>
      <c r="L43" s="10"/>
      <c r="M43" s="10"/>
      <c r="N43" s="10"/>
      <c r="O43" s="10"/>
      <c r="P43" s="10"/>
      <c r="Q43" s="10"/>
      <c r="R43" s="10"/>
      <c r="S43" s="10"/>
      <c r="T43" s="10"/>
      <c r="U43" s="10"/>
      <c r="V43" s="10"/>
      <c r="W43" s="10"/>
      <c r="X43" s="10"/>
      <c r="Y43" s="10"/>
      <c r="Z43" s="202"/>
    </row>
    <row r="44" spans="1:26" ht="18.75" x14ac:dyDescent="0.3">
      <c r="A44" s="10"/>
      <c r="B44" s="199" t="s">
        <v>6</v>
      </c>
      <c r="C44" s="208" t="s">
        <v>397</v>
      </c>
      <c r="D44" s="10"/>
      <c r="E44" s="10"/>
      <c r="F44" s="10"/>
      <c r="G44" s="10"/>
      <c r="H44" s="10"/>
      <c r="I44" s="10"/>
      <c r="J44" s="10"/>
      <c r="K44" s="10"/>
      <c r="L44" s="10"/>
      <c r="M44" s="10"/>
      <c r="N44" s="10"/>
      <c r="O44" s="10"/>
      <c r="P44" s="10"/>
      <c r="Q44" s="10"/>
      <c r="R44" s="10"/>
      <c r="S44" s="10"/>
      <c r="T44" s="10"/>
      <c r="U44" s="10"/>
      <c r="V44" s="10"/>
      <c r="W44" s="10"/>
      <c r="X44" s="10"/>
      <c r="Y44" s="10"/>
      <c r="Z44" s="202"/>
    </row>
    <row r="45" spans="1:26" ht="32.25" x14ac:dyDescent="0.3">
      <c r="A45" s="10"/>
      <c r="B45" s="199"/>
      <c r="C45" s="206" t="s">
        <v>396</v>
      </c>
      <c r="D45" s="10"/>
      <c r="E45" s="10"/>
      <c r="F45" s="10"/>
      <c r="G45" s="10"/>
      <c r="H45" s="10"/>
      <c r="I45" s="10"/>
      <c r="J45" s="10"/>
      <c r="K45" s="10"/>
      <c r="L45" s="10"/>
      <c r="M45" s="10"/>
      <c r="N45" s="10"/>
      <c r="O45" s="10"/>
      <c r="P45" s="10"/>
      <c r="Q45" s="10"/>
      <c r="R45" s="10"/>
      <c r="S45" s="10"/>
      <c r="T45" s="10"/>
      <c r="U45" s="10"/>
      <c r="V45" s="10"/>
      <c r="W45" s="10"/>
      <c r="X45" s="10"/>
      <c r="Y45" s="10"/>
      <c r="Z45" s="202"/>
    </row>
    <row r="46" spans="1:26" ht="18.75" x14ac:dyDescent="0.3">
      <c r="A46" s="10"/>
      <c r="B46" s="199" t="s">
        <v>7</v>
      </c>
      <c r="C46" s="207" t="s">
        <v>21</v>
      </c>
      <c r="D46" s="10"/>
      <c r="E46" s="10"/>
      <c r="F46" s="10"/>
      <c r="G46" s="10"/>
      <c r="H46" s="10"/>
      <c r="I46" s="10"/>
      <c r="J46" s="10"/>
      <c r="K46" s="10"/>
      <c r="L46" s="10"/>
      <c r="M46" s="10"/>
      <c r="N46" s="10"/>
      <c r="O46" s="10"/>
      <c r="P46" s="10"/>
      <c r="Q46" s="10"/>
      <c r="R46" s="10"/>
      <c r="S46" s="10"/>
      <c r="T46" s="10"/>
      <c r="U46" s="10"/>
      <c r="V46" s="10"/>
      <c r="W46" s="10"/>
      <c r="X46" s="10"/>
      <c r="Y46" s="10"/>
      <c r="Z46" s="202"/>
    </row>
    <row r="47" spans="1:26" ht="47.25" x14ac:dyDescent="0.3">
      <c r="A47" s="10"/>
      <c r="B47" s="199"/>
      <c r="C47" s="209" t="s">
        <v>398</v>
      </c>
      <c r="D47" s="10"/>
      <c r="E47" s="10"/>
      <c r="F47" s="10"/>
      <c r="G47" s="10"/>
      <c r="H47" s="10"/>
      <c r="I47" s="10"/>
      <c r="J47" s="10"/>
      <c r="K47" s="10"/>
      <c r="L47" s="10"/>
      <c r="M47" s="10"/>
      <c r="N47" s="10"/>
      <c r="O47" s="10"/>
      <c r="P47" s="10"/>
      <c r="Q47" s="10"/>
      <c r="R47" s="10"/>
      <c r="S47" s="10"/>
      <c r="T47" s="10"/>
      <c r="U47" s="10"/>
      <c r="V47" s="10"/>
      <c r="W47" s="10"/>
      <c r="X47" s="10"/>
      <c r="Y47" s="10"/>
      <c r="Z47" s="202"/>
    </row>
    <row r="48" spans="1:26" ht="18.75" x14ac:dyDescent="0.3">
      <c r="A48" s="10"/>
      <c r="B48" s="199" t="s">
        <v>8</v>
      </c>
      <c r="C48" s="207" t="s">
        <v>400</v>
      </c>
      <c r="D48" s="10"/>
      <c r="E48" s="10"/>
      <c r="F48" s="10"/>
      <c r="G48" s="10"/>
      <c r="H48" s="10"/>
      <c r="I48" s="10"/>
      <c r="J48" s="10"/>
      <c r="K48" s="10"/>
      <c r="L48" s="10"/>
      <c r="M48" s="10"/>
      <c r="N48" s="10"/>
      <c r="O48" s="10"/>
      <c r="P48" s="10"/>
      <c r="Q48" s="10"/>
      <c r="R48" s="10"/>
      <c r="S48" s="10"/>
      <c r="T48" s="10"/>
      <c r="U48" s="10"/>
      <c r="V48" s="10"/>
      <c r="W48" s="10"/>
      <c r="X48" s="10"/>
      <c r="Y48" s="10"/>
      <c r="Z48" s="202"/>
    </row>
    <row r="49" spans="1:26" ht="31.5" x14ac:dyDescent="0.25">
      <c r="A49" s="10"/>
      <c r="B49" s="10"/>
      <c r="C49" s="197" t="s">
        <v>399</v>
      </c>
      <c r="D49" s="10"/>
      <c r="E49" s="10"/>
      <c r="F49" s="10"/>
      <c r="G49" s="10"/>
      <c r="H49" s="10"/>
      <c r="I49" s="10"/>
      <c r="J49" s="10"/>
      <c r="K49" s="10"/>
      <c r="L49" s="10"/>
      <c r="M49" s="10"/>
      <c r="N49" s="10"/>
      <c r="O49" s="10"/>
      <c r="P49" s="10"/>
      <c r="Q49" s="10"/>
      <c r="R49" s="10"/>
      <c r="S49" s="10"/>
      <c r="T49" s="10"/>
      <c r="U49" s="10"/>
      <c r="V49" s="10"/>
      <c r="W49" s="10"/>
      <c r="X49" s="10"/>
      <c r="Y49" s="10"/>
      <c r="Z49" s="202"/>
    </row>
    <row r="50" spans="1:26" ht="18.75" x14ac:dyDescent="0.3">
      <c r="A50" s="10"/>
      <c r="B50" s="199" t="s">
        <v>9</v>
      </c>
      <c r="C50" s="207" t="s">
        <v>23</v>
      </c>
      <c r="D50" s="10"/>
      <c r="E50" s="10"/>
      <c r="F50" s="10"/>
      <c r="G50" s="10"/>
      <c r="H50" s="10"/>
      <c r="I50" s="10"/>
      <c r="J50" s="10"/>
      <c r="K50" s="10"/>
      <c r="L50" s="10"/>
      <c r="M50" s="10"/>
      <c r="N50" s="10"/>
      <c r="O50" s="10"/>
      <c r="P50" s="10"/>
      <c r="Q50" s="10"/>
      <c r="R50" s="10"/>
      <c r="S50" s="10"/>
      <c r="T50" s="10"/>
      <c r="U50" s="10"/>
      <c r="V50" s="10"/>
      <c r="W50" s="10"/>
      <c r="X50" s="10"/>
      <c r="Y50" s="10"/>
      <c r="Z50" s="202"/>
    </row>
    <row r="51" spans="1:26" ht="18.75" x14ac:dyDescent="0.3">
      <c r="A51" s="10"/>
      <c r="B51" s="199"/>
      <c r="C51" s="210" t="s">
        <v>407</v>
      </c>
      <c r="D51" s="10"/>
      <c r="E51" s="10"/>
      <c r="F51" s="10"/>
      <c r="G51" s="10"/>
      <c r="H51" s="10"/>
      <c r="I51" s="10"/>
      <c r="J51" s="10"/>
      <c r="K51" s="10"/>
      <c r="L51" s="10"/>
      <c r="M51" s="10"/>
      <c r="N51" s="10"/>
      <c r="O51" s="10"/>
      <c r="P51" s="10"/>
      <c r="Q51" s="10"/>
      <c r="R51" s="10"/>
      <c r="S51" s="10"/>
      <c r="T51" s="10"/>
      <c r="U51" s="10"/>
      <c r="V51" s="10"/>
      <c r="W51" s="10"/>
      <c r="X51" s="10"/>
      <c r="Y51" s="10"/>
      <c r="Z51" s="202"/>
    </row>
    <row r="52" spans="1:26" ht="18.75" x14ac:dyDescent="0.3">
      <c r="A52" s="10"/>
      <c r="B52" s="199" t="s">
        <v>10</v>
      </c>
      <c r="C52" s="207" t="s">
        <v>401</v>
      </c>
      <c r="D52" s="10"/>
      <c r="E52" s="10"/>
      <c r="F52" s="10"/>
      <c r="G52" s="10"/>
      <c r="H52" s="10"/>
      <c r="I52" s="10"/>
      <c r="J52" s="10"/>
      <c r="K52" s="10"/>
      <c r="L52" s="10"/>
      <c r="M52" s="10"/>
      <c r="N52" s="10"/>
      <c r="O52" s="10"/>
      <c r="P52" s="10"/>
      <c r="Q52" s="10"/>
      <c r="R52" s="10"/>
      <c r="S52" s="10"/>
      <c r="T52" s="10"/>
      <c r="U52" s="10"/>
      <c r="V52" s="10"/>
      <c r="W52" s="10"/>
      <c r="X52" s="10"/>
      <c r="Y52" s="10"/>
      <c r="Z52" s="202"/>
    </row>
    <row r="53" spans="1:26" ht="18.75" x14ac:dyDescent="0.3">
      <c r="A53" s="10"/>
      <c r="B53" s="199"/>
      <c r="C53" s="210" t="s">
        <v>408</v>
      </c>
      <c r="D53" s="10"/>
      <c r="E53" s="10"/>
      <c r="F53" s="10"/>
      <c r="G53" s="10"/>
      <c r="H53" s="10"/>
      <c r="I53" s="10"/>
      <c r="J53" s="10"/>
      <c r="K53" s="10"/>
      <c r="L53" s="10"/>
      <c r="M53" s="10"/>
      <c r="N53" s="10"/>
      <c r="O53" s="10"/>
      <c r="P53" s="10"/>
      <c r="Q53" s="10"/>
      <c r="R53" s="10"/>
      <c r="S53" s="10"/>
      <c r="T53" s="10"/>
      <c r="U53" s="10"/>
      <c r="V53" s="10"/>
      <c r="W53" s="10"/>
      <c r="X53" s="10"/>
      <c r="Y53" s="10"/>
      <c r="Z53" s="202"/>
    </row>
    <row r="54" spans="1:26" ht="18.75" x14ac:dyDescent="0.3">
      <c r="A54" s="10"/>
      <c r="B54" s="199">
        <v>640</v>
      </c>
      <c r="C54" s="207" t="s">
        <v>25</v>
      </c>
      <c r="D54" s="10"/>
      <c r="E54" s="10"/>
      <c r="F54" s="10"/>
      <c r="G54" s="10"/>
      <c r="H54" s="10"/>
      <c r="I54" s="10"/>
      <c r="J54" s="10"/>
      <c r="K54" s="10"/>
      <c r="L54" s="10"/>
      <c r="M54" s="10"/>
      <c r="N54" s="10"/>
      <c r="O54" s="10"/>
      <c r="P54" s="10"/>
      <c r="Q54" s="10"/>
      <c r="R54" s="10"/>
      <c r="S54" s="10"/>
      <c r="T54" s="10"/>
      <c r="U54" s="10"/>
      <c r="V54" s="10"/>
      <c r="W54" s="10"/>
      <c r="X54" s="10"/>
      <c r="Y54" s="10"/>
      <c r="Z54" s="202"/>
    </row>
    <row r="55" spans="1:26" ht="18.75" x14ac:dyDescent="0.3">
      <c r="A55" s="10"/>
      <c r="B55" s="199"/>
      <c r="C55" s="197" t="s">
        <v>402</v>
      </c>
      <c r="D55" s="10"/>
      <c r="E55" s="10"/>
      <c r="F55" s="10"/>
      <c r="G55" s="10"/>
      <c r="H55" s="10"/>
      <c r="I55" s="10"/>
      <c r="J55" s="10"/>
      <c r="K55" s="10"/>
      <c r="L55" s="10"/>
      <c r="M55" s="10"/>
      <c r="N55" s="10"/>
      <c r="O55" s="10"/>
      <c r="P55" s="10"/>
      <c r="Q55" s="10"/>
      <c r="R55" s="10"/>
      <c r="S55" s="10"/>
      <c r="T55" s="10"/>
      <c r="U55" s="10"/>
      <c r="V55" s="10"/>
      <c r="W55" s="10"/>
      <c r="X55" s="10"/>
      <c r="Y55" s="10"/>
      <c r="Z55" s="202"/>
    </row>
    <row r="56" spans="1:26" ht="18.75" x14ac:dyDescent="0.3">
      <c r="A56" s="10"/>
      <c r="B56" s="199" t="s">
        <v>11</v>
      </c>
      <c r="C56" s="207" t="s">
        <v>403</v>
      </c>
      <c r="D56" s="10"/>
      <c r="E56" s="10"/>
      <c r="F56" s="10"/>
      <c r="G56" s="10"/>
      <c r="H56" s="10"/>
      <c r="I56" s="10"/>
      <c r="J56" s="10"/>
      <c r="K56" s="10"/>
      <c r="L56" s="10"/>
      <c r="M56" s="10"/>
      <c r="N56" s="10"/>
      <c r="O56" s="10"/>
      <c r="P56" s="10"/>
      <c r="Q56" s="10"/>
      <c r="R56" s="10"/>
      <c r="S56" s="10"/>
      <c r="T56" s="10"/>
      <c r="U56" s="10"/>
      <c r="V56" s="10"/>
      <c r="W56" s="10"/>
      <c r="X56" s="10"/>
      <c r="Y56" s="10"/>
      <c r="Z56" s="202"/>
    </row>
    <row r="57" spans="1:26" ht="18.75" x14ac:dyDescent="0.3">
      <c r="A57" s="10"/>
      <c r="B57" s="199" t="s">
        <v>346</v>
      </c>
      <c r="C57" s="207" t="s">
        <v>348</v>
      </c>
      <c r="D57" s="10"/>
      <c r="E57" s="10"/>
      <c r="F57" s="10"/>
      <c r="G57" s="10"/>
      <c r="H57" s="10"/>
      <c r="I57" s="10"/>
      <c r="J57" s="10"/>
      <c r="K57" s="10"/>
      <c r="L57" s="10"/>
      <c r="M57" s="10"/>
      <c r="N57" s="10"/>
      <c r="O57" s="10"/>
      <c r="P57" s="10"/>
      <c r="Q57" s="10"/>
      <c r="R57" s="10"/>
      <c r="S57" s="10"/>
      <c r="T57" s="10"/>
      <c r="U57" s="10"/>
      <c r="V57" s="10"/>
      <c r="W57" s="10"/>
      <c r="X57" s="10"/>
      <c r="Y57" s="10"/>
      <c r="Z57" s="202"/>
    </row>
    <row r="58" spans="1:26" ht="18.75" x14ac:dyDescent="0.3">
      <c r="A58" s="10"/>
      <c r="B58" s="199" t="s">
        <v>344</v>
      </c>
      <c r="C58" s="207" t="s">
        <v>349</v>
      </c>
      <c r="D58" s="10"/>
      <c r="E58" s="10"/>
      <c r="F58" s="10"/>
      <c r="G58" s="10"/>
      <c r="H58" s="10"/>
      <c r="I58" s="10"/>
      <c r="J58" s="10"/>
      <c r="K58" s="10"/>
      <c r="L58" s="10"/>
      <c r="M58" s="10"/>
      <c r="N58" s="10"/>
      <c r="O58" s="10"/>
      <c r="P58" s="10"/>
      <c r="Q58" s="10"/>
      <c r="R58" s="10"/>
      <c r="S58" s="10"/>
      <c r="T58" s="10"/>
      <c r="U58" s="10"/>
      <c r="V58" s="10"/>
      <c r="W58" s="10"/>
      <c r="X58" s="10"/>
      <c r="Y58" s="10"/>
      <c r="Z58" s="202"/>
    </row>
  </sheetData>
  <pageMargins left="0.7" right="0.7" top="0.75" bottom="0.75" header="0.3" footer="0.3"/>
  <pageSetup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79"/>
  <sheetViews>
    <sheetView zoomScaleNormal="100" workbookViewId="0">
      <pane ySplit="1" topLeftCell="A4" activePane="bottomLeft" state="frozen"/>
      <selection pane="bottomLeft" activeCell="F7" sqref="F7"/>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t="str">
        <f>IF(G4="Y",'START HERE'!E9,('START HERE'!E6))</f>
        <v>Total Allocation</v>
      </c>
      <c r="G4" s="191" t="str">
        <f>VLOOKUP('START HERE'!$F$2, Y1Wrksht!B1:I288,8, 0)</f>
        <v>Charter</v>
      </c>
      <c r="H4" s="192" t="str">
        <f>IF(G4="Y", "Charter Allocation", "[District Activities + Administrative Costs]")</f>
        <v>[District Activities + Administrative Costs]</v>
      </c>
    </row>
    <row r="5" spans="1:8" x14ac:dyDescent="0.35">
      <c r="A5" s="147"/>
      <c r="B5" s="148"/>
      <c r="C5" s="148"/>
      <c r="D5" s="148"/>
      <c r="E5" s="144" t="s">
        <v>28</v>
      </c>
      <c r="F5" s="5">
        <f>(SUM(F9:F79))</f>
        <v>1350</v>
      </c>
      <c r="G5" s="186" t="str">
        <f>IF((SUM(F9:F79)-(SUMIF(C9:C79,"ADMIN", (F9:F79))))&gt;'START HERE'!E8, "Y", "")</f>
        <v/>
      </c>
      <c r="H5" s="193" t="str">
        <f>IF(G5 = "Y", "Budgeted Activities Exceed District Allocation", "")</f>
        <v/>
      </c>
    </row>
    <row r="6" spans="1:8" x14ac:dyDescent="0.35">
      <c r="A6" s="147"/>
      <c r="B6" s="148"/>
      <c r="C6" s="148"/>
      <c r="D6" s="148"/>
      <c r="E6" s="144" t="s">
        <v>384</v>
      </c>
      <c r="F6" s="190">
        <f>(SUMIF(C9:C79,"ADMIN", (F9:F79)))</f>
        <v>1350</v>
      </c>
      <c r="G6" s="194" t="str">
        <f>IF((F6&lt;='START HERE'!$E$7),"Y","N")</f>
        <v>Y</v>
      </c>
      <c r="H6" s="193" t="str">
        <f>IF(G6 ="N", "Total administrative costs exceeded", "")</f>
        <v/>
      </c>
    </row>
    <row r="7" spans="1:8" x14ac:dyDescent="0.35">
      <c r="A7" s="147"/>
      <c r="B7" s="148"/>
      <c r="C7" s="148"/>
      <c r="D7" s="148"/>
      <c r="E7" s="144" t="s">
        <v>32</v>
      </c>
      <c r="F7" s="190" t="e">
        <f>(F4)-(F5+F6)</f>
        <v>#VALUE!</v>
      </c>
      <c r="G7" s="186"/>
      <c r="H7" s="10"/>
    </row>
    <row r="8" spans="1:8" x14ac:dyDescent="0.35">
      <c r="B8" s="12"/>
      <c r="C8" s="12"/>
      <c r="D8" s="12"/>
      <c r="E8" s="13" t="s">
        <v>26</v>
      </c>
      <c r="F8" s="10"/>
      <c r="G8" s="10"/>
    </row>
    <row r="9" spans="1:8" ht="21.95" customHeight="1" x14ac:dyDescent="0.25">
      <c r="A9" s="4">
        <v>1</v>
      </c>
      <c r="B9" s="4"/>
      <c r="C9" s="4" t="s">
        <v>346</v>
      </c>
      <c r="D9" s="4"/>
      <c r="E9" s="7"/>
      <c r="F9" s="9">
        <v>1350</v>
      </c>
      <c r="G9" s="11"/>
      <c r="H9" s="143"/>
    </row>
    <row r="10" spans="1:8" ht="21.95" customHeight="1" x14ac:dyDescent="0.25">
      <c r="A10" s="4" t="str">
        <f t="shared" ref="A10:A41" si="0">IF(E9 &lt;&gt;"", (A9+1),"")</f>
        <v/>
      </c>
      <c r="B10" s="131"/>
      <c r="C10" s="4"/>
      <c r="D10" s="4"/>
      <c r="E10" s="7"/>
      <c r="F10" s="9"/>
      <c r="G10" s="11"/>
      <c r="H10" s="143"/>
    </row>
    <row r="11" spans="1:8" ht="21.95" customHeight="1" x14ac:dyDescent="0.25">
      <c r="A11" s="4" t="str">
        <f t="shared" si="0"/>
        <v/>
      </c>
      <c r="B11" s="4"/>
      <c r="C11" s="4"/>
      <c r="D11" s="4"/>
      <c r="E11" s="7"/>
      <c r="F11" s="9"/>
      <c r="G11" s="11"/>
      <c r="H11" s="143"/>
    </row>
    <row r="12" spans="1:8" ht="21.95" customHeight="1" x14ac:dyDescent="0.25">
      <c r="A12" s="4" t="str">
        <f t="shared" si="0"/>
        <v/>
      </c>
      <c r="B12" s="4"/>
      <c r="C12" s="4"/>
      <c r="D12" s="4"/>
      <c r="E12" s="7"/>
      <c r="F12" s="9"/>
      <c r="G12" s="11"/>
      <c r="H12" s="143"/>
    </row>
    <row r="13" spans="1:8" ht="21.95" customHeight="1" x14ac:dyDescent="0.25">
      <c r="A13" s="4" t="str">
        <f t="shared" si="0"/>
        <v/>
      </c>
      <c r="B13" s="4"/>
      <c r="C13" s="4"/>
      <c r="D13" s="4"/>
      <c r="E13" s="7"/>
      <c r="F13" s="9"/>
      <c r="G13" s="11"/>
      <c r="H13" s="143"/>
    </row>
    <row r="14" spans="1:8" ht="21.95" customHeight="1" x14ac:dyDescent="0.25">
      <c r="A14" s="4" t="str">
        <f t="shared" si="0"/>
        <v/>
      </c>
      <c r="B14" s="4"/>
      <c r="C14" s="4"/>
      <c r="D14" s="4"/>
      <c r="E14" s="7"/>
      <c r="F14" s="9"/>
      <c r="G14" s="11"/>
      <c r="H14" s="143"/>
    </row>
    <row r="15" spans="1:8" ht="21.95" customHeight="1" x14ac:dyDescent="0.25">
      <c r="A15" s="4" t="str">
        <f t="shared" si="0"/>
        <v/>
      </c>
      <c r="B15" s="4"/>
      <c r="C15" s="4"/>
      <c r="D15" s="4"/>
      <c r="E15" s="7"/>
      <c r="F15" s="9"/>
      <c r="G15" s="11"/>
      <c r="H15" s="143"/>
    </row>
    <row r="16" spans="1:8" ht="21.95" customHeight="1" x14ac:dyDescent="0.25">
      <c r="A16" s="4" t="str">
        <f t="shared" si="0"/>
        <v/>
      </c>
      <c r="B16" s="4"/>
      <c r="C16" s="4"/>
      <c r="D16" s="4"/>
      <c r="E16" s="7"/>
      <c r="F16" s="9"/>
      <c r="G16" s="11"/>
      <c r="H16" s="143"/>
    </row>
    <row r="17" spans="1:8" ht="21.95" customHeight="1" x14ac:dyDescent="0.25">
      <c r="A17" s="4" t="str">
        <f t="shared" si="0"/>
        <v/>
      </c>
      <c r="B17" s="4"/>
      <c r="C17" s="4"/>
      <c r="D17" s="4"/>
      <c r="E17" s="7"/>
      <c r="F17" s="9"/>
      <c r="G17" s="11"/>
      <c r="H17" s="143"/>
    </row>
    <row r="18" spans="1:8" ht="21.95" customHeight="1" x14ac:dyDescent="0.25">
      <c r="A18" s="4" t="str">
        <f t="shared" si="0"/>
        <v/>
      </c>
      <c r="B18" s="4"/>
      <c r="C18" s="4"/>
      <c r="D18" s="4"/>
      <c r="E18" s="7"/>
      <c r="F18" s="9"/>
      <c r="G18" s="11"/>
      <c r="H18" s="143"/>
    </row>
    <row r="19" spans="1:8" ht="21.95" customHeight="1" x14ac:dyDescent="0.25">
      <c r="A19" s="4" t="str">
        <f t="shared" si="0"/>
        <v/>
      </c>
      <c r="B19" s="4"/>
      <c r="C19" s="4"/>
      <c r="D19" s="4"/>
      <c r="E19" s="7"/>
      <c r="F19" s="9"/>
      <c r="G19" s="11"/>
      <c r="H19" s="143"/>
    </row>
    <row r="20" spans="1:8" ht="21.95" customHeight="1" x14ac:dyDescent="0.25">
      <c r="A20" s="4" t="str">
        <f t="shared" si="0"/>
        <v/>
      </c>
      <c r="B20" s="4"/>
      <c r="C20" s="4"/>
      <c r="D20" s="4"/>
      <c r="E20" s="7"/>
      <c r="F20" s="9"/>
      <c r="G20" s="11"/>
      <c r="H20" s="143"/>
    </row>
    <row r="21" spans="1:8" ht="21.95" customHeight="1" x14ac:dyDescent="0.25">
      <c r="A21" s="4" t="str">
        <f t="shared" si="0"/>
        <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1"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D9:D52</xm:sqref>
        </x14:dataValidation>
        <x14:dataValidation type="list" showInputMessage="1" showErrorMessage="1">
          <x14:formula1>
            <xm:f>CODES!$B$1:$B$7</xm:f>
          </x14:formula1>
          <xm:sqref>C9:C52</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H79"/>
  <sheetViews>
    <sheetView workbookViewId="0">
      <pane ySplit="1" topLeftCell="A2" activePane="bottomLeft" state="frozen"/>
      <selection pane="bottomLeft" activeCell="F10" sqref="F10"/>
    </sheetView>
  </sheetViews>
  <sheetFormatPr defaultColWidth="10.625" defaultRowHeight="21" x14ac:dyDescent="0.35"/>
  <cols>
    <col min="1" max="2" width="6" style="2" customWidth="1"/>
    <col min="3" max="4" width="7.5" style="2" customWidth="1"/>
    <col min="5" max="5" width="94.125" customWidth="1"/>
    <col min="6" max="6" width="17.375" customWidth="1"/>
    <col min="7" max="7" width="2.375" customWidth="1"/>
    <col min="8" max="8" width="54" customWidth="1"/>
  </cols>
  <sheetData>
    <row r="1" spans="1:8" x14ac:dyDescent="0.35">
      <c r="G1" s="10"/>
    </row>
    <row r="2" spans="1:8" ht="9.9499999999999993" customHeight="1" x14ac:dyDescent="0.35">
      <c r="G2" s="10"/>
    </row>
    <row r="3" spans="1:8" ht="180" customHeight="1" x14ac:dyDescent="0.35">
      <c r="A3" s="145" t="s">
        <v>0</v>
      </c>
      <c r="B3" s="145" t="s">
        <v>1</v>
      </c>
      <c r="C3" s="145" t="s">
        <v>342</v>
      </c>
      <c r="D3" s="145" t="s">
        <v>2</v>
      </c>
      <c r="E3" s="146" t="s">
        <v>373</v>
      </c>
      <c r="F3" s="3" t="s">
        <v>27</v>
      </c>
      <c r="G3" s="10"/>
      <c r="H3" s="3" t="s">
        <v>385</v>
      </c>
    </row>
    <row r="4" spans="1:8" x14ac:dyDescent="0.35">
      <c r="A4" s="147"/>
      <c r="B4" s="148"/>
      <c r="C4" s="148"/>
      <c r="D4" s="148"/>
      <c r="E4" s="144" t="s">
        <v>382</v>
      </c>
      <c r="F4" s="5" t="str">
        <f>IF(G4="Y",'START HERE'!F9,('START HERE'!F6))</f>
        <v>Total Allocation</v>
      </c>
      <c r="G4" s="189" t="str">
        <f>VLOOKUP('START HERE'!$F$2, Y1Wrksht!B1:I288,8, 0)</f>
        <v>Charter</v>
      </c>
      <c r="H4" s="192" t="str">
        <f>IF(G4="Y", "Charter Allocation", "[District Activities + Administrative Costs]")</f>
        <v>[District Activities + Administrative Costs]</v>
      </c>
    </row>
    <row r="5" spans="1:8" x14ac:dyDescent="0.35">
      <c r="A5" s="147"/>
      <c r="B5" s="148"/>
      <c r="C5" s="148"/>
      <c r="D5" s="148"/>
      <c r="E5" s="144" t="s">
        <v>28</v>
      </c>
      <c r="F5" s="5">
        <f>(SUM(F9:F79))</f>
        <v>1402</v>
      </c>
      <c r="G5" s="187" t="str">
        <f>IF((SUM(F9:F79)-(SUMIF(C9:C79,"ADMIN", (F9:F79))))&gt;'START HERE'!F8, "Y", "")</f>
        <v/>
      </c>
      <c r="H5" s="193" t="str">
        <f>IF(G5 = "Y", "Budgeted Activities Exceed District Allocation", "")</f>
        <v/>
      </c>
    </row>
    <row r="6" spans="1:8" x14ac:dyDescent="0.35">
      <c r="A6" s="147"/>
      <c r="B6" s="148"/>
      <c r="C6" s="148"/>
      <c r="D6" s="148"/>
      <c r="E6" s="144" t="s">
        <v>384</v>
      </c>
      <c r="F6" s="190">
        <f>(SUMIF(C9:C79,"ADMIN", (F9:F79)))</f>
        <v>1402</v>
      </c>
      <c r="G6" s="188" t="str">
        <f>IF((SUMIF(C9:C79,"ADMIN", (F9:F79)))&gt;'START HERE'!F7, "Y", "")</f>
        <v/>
      </c>
      <c r="H6" s="193" t="str">
        <f>IF(G6 ="Y", "Total administrative costs exceeded", "")</f>
        <v/>
      </c>
    </row>
    <row r="7" spans="1:8" x14ac:dyDescent="0.35">
      <c r="A7" s="147"/>
      <c r="B7" s="148"/>
      <c r="C7" s="148"/>
      <c r="D7" s="148"/>
      <c r="E7" s="144" t="s">
        <v>32</v>
      </c>
      <c r="F7" s="190" t="e">
        <f>(F4)-(F5+F6)</f>
        <v>#VALUE!</v>
      </c>
      <c r="G7" s="10"/>
      <c r="H7" s="10"/>
    </row>
    <row r="8" spans="1:8" x14ac:dyDescent="0.35">
      <c r="B8" s="12"/>
      <c r="C8" s="12"/>
      <c r="D8" s="12"/>
      <c r="E8" s="13" t="s">
        <v>26</v>
      </c>
      <c r="F8" s="10"/>
      <c r="G8" s="10"/>
    </row>
    <row r="9" spans="1:8" ht="21.95" customHeight="1" x14ac:dyDescent="0.25">
      <c r="A9" s="4">
        <v>1</v>
      </c>
      <c r="B9" s="4"/>
      <c r="C9" s="4" t="s">
        <v>346</v>
      </c>
      <c r="D9" s="4"/>
      <c r="E9" s="7"/>
      <c r="F9" s="9">
        <v>1402</v>
      </c>
      <c r="G9" s="11"/>
      <c r="H9" s="143"/>
    </row>
    <row r="10" spans="1:8" ht="21.95" customHeight="1" x14ac:dyDescent="0.25">
      <c r="A10" s="4" t="str">
        <f t="shared" ref="A10:A41" si="0">IF(E9 &lt;&gt;"", (A9+1),"")</f>
        <v/>
      </c>
      <c r="B10" s="131"/>
      <c r="C10" s="4"/>
      <c r="D10" s="4"/>
      <c r="E10" s="7"/>
      <c r="F10" s="9"/>
      <c r="G10" s="11"/>
      <c r="H10" s="143"/>
    </row>
    <row r="11" spans="1:8" ht="21.95" customHeight="1" x14ac:dyDescent="0.25">
      <c r="A11" s="4" t="str">
        <f t="shared" si="0"/>
        <v/>
      </c>
      <c r="B11" s="4"/>
      <c r="C11" s="4"/>
      <c r="D11" s="4"/>
      <c r="E11" s="7"/>
      <c r="F11" s="9"/>
      <c r="G11" s="11"/>
      <c r="H11" s="143"/>
    </row>
    <row r="12" spans="1:8" ht="21.95" customHeight="1" x14ac:dyDescent="0.25">
      <c r="A12" s="4" t="str">
        <f t="shared" si="0"/>
        <v/>
      </c>
      <c r="B12" s="4"/>
      <c r="C12" s="4"/>
      <c r="D12" s="4"/>
      <c r="E12" s="7"/>
      <c r="F12" s="9"/>
      <c r="G12" s="11"/>
      <c r="H12" s="143"/>
    </row>
    <row r="13" spans="1:8" ht="21.95" customHeight="1" x14ac:dyDescent="0.25">
      <c r="A13" s="4" t="str">
        <f t="shared" si="0"/>
        <v/>
      </c>
      <c r="B13" s="4"/>
      <c r="C13" s="4"/>
      <c r="D13" s="4"/>
      <c r="E13" s="7"/>
      <c r="F13" s="9"/>
      <c r="G13" s="11"/>
      <c r="H13" s="143"/>
    </row>
    <row r="14" spans="1:8" ht="21.95" customHeight="1" x14ac:dyDescent="0.25">
      <c r="A14" s="4" t="str">
        <f t="shared" si="0"/>
        <v/>
      </c>
      <c r="B14" s="4"/>
      <c r="C14" s="4"/>
      <c r="D14" s="4"/>
      <c r="E14" s="7"/>
      <c r="F14" s="9"/>
      <c r="G14" s="11"/>
      <c r="H14" s="143"/>
    </row>
    <row r="15" spans="1:8" ht="21.95" customHeight="1" x14ac:dyDescent="0.25">
      <c r="A15" s="4" t="str">
        <f t="shared" si="0"/>
        <v/>
      </c>
      <c r="B15" s="4"/>
      <c r="C15" s="4"/>
      <c r="D15" s="4"/>
      <c r="E15" s="7"/>
      <c r="F15" s="9"/>
      <c r="G15" s="11"/>
      <c r="H15" s="143"/>
    </row>
    <row r="16" spans="1:8" ht="21.95" customHeight="1" x14ac:dyDescent="0.25">
      <c r="A16" s="4" t="str">
        <f t="shared" si="0"/>
        <v/>
      </c>
      <c r="B16" s="4"/>
      <c r="C16" s="4"/>
      <c r="D16" s="4"/>
      <c r="E16" s="7"/>
      <c r="F16" s="9"/>
      <c r="G16" s="11"/>
      <c r="H16" s="143"/>
    </row>
    <row r="17" spans="1:8" ht="21.95" customHeight="1" x14ac:dyDescent="0.25">
      <c r="A17" s="4" t="str">
        <f t="shared" si="0"/>
        <v/>
      </c>
      <c r="B17" s="4"/>
      <c r="C17" s="4"/>
      <c r="D17" s="4"/>
      <c r="E17" s="7"/>
      <c r="F17" s="9"/>
      <c r="G17" s="11"/>
      <c r="H17" s="143"/>
    </row>
    <row r="18" spans="1:8" ht="21.95" customHeight="1" x14ac:dyDescent="0.25">
      <c r="A18" s="4" t="str">
        <f t="shared" si="0"/>
        <v/>
      </c>
      <c r="B18" s="4"/>
      <c r="C18" s="4"/>
      <c r="D18" s="4"/>
      <c r="E18" s="7"/>
      <c r="F18" s="9"/>
      <c r="G18" s="11"/>
      <c r="H18" s="143"/>
    </row>
    <row r="19" spans="1:8" ht="21.95" customHeight="1" x14ac:dyDescent="0.25">
      <c r="A19" s="4" t="str">
        <f t="shared" si="0"/>
        <v/>
      </c>
      <c r="B19" s="4"/>
      <c r="C19" s="4"/>
      <c r="D19" s="4"/>
      <c r="E19" s="7"/>
      <c r="F19" s="9"/>
      <c r="G19" s="11"/>
      <c r="H19" s="143"/>
    </row>
    <row r="20" spans="1:8" ht="21.95" customHeight="1" x14ac:dyDescent="0.25">
      <c r="A20" s="4" t="str">
        <f t="shared" si="0"/>
        <v/>
      </c>
      <c r="B20" s="4"/>
      <c r="C20" s="4"/>
      <c r="D20" s="4"/>
      <c r="E20" s="7"/>
      <c r="F20" s="9"/>
      <c r="G20" s="11"/>
      <c r="H20" s="143"/>
    </row>
    <row r="21" spans="1:8" ht="21.95" customHeight="1" x14ac:dyDescent="0.25">
      <c r="A21" s="4" t="str">
        <f t="shared" si="0"/>
        <v/>
      </c>
      <c r="B21" s="4"/>
      <c r="C21" s="4"/>
      <c r="D21" s="4"/>
      <c r="E21" s="7"/>
      <c r="F21" s="9"/>
      <c r="G21" s="11"/>
      <c r="H21" s="143"/>
    </row>
    <row r="22" spans="1:8" ht="21.95" customHeight="1" x14ac:dyDescent="0.25">
      <c r="A22" s="4" t="str">
        <f t="shared" si="0"/>
        <v/>
      </c>
      <c r="B22" s="4"/>
      <c r="C22" s="4"/>
      <c r="D22" s="4"/>
      <c r="E22" s="7"/>
      <c r="F22" s="9"/>
      <c r="G22" s="11"/>
      <c r="H22" s="143"/>
    </row>
    <row r="23" spans="1:8" ht="21.95" customHeight="1" x14ac:dyDescent="0.25">
      <c r="A23" s="4" t="str">
        <f t="shared" si="0"/>
        <v/>
      </c>
      <c r="B23" s="4"/>
      <c r="C23" s="4"/>
      <c r="D23" s="4"/>
      <c r="E23" s="7"/>
      <c r="F23" s="9"/>
      <c r="G23" s="11"/>
      <c r="H23" s="143"/>
    </row>
    <row r="24" spans="1:8" ht="21.95" customHeight="1" x14ac:dyDescent="0.25">
      <c r="A24" s="4" t="str">
        <f t="shared" si="0"/>
        <v/>
      </c>
      <c r="B24" s="4"/>
      <c r="C24" s="4"/>
      <c r="D24" s="4"/>
      <c r="E24" s="7"/>
      <c r="F24" s="9"/>
      <c r="G24" s="11"/>
      <c r="H24" s="143"/>
    </row>
    <row r="25" spans="1:8" ht="21.95" customHeight="1" x14ac:dyDescent="0.25">
      <c r="A25" s="4" t="str">
        <f t="shared" si="0"/>
        <v/>
      </c>
      <c r="B25" s="4"/>
      <c r="C25" s="4"/>
      <c r="D25" s="4"/>
      <c r="E25" s="7"/>
      <c r="F25" s="9"/>
      <c r="G25" s="11"/>
      <c r="H25" s="143"/>
    </row>
    <row r="26" spans="1:8" ht="21.95" customHeight="1" x14ac:dyDescent="0.25">
      <c r="A26" s="4" t="str">
        <f t="shared" si="0"/>
        <v/>
      </c>
      <c r="B26" s="4"/>
      <c r="C26" s="4"/>
      <c r="D26" s="4"/>
      <c r="E26" s="7"/>
      <c r="F26" s="9"/>
      <c r="G26" s="11"/>
      <c r="H26" s="143"/>
    </row>
    <row r="27" spans="1:8" ht="21.95" customHeight="1" x14ac:dyDescent="0.25">
      <c r="A27" s="4" t="str">
        <f t="shared" si="0"/>
        <v/>
      </c>
      <c r="B27" s="4"/>
      <c r="C27" s="4"/>
      <c r="D27" s="4"/>
      <c r="E27" s="7"/>
      <c r="F27" s="9"/>
      <c r="G27" s="11"/>
      <c r="H27" s="143"/>
    </row>
    <row r="28" spans="1:8" ht="21.95" customHeight="1" x14ac:dyDescent="0.25">
      <c r="A28" s="4" t="str">
        <f t="shared" si="0"/>
        <v/>
      </c>
      <c r="B28" s="4"/>
      <c r="C28" s="4"/>
      <c r="D28" s="4"/>
      <c r="E28" s="7"/>
      <c r="F28" s="9"/>
      <c r="G28" s="11"/>
      <c r="H28" s="143"/>
    </row>
    <row r="29" spans="1:8" ht="21.95" customHeight="1" x14ac:dyDescent="0.25">
      <c r="A29" s="4" t="str">
        <f t="shared" si="0"/>
        <v/>
      </c>
      <c r="B29" s="4"/>
      <c r="C29" s="4"/>
      <c r="D29" s="4"/>
      <c r="E29" s="7"/>
      <c r="F29" s="9"/>
      <c r="G29" s="11"/>
      <c r="H29" s="143"/>
    </row>
    <row r="30" spans="1:8" ht="21.95" customHeight="1" x14ac:dyDescent="0.25">
      <c r="A30" s="4" t="str">
        <f t="shared" si="0"/>
        <v/>
      </c>
      <c r="B30" s="4"/>
      <c r="C30" s="4"/>
      <c r="D30" s="4"/>
      <c r="E30" s="7"/>
      <c r="F30" s="9"/>
      <c r="G30" s="11"/>
      <c r="H30" s="143"/>
    </row>
    <row r="31" spans="1:8" ht="21.95" customHeight="1" x14ac:dyDescent="0.25">
      <c r="A31" s="4" t="str">
        <f t="shared" si="0"/>
        <v/>
      </c>
      <c r="B31" s="4"/>
      <c r="C31" s="4"/>
      <c r="D31" s="4"/>
      <c r="E31" s="7"/>
      <c r="F31" s="9"/>
      <c r="G31" s="11"/>
      <c r="H31" s="143"/>
    </row>
    <row r="32" spans="1:8" ht="21.95" customHeight="1" x14ac:dyDescent="0.25">
      <c r="A32" s="4" t="str">
        <f t="shared" si="0"/>
        <v/>
      </c>
      <c r="B32" s="4"/>
      <c r="C32" s="4"/>
      <c r="D32" s="4"/>
      <c r="E32" s="7"/>
      <c r="F32" s="9"/>
      <c r="G32" s="11"/>
      <c r="H32" s="143"/>
    </row>
    <row r="33" spans="1:8" ht="21.95" customHeight="1" x14ac:dyDescent="0.25">
      <c r="A33" s="4" t="str">
        <f t="shared" si="0"/>
        <v/>
      </c>
      <c r="B33" s="4"/>
      <c r="C33" s="4"/>
      <c r="D33" s="4"/>
      <c r="E33" s="7"/>
      <c r="F33" s="9"/>
      <c r="G33" s="11"/>
      <c r="H33" s="143"/>
    </row>
    <row r="34" spans="1:8" ht="21.95" customHeight="1" x14ac:dyDescent="0.25">
      <c r="A34" s="4" t="str">
        <f t="shared" si="0"/>
        <v/>
      </c>
      <c r="B34" s="4"/>
      <c r="C34" s="4"/>
      <c r="D34" s="4"/>
      <c r="E34" s="7"/>
      <c r="F34" s="9"/>
      <c r="G34" s="11"/>
      <c r="H34" s="143"/>
    </row>
    <row r="35" spans="1:8" ht="21.95" customHeight="1" x14ac:dyDescent="0.25">
      <c r="A35" s="4" t="str">
        <f t="shared" si="0"/>
        <v/>
      </c>
      <c r="B35" s="4"/>
      <c r="C35" s="4"/>
      <c r="D35" s="4"/>
      <c r="E35" s="7"/>
      <c r="F35" s="9"/>
      <c r="G35" s="11"/>
      <c r="H35" s="143"/>
    </row>
    <row r="36" spans="1:8" ht="21.95" customHeight="1" x14ac:dyDescent="0.25">
      <c r="A36" s="4" t="str">
        <f t="shared" si="0"/>
        <v/>
      </c>
      <c r="B36" s="4"/>
      <c r="C36" s="4"/>
      <c r="D36" s="4"/>
      <c r="E36" s="7"/>
      <c r="F36" s="9"/>
      <c r="G36" s="11"/>
      <c r="H36" s="143"/>
    </row>
    <row r="37" spans="1:8" ht="21.95" customHeight="1" x14ac:dyDescent="0.25">
      <c r="A37" s="4" t="str">
        <f t="shared" si="0"/>
        <v/>
      </c>
      <c r="B37" s="4"/>
      <c r="C37" s="4"/>
      <c r="D37" s="4"/>
      <c r="E37" s="7"/>
      <c r="F37" s="9"/>
      <c r="G37" s="11"/>
      <c r="H37" s="143"/>
    </row>
    <row r="38" spans="1:8" ht="21.95" customHeight="1" x14ac:dyDescent="0.25">
      <c r="A38" s="4" t="str">
        <f t="shared" si="0"/>
        <v/>
      </c>
      <c r="B38" s="4"/>
      <c r="C38" s="4"/>
      <c r="D38" s="4"/>
      <c r="E38" s="7"/>
      <c r="F38" s="9"/>
      <c r="G38" s="11"/>
      <c r="H38" s="143"/>
    </row>
    <row r="39" spans="1:8" ht="21.95" customHeight="1" x14ac:dyDescent="0.25">
      <c r="A39" s="4" t="str">
        <f t="shared" si="0"/>
        <v/>
      </c>
      <c r="B39" s="4"/>
      <c r="C39" s="4"/>
      <c r="D39" s="4"/>
      <c r="E39" s="7"/>
      <c r="F39" s="9"/>
      <c r="G39" s="11"/>
      <c r="H39" s="143"/>
    </row>
    <row r="40" spans="1:8" ht="21.95" customHeight="1" x14ac:dyDescent="0.25">
      <c r="A40" s="4" t="str">
        <f t="shared" si="0"/>
        <v/>
      </c>
      <c r="B40" s="4"/>
      <c r="C40" s="4"/>
      <c r="D40" s="4"/>
      <c r="E40" s="7"/>
      <c r="F40" s="9"/>
      <c r="G40" s="11"/>
      <c r="H40" s="143"/>
    </row>
    <row r="41" spans="1:8" ht="21.95" customHeight="1" x14ac:dyDescent="0.25">
      <c r="A41" s="4" t="str">
        <f t="shared" si="0"/>
        <v/>
      </c>
      <c r="B41" s="4"/>
      <c r="C41" s="4"/>
      <c r="D41" s="4"/>
      <c r="E41" s="7"/>
      <c r="F41" s="9"/>
      <c r="G41" s="11"/>
      <c r="H41" s="143"/>
    </row>
    <row r="42" spans="1:8" ht="21.95" customHeight="1" x14ac:dyDescent="0.25">
      <c r="A42" s="4" t="str">
        <f t="shared" ref="A42:A73" si="1">IF(E41 &lt;&gt;"", (A41+1),"")</f>
        <v/>
      </c>
      <c r="B42" s="4"/>
      <c r="C42" s="4"/>
      <c r="D42" s="4"/>
      <c r="E42" s="7"/>
      <c r="F42" s="9"/>
      <c r="G42" s="11"/>
      <c r="H42" s="143"/>
    </row>
    <row r="43" spans="1:8" ht="21.95" customHeight="1" x14ac:dyDescent="0.25">
      <c r="A43" s="4" t="str">
        <f t="shared" si="1"/>
        <v/>
      </c>
      <c r="B43" s="4"/>
      <c r="C43" s="4"/>
      <c r="D43" s="4"/>
      <c r="E43" s="7"/>
      <c r="F43" s="9"/>
      <c r="G43" s="11"/>
      <c r="H43" s="143"/>
    </row>
    <row r="44" spans="1:8" ht="21.95" customHeight="1" x14ac:dyDescent="0.25">
      <c r="A44" s="4" t="str">
        <f t="shared" si="1"/>
        <v/>
      </c>
      <c r="B44" s="4"/>
      <c r="C44" s="4"/>
      <c r="D44" s="4"/>
      <c r="E44" s="7"/>
      <c r="F44" s="9"/>
      <c r="G44" s="11"/>
      <c r="H44" s="143"/>
    </row>
    <row r="45" spans="1:8" ht="21.95" customHeight="1" x14ac:dyDescent="0.25">
      <c r="A45" s="4" t="str">
        <f t="shared" si="1"/>
        <v/>
      </c>
      <c r="B45" s="4"/>
      <c r="C45" s="4"/>
      <c r="D45" s="4"/>
      <c r="E45" s="7"/>
      <c r="F45" s="9"/>
      <c r="G45" s="11"/>
      <c r="H45" s="143"/>
    </row>
    <row r="46" spans="1:8" ht="21.95" customHeight="1" x14ac:dyDescent="0.25">
      <c r="A46" s="4" t="str">
        <f t="shared" si="1"/>
        <v/>
      </c>
      <c r="B46" s="4"/>
      <c r="C46" s="4"/>
      <c r="D46" s="4"/>
      <c r="E46" s="7"/>
      <c r="F46" s="9"/>
      <c r="G46" s="11"/>
      <c r="H46" s="143"/>
    </row>
    <row r="47" spans="1:8" ht="21.95" customHeight="1" x14ac:dyDescent="0.25">
      <c r="A47" s="4" t="str">
        <f t="shared" si="1"/>
        <v/>
      </c>
      <c r="B47" s="4"/>
      <c r="C47" s="4"/>
      <c r="D47" s="4"/>
      <c r="E47" s="7"/>
      <c r="F47" s="9"/>
      <c r="G47" s="11"/>
      <c r="H47" s="143"/>
    </row>
    <row r="48" spans="1:8" ht="21.95" customHeight="1" x14ac:dyDescent="0.25">
      <c r="A48" s="4" t="str">
        <f t="shared" si="1"/>
        <v/>
      </c>
      <c r="B48" s="4"/>
      <c r="C48" s="4"/>
      <c r="D48" s="4"/>
      <c r="E48" s="7"/>
      <c r="F48" s="9"/>
      <c r="G48" s="11"/>
      <c r="H48" s="143"/>
    </row>
    <row r="49" spans="1:8" ht="21.95" customHeight="1" x14ac:dyDescent="0.25">
      <c r="A49" s="4" t="str">
        <f t="shared" si="1"/>
        <v/>
      </c>
      <c r="B49" s="4"/>
      <c r="C49" s="4"/>
      <c r="D49" s="4"/>
      <c r="E49" s="7"/>
      <c r="F49" s="9"/>
      <c r="G49" s="11"/>
      <c r="H49" s="143"/>
    </row>
    <row r="50" spans="1:8" ht="21.95" customHeight="1" x14ac:dyDescent="0.25">
      <c r="A50" s="4" t="str">
        <f t="shared" si="1"/>
        <v/>
      </c>
      <c r="B50" s="4"/>
      <c r="C50" s="4"/>
      <c r="D50" s="4"/>
      <c r="E50" s="7"/>
      <c r="F50" s="9"/>
      <c r="G50" s="11"/>
      <c r="H50" s="143"/>
    </row>
    <row r="51" spans="1:8" ht="21.95" customHeight="1" x14ac:dyDescent="0.25">
      <c r="A51" s="4" t="str">
        <f t="shared" si="1"/>
        <v/>
      </c>
      <c r="B51" s="4"/>
      <c r="C51" s="4"/>
      <c r="D51" s="4"/>
      <c r="E51" s="7"/>
      <c r="F51" s="9"/>
      <c r="G51" s="11"/>
      <c r="H51" s="143"/>
    </row>
    <row r="52" spans="1:8" ht="21.95" customHeight="1" x14ac:dyDescent="0.25">
      <c r="A52" s="4" t="str">
        <f t="shared" si="1"/>
        <v/>
      </c>
      <c r="B52" s="4"/>
      <c r="C52" s="4"/>
      <c r="D52" s="4"/>
      <c r="E52" s="7"/>
      <c r="F52" s="9"/>
      <c r="G52" s="11"/>
      <c r="H52" s="143"/>
    </row>
    <row r="53" spans="1:8" ht="21.95" customHeight="1" x14ac:dyDescent="0.25">
      <c r="A53" s="4" t="str">
        <f t="shared" si="1"/>
        <v/>
      </c>
      <c r="B53" s="4"/>
      <c r="C53" s="4"/>
      <c r="D53" s="4"/>
      <c r="E53" s="7"/>
      <c r="F53" s="9"/>
      <c r="G53" s="11"/>
      <c r="H53" s="143"/>
    </row>
    <row r="54" spans="1:8" ht="21.95" customHeight="1" x14ac:dyDescent="0.25">
      <c r="A54" s="4" t="str">
        <f t="shared" si="1"/>
        <v/>
      </c>
      <c r="B54" s="4"/>
      <c r="C54" s="4"/>
      <c r="D54" s="4"/>
      <c r="E54" s="7"/>
      <c r="F54" s="9"/>
      <c r="G54" s="11"/>
      <c r="H54" s="143"/>
    </row>
    <row r="55" spans="1:8" ht="21.95" customHeight="1" x14ac:dyDescent="0.25">
      <c r="A55" s="4" t="str">
        <f t="shared" si="1"/>
        <v/>
      </c>
      <c r="B55" s="4"/>
      <c r="C55" s="4"/>
      <c r="D55" s="4"/>
      <c r="E55" s="7"/>
      <c r="F55" s="9"/>
      <c r="G55" s="11"/>
      <c r="H55" s="143"/>
    </row>
    <row r="56" spans="1:8" ht="21.95" customHeight="1" x14ac:dyDescent="0.25">
      <c r="A56" s="4" t="str">
        <f t="shared" si="1"/>
        <v/>
      </c>
      <c r="B56" s="4"/>
      <c r="C56" s="4"/>
      <c r="D56" s="4"/>
      <c r="E56" s="7"/>
      <c r="F56" s="9"/>
      <c r="G56" s="11"/>
      <c r="H56" s="143"/>
    </row>
    <row r="57" spans="1:8" ht="21.95" customHeight="1" x14ac:dyDescent="0.25">
      <c r="A57" s="4" t="str">
        <f t="shared" si="1"/>
        <v/>
      </c>
      <c r="B57" s="4"/>
      <c r="C57" s="4"/>
      <c r="D57" s="4"/>
      <c r="E57" s="7"/>
      <c r="F57" s="9"/>
      <c r="G57" s="11"/>
      <c r="H57" s="143"/>
    </row>
    <row r="58" spans="1:8" ht="21.95" customHeight="1" x14ac:dyDescent="0.25">
      <c r="A58" s="4" t="str">
        <f t="shared" si="1"/>
        <v/>
      </c>
      <c r="B58" s="4"/>
      <c r="C58" s="4"/>
      <c r="D58" s="4"/>
      <c r="E58" s="7"/>
      <c r="F58" s="9"/>
      <c r="G58" s="11"/>
      <c r="H58" s="143"/>
    </row>
    <row r="59" spans="1:8" ht="21.95" customHeight="1" x14ac:dyDescent="0.25">
      <c r="A59" s="4" t="str">
        <f t="shared" si="1"/>
        <v/>
      </c>
      <c r="B59" s="4"/>
      <c r="C59" s="4"/>
      <c r="D59" s="4"/>
      <c r="E59" s="7"/>
      <c r="F59" s="9"/>
      <c r="G59" s="11"/>
      <c r="H59" s="143"/>
    </row>
    <row r="60" spans="1:8" ht="21.95" customHeight="1" x14ac:dyDescent="0.25">
      <c r="A60" s="4" t="str">
        <f t="shared" si="1"/>
        <v/>
      </c>
      <c r="B60" s="4"/>
      <c r="C60" s="4"/>
      <c r="D60" s="4"/>
      <c r="E60" s="7"/>
      <c r="F60" s="9"/>
      <c r="G60" s="11"/>
      <c r="H60" s="143"/>
    </row>
    <row r="61" spans="1:8" ht="21.95" customHeight="1" x14ac:dyDescent="0.25">
      <c r="A61" s="4" t="str">
        <f t="shared" si="1"/>
        <v/>
      </c>
      <c r="B61" s="4"/>
      <c r="C61" s="4"/>
      <c r="D61" s="4"/>
      <c r="E61" s="7"/>
      <c r="F61" s="9"/>
      <c r="G61" s="11"/>
      <c r="H61" s="143"/>
    </row>
    <row r="62" spans="1:8" ht="21.95" customHeight="1" x14ac:dyDescent="0.25">
      <c r="A62" s="4" t="str">
        <f t="shared" si="1"/>
        <v/>
      </c>
      <c r="B62" s="4"/>
      <c r="C62" s="4"/>
      <c r="D62" s="4"/>
      <c r="E62" s="7"/>
      <c r="F62" s="9"/>
      <c r="G62" s="11"/>
      <c r="H62" s="143"/>
    </row>
    <row r="63" spans="1:8" ht="21.95" customHeight="1" x14ac:dyDescent="0.25">
      <c r="A63" s="4" t="str">
        <f t="shared" si="1"/>
        <v/>
      </c>
      <c r="B63" s="4"/>
      <c r="C63" s="4"/>
      <c r="D63" s="4"/>
      <c r="E63" s="7"/>
      <c r="F63" s="9"/>
      <c r="G63" s="11"/>
      <c r="H63" s="143"/>
    </row>
    <row r="64" spans="1:8" ht="21.95" customHeight="1" x14ac:dyDescent="0.25">
      <c r="A64" s="4" t="str">
        <f t="shared" si="1"/>
        <v/>
      </c>
      <c r="B64" s="4"/>
      <c r="C64" s="4"/>
      <c r="D64" s="4"/>
      <c r="E64" s="8"/>
      <c r="F64" s="9"/>
      <c r="G64" s="11"/>
      <c r="H64" s="143"/>
    </row>
    <row r="65" spans="1:8" ht="21.95" customHeight="1" x14ac:dyDescent="0.25">
      <c r="A65" s="4" t="str">
        <f t="shared" si="1"/>
        <v/>
      </c>
      <c r="B65" s="4"/>
      <c r="C65" s="4"/>
      <c r="D65" s="4"/>
      <c r="E65" s="8"/>
      <c r="F65" s="9"/>
      <c r="G65" s="11"/>
      <c r="H65" s="143"/>
    </row>
    <row r="66" spans="1:8" ht="21.95" customHeight="1" x14ac:dyDescent="0.25">
      <c r="A66" s="4" t="str">
        <f t="shared" si="1"/>
        <v/>
      </c>
      <c r="B66" s="4"/>
      <c r="C66" s="4"/>
      <c r="D66" s="4"/>
      <c r="E66" s="8"/>
      <c r="F66" s="9"/>
      <c r="G66" s="11"/>
      <c r="H66" s="143"/>
    </row>
    <row r="67" spans="1:8" ht="21.95" customHeight="1" x14ac:dyDescent="0.25">
      <c r="A67" s="4" t="str">
        <f t="shared" si="1"/>
        <v/>
      </c>
      <c r="B67" s="4"/>
      <c r="C67" s="4"/>
      <c r="D67" s="4"/>
      <c r="E67" s="8"/>
      <c r="F67" s="9"/>
      <c r="G67" s="11"/>
      <c r="H67" s="143"/>
    </row>
    <row r="68" spans="1:8" ht="21.95" customHeight="1" x14ac:dyDescent="0.25">
      <c r="A68" s="4" t="str">
        <f t="shared" si="1"/>
        <v/>
      </c>
      <c r="B68" s="4"/>
      <c r="C68" s="4"/>
      <c r="D68" s="4"/>
      <c r="E68" s="8"/>
      <c r="F68" s="9"/>
      <c r="G68" s="11"/>
      <c r="H68" s="143"/>
    </row>
    <row r="69" spans="1:8" ht="21.95" customHeight="1" x14ac:dyDescent="0.25">
      <c r="A69" s="4" t="str">
        <f t="shared" si="1"/>
        <v/>
      </c>
      <c r="B69" s="4"/>
      <c r="C69" s="4"/>
      <c r="D69" s="4"/>
      <c r="E69" s="8"/>
      <c r="F69" s="9"/>
      <c r="G69" s="11"/>
      <c r="H69" s="143"/>
    </row>
    <row r="70" spans="1:8" ht="21.95" customHeight="1" x14ac:dyDescent="0.25">
      <c r="A70" s="4" t="str">
        <f t="shared" si="1"/>
        <v/>
      </c>
      <c r="B70" s="4"/>
      <c r="C70" s="4"/>
      <c r="D70" s="4"/>
      <c r="E70" s="8"/>
      <c r="F70" s="9"/>
      <c r="G70" s="11"/>
      <c r="H70" s="143"/>
    </row>
    <row r="71" spans="1:8" ht="21.95" customHeight="1" x14ac:dyDescent="0.25">
      <c r="A71" s="4" t="str">
        <f t="shared" si="1"/>
        <v/>
      </c>
      <c r="B71" s="4"/>
      <c r="C71" s="4"/>
      <c r="D71" s="4"/>
      <c r="E71" s="8"/>
      <c r="F71" s="9"/>
      <c r="G71" s="11"/>
      <c r="H71" s="143"/>
    </row>
    <row r="72" spans="1:8" ht="21.95" customHeight="1" x14ac:dyDescent="0.25">
      <c r="A72" s="4" t="str">
        <f t="shared" si="1"/>
        <v/>
      </c>
      <c r="B72" s="4"/>
      <c r="C72" s="4"/>
      <c r="D72" s="4"/>
      <c r="E72" s="8"/>
      <c r="F72" s="9"/>
      <c r="G72" s="11"/>
      <c r="H72" s="143"/>
    </row>
    <row r="73" spans="1:8" ht="21.95" customHeight="1" x14ac:dyDescent="0.25">
      <c r="A73" s="4" t="str">
        <f t="shared" si="1"/>
        <v/>
      </c>
      <c r="B73" s="4"/>
      <c r="C73" s="4"/>
      <c r="D73" s="4"/>
      <c r="E73" s="8"/>
      <c r="F73" s="9"/>
      <c r="G73" s="11"/>
      <c r="H73" s="143"/>
    </row>
    <row r="74" spans="1:8" ht="21.95" customHeight="1" x14ac:dyDescent="0.25">
      <c r="A74" s="4" t="str">
        <f t="shared" ref="A74:A79" si="2">IF(E73 &lt;&gt;"", (A73+1),"")</f>
        <v/>
      </c>
      <c r="B74" s="4"/>
      <c r="C74" s="4"/>
      <c r="D74" s="4"/>
      <c r="E74" s="8"/>
      <c r="F74" s="9"/>
      <c r="G74" s="11"/>
      <c r="H74" s="143"/>
    </row>
    <row r="75" spans="1:8" ht="21.95" customHeight="1" x14ac:dyDescent="0.25">
      <c r="A75" s="4" t="str">
        <f t="shared" si="2"/>
        <v/>
      </c>
      <c r="B75" s="4"/>
      <c r="C75" s="4"/>
      <c r="D75" s="4"/>
      <c r="E75" s="8"/>
      <c r="F75" s="9"/>
      <c r="G75" s="11"/>
      <c r="H75" s="143"/>
    </row>
    <row r="76" spans="1:8" ht="21.95" customHeight="1" x14ac:dyDescent="0.25">
      <c r="A76" s="4" t="str">
        <f t="shared" si="2"/>
        <v/>
      </c>
      <c r="B76" s="4"/>
      <c r="C76" s="4"/>
      <c r="D76" s="4"/>
      <c r="E76" s="8"/>
      <c r="F76" s="9"/>
      <c r="G76" s="11"/>
      <c r="H76" s="143"/>
    </row>
    <row r="77" spans="1:8" ht="21.95" customHeight="1" x14ac:dyDescent="0.25">
      <c r="A77" s="4" t="str">
        <f t="shared" si="2"/>
        <v/>
      </c>
      <c r="B77" s="4"/>
      <c r="C77" s="4"/>
      <c r="D77" s="4"/>
      <c r="E77" s="8"/>
      <c r="F77" s="9"/>
      <c r="G77" s="11"/>
      <c r="H77" s="143"/>
    </row>
    <row r="78" spans="1:8" ht="21.95" customHeight="1" x14ac:dyDescent="0.25">
      <c r="A78" s="4" t="str">
        <f t="shared" si="2"/>
        <v/>
      </c>
      <c r="B78" s="4"/>
      <c r="C78" s="4"/>
      <c r="D78" s="4"/>
      <c r="E78" s="8"/>
      <c r="F78" s="9"/>
      <c r="G78" s="11"/>
      <c r="H78" s="143"/>
    </row>
    <row r="79" spans="1:8" ht="21.95" customHeight="1" x14ac:dyDescent="0.25">
      <c r="A79" s="4" t="str">
        <f t="shared" si="2"/>
        <v/>
      </c>
      <c r="B79" s="4"/>
      <c r="C79" s="4"/>
      <c r="D79" s="4"/>
      <c r="E79" s="8"/>
      <c r="F79" s="9"/>
      <c r="G79" s="11"/>
      <c r="H79" s="143"/>
    </row>
  </sheetData>
  <conditionalFormatting sqref="G6">
    <cfRule type="containsText" dxfId="20" priority="1" operator="containsText" text="NO">
      <formula>NOT(ISERROR(SEARCH("NO",G6)))</formula>
    </cfRule>
  </conditionalFormatting>
  <pageMargins left="0.75" right="0.75" top="1" bottom="1" header="0.5" footer="0.5"/>
  <pageSetup orientation="portrait" horizontalDpi="4294967292" verticalDpi="4294967292" r:id="rId1"/>
  <extLst>
    <ext xmlns:x14="http://schemas.microsoft.com/office/spreadsheetml/2009/9/main" uri="{CCE6A557-97BC-4b89-ADB6-D9C93CAAB3DF}">
      <x14:dataValidations xmlns:xm="http://schemas.microsoft.com/office/excel/2006/main" count="2">
        <x14:dataValidation type="list" showInputMessage="1" showErrorMessage="1">
          <x14:formula1>
            <xm:f>CODES!$B$1:$B$7</xm:f>
          </x14:formula1>
          <xm:sqref>C9:C52</xm:sqref>
        </x14:dataValidation>
        <x14:dataValidation type="list" showInputMessage="1" showErrorMessage="1">
          <x14:formula1>
            <xm:f>CODES!$E$1:$E$17</xm:f>
          </x14:formula1>
          <xm:sqref>D9:D52</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topLeftCell="A13" workbookViewId="0">
      <selection activeCell="C58" sqref="C58"/>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4" customWidth="1"/>
    <col min="8" max="8" width="18.5" customWidth="1"/>
    <col min="9" max="9" width="19.375" customWidth="1"/>
  </cols>
  <sheetData>
    <row r="1" spans="1:10" x14ac:dyDescent="0.25">
      <c r="A1" s="10"/>
      <c r="B1" s="10"/>
      <c r="C1" s="10"/>
      <c r="D1" s="10"/>
      <c r="E1" s="10"/>
      <c r="F1" s="10"/>
      <c r="G1" s="133"/>
      <c r="H1" s="10"/>
      <c r="I1" s="10"/>
      <c r="J1" s="10"/>
    </row>
    <row r="2" spans="1:10" ht="18.75" x14ac:dyDescent="0.3">
      <c r="A2" s="10"/>
      <c r="B2" s="196" t="s">
        <v>405</v>
      </c>
      <c r="C2" s="10"/>
      <c r="D2" s="10"/>
      <c r="E2" s="10"/>
      <c r="F2" s="10"/>
      <c r="G2" s="133"/>
      <c r="H2" s="10"/>
      <c r="I2" s="10"/>
      <c r="J2" s="10"/>
    </row>
    <row r="3" spans="1:10" ht="23.1" customHeight="1" x14ac:dyDescent="0.25">
      <c r="A3" s="10"/>
      <c r="B3" s="121" t="s">
        <v>330</v>
      </c>
      <c r="C3" s="121" t="s">
        <v>331</v>
      </c>
      <c r="D3" s="121" t="s">
        <v>332</v>
      </c>
      <c r="E3" s="121" t="s">
        <v>333</v>
      </c>
      <c r="F3" s="10"/>
      <c r="G3" s="121" t="s">
        <v>342</v>
      </c>
      <c r="H3" s="121" t="s">
        <v>332</v>
      </c>
      <c r="I3" s="121" t="s">
        <v>333</v>
      </c>
      <c r="J3" s="10"/>
    </row>
    <row r="4" spans="1:10" ht="29.1" customHeight="1" x14ac:dyDescent="0.25">
      <c r="A4" s="10"/>
      <c r="B4" s="122">
        <v>111</v>
      </c>
      <c r="C4" s="123" t="s">
        <v>12</v>
      </c>
      <c r="D4" s="124">
        <f>COUNTIF('2021-22 Expenditures'!D9:D79,"111")</f>
        <v>0</v>
      </c>
      <c r="E4" s="127">
        <f>SUMIF('2021-22 Expenditures'!D9:D79,"111", '2021-22 Expenditures'!F9:F79)</f>
        <v>0</v>
      </c>
      <c r="F4" s="10"/>
      <c r="G4" s="135" t="s">
        <v>350</v>
      </c>
      <c r="H4" s="136">
        <f>COUNTIF('2021-22 Expenditures'!C9:C79,"ADMIN")</f>
        <v>1</v>
      </c>
      <c r="I4" s="137">
        <f>SUMIF('2021-22 Expenditures'!C9:C79,"ADMIN", '2021-22 Expenditures'!F9:F79)</f>
        <v>1350</v>
      </c>
      <c r="J4" s="10"/>
    </row>
    <row r="5" spans="1:10" ht="29.1" customHeight="1" x14ac:dyDescent="0.25">
      <c r="A5" s="10"/>
      <c r="B5" s="119">
        <v>112</v>
      </c>
      <c r="C5" s="120" t="s">
        <v>13</v>
      </c>
      <c r="D5" s="118">
        <f>COUNTIF('2021-22 Expenditures'!D9:D79,"112")</f>
        <v>0</v>
      </c>
      <c r="E5" s="128">
        <f>SUMIF('2021-22 Expenditures'!D9:D79,"112", '2021-22 Expenditures'!F9:F79)</f>
        <v>0</v>
      </c>
      <c r="F5" s="10"/>
      <c r="G5" s="138" t="s">
        <v>374</v>
      </c>
      <c r="H5" s="139">
        <f>COUNTIF('2021-22 Expenditures'!C9:C79,"OCG")</f>
        <v>0</v>
      </c>
      <c r="I5" s="140">
        <f>SUMIF('2021-22 Expenditures'!C9:C79,"OCG", '2021-22 Expenditures'!F9:F79)</f>
        <v>0</v>
      </c>
      <c r="J5" s="10"/>
    </row>
    <row r="6" spans="1:10" ht="29.1" customHeight="1" x14ac:dyDescent="0.25">
      <c r="A6" s="10"/>
      <c r="B6" s="122">
        <v>113</v>
      </c>
      <c r="C6" s="123" t="s">
        <v>14</v>
      </c>
      <c r="D6" s="124">
        <f>COUNTIF('2021-22 Expenditures'!D9:D79,"113")</f>
        <v>0</v>
      </c>
      <c r="E6" s="129">
        <f>SUMIF('2021-22 Expenditures'!D9:D79,"113", '2021-22 Expenditures'!F9:F79)</f>
        <v>0</v>
      </c>
      <c r="F6" s="10"/>
      <c r="G6" s="135" t="s">
        <v>339</v>
      </c>
      <c r="H6" s="136">
        <f>COUNTIF('2021-22 Expenditures'!C9:C79,"IIT")</f>
        <v>0</v>
      </c>
      <c r="I6" s="137">
        <f>SUMIF('2021-22 Expenditures'!C9:C79,"IIT", '2021-22 Expenditures'!F9:F79)</f>
        <v>0</v>
      </c>
      <c r="J6" s="10"/>
    </row>
    <row r="7" spans="1:10" ht="29.1" customHeight="1" x14ac:dyDescent="0.25">
      <c r="A7" s="10"/>
      <c r="B7" s="119" t="s">
        <v>4</v>
      </c>
      <c r="C7" s="120" t="s">
        <v>15</v>
      </c>
      <c r="D7" s="118">
        <f>COUNTIF('2021-22 Expenditures'!D9:D79,"12x")</f>
        <v>0</v>
      </c>
      <c r="E7" s="128">
        <f>SUMIF('2021-22 Expenditures'!D9:D79,"12x", '2021-22 Expenditures'!F9:F79)</f>
        <v>0</v>
      </c>
      <c r="F7" s="10"/>
      <c r="G7" s="138" t="s">
        <v>340</v>
      </c>
      <c r="H7" s="139">
        <f>COUNTIF('2021-22 Expenditures'!C9:C79,"H&amp;S")</f>
        <v>0</v>
      </c>
      <c r="I7" s="140">
        <f>SUMIF('2021-22 Expenditures'!C9:C79,"H&amp;S", '2021-22 Expenditures'!F9:F79)</f>
        <v>0</v>
      </c>
      <c r="J7" s="10"/>
    </row>
    <row r="8" spans="1:10" ht="29.1" customHeight="1" x14ac:dyDescent="0.25">
      <c r="A8" s="10"/>
      <c r="B8" s="122" t="s">
        <v>5</v>
      </c>
      <c r="C8" s="123" t="s">
        <v>16</v>
      </c>
      <c r="D8" s="124">
        <f>COUNTIF('2021-22 Expenditures'!D9:D79,"13x")</f>
        <v>0</v>
      </c>
      <c r="E8" s="129">
        <f>SUMIF('2021-22 Expenditures'!D9:D79,"13x", '2021-22 Expenditures'!F9:F79)</f>
        <v>0</v>
      </c>
      <c r="F8" s="10"/>
      <c r="G8" s="135" t="s">
        <v>341</v>
      </c>
      <c r="H8" s="136">
        <f>COUNTIF('2021-22 Expenditures'!C9:C79,"RCS")</f>
        <v>0</v>
      </c>
      <c r="I8" s="137">
        <f>SUMIF('2021-22 Expenditures'!C9:C79,"RCS", '2021-22 Expenditures'!F9:F79)</f>
        <v>0</v>
      </c>
      <c r="J8" s="10"/>
    </row>
    <row r="9" spans="1:10" ht="29.1" customHeight="1" x14ac:dyDescent="0.25">
      <c r="A9" s="10"/>
      <c r="B9" s="119" t="s">
        <v>3</v>
      </c>
      <c r="C9" s="120" t="s">
        <v>17</v>
      </c>
      <c r="D9" s="118">
        <f>COUNTIF('2021-22 Expenditures'!D9:D79,"2xx")</f>
        <v>0</v>
      </c>
      <c r="E9" s="128">
        <f>SUMIF('2021-22 Expenditures'!D9:D79,"2xx", '2021-22 Expenditures'!F9:F79)</f>
        <v>0</v>
      </c>
      <c r="F9" s="10"/>
      <c r="G9" s="138" t="s">
        <v>365</v>
      </c>
      <c r="H9" s="139">
        <f>COUNTIF('2021-22 Expenditures'!C9:C79,"WRE")</f>
        <v>0</v>
      </c>
      <c r="I9" s="140">
        <f>SUMIF('2021-22 Expenditures'!C9:C79,"WRE", '2021-22 Expenditures'!F9:F79)</f>
        <v>0</v>
      </c>
      <c r="J9" s="10"/>
    </row>
    <row r="10" spans="1:10" ht="29.1" customHeight="1" x14ac:dyDescent="0.25">
      <c r="A10" s="10"/>
      <c r="B10" s="122" t="s">
        <v>18</v>
      </c>
      <c r="C10" s="123" t="s">
        <v>19</v>
      </c>
      <c r="D10" s="124">
        <f>COUNTIF('2021-22 Expenditures'!D9:D79,"31x")</f>
        <v>0</v>
      </c>
      <c r="E10" s="129">
        <f>SUMIF('2021-22 Expenditures'!D9:D79,"31x", '2021-22 Expenditures'!F9:F79)</f>
        <v>0</v>
      </c>
      <c r="F10" s="10"/>
      <c r="G10" s="133"/>
      <c r="H10" s="10"/>
      <c r="I10" s="10"/>
      <c r="J10" s="10"/>
    </row>
    <row r="11" spans="1:10" ht="29.1" customHeight="1" x14ac:dyDescent="0.25">
      <c r="A11" s="10"/>
      <c r="B11" s="119" t="s">
        <v>6</v>
      </c>
      <c r="C11" s="120" t="s">
        <v>20</v>
      </c>
      <c r="D11" s="118">
        <f>COUNTIF('2021-22 Expenditures'!D9:D79,"33x")</f>
        <v>0</v>
      </c>
      <c r="E11" s="128">
        <f>SUMIF('2021-22 Expenditures'!D9:D79,"33x", '2021-22 Expenditures'!F9:F79)</f>
        <v>0</v>
      </c>
      <c r="F11" s="10"/>
      <c r="G11" s="133"/>
      <c r="H11" s="141" t="s">
        <v>334</v>
      </c>
      <c r="I11" s="142">
        <f>SUM(I4:I9)</f>
        <v>1350</v>
      </c>
      <c r="J11" s="10"/>
    </row>
    <row r="12" spans="1:10" ht="29.1" customHeight="1" x14ac:dyDescent="0.25">
      <c r="A12" s="10"/>
      <c r="B12" s="122" t="s">
        <v>7</v>
      </c>
      <c r="C12" s="123" t="s">
        <v>21</v>
      </c>
      <c r="D12" s="124">
        <f>COUNTIF('2021-22 Expenditures'!D9:D79,"34x")</f>
        <v>0</v>
      </c>
      <c r="E12" s="129">
        <f>SUMIF('2021-22 Expenditures'!D9:D79,"34x", '2021-22 Expenditures'!F9:F79)</f>
        <v>0</v>
      </c>
      <c r="F12" s="10"/>
      <c r="G12" s="133"/>
      <c r="H12" s="10"/>
      <c r="I12" s="10"/>
      <c r="J12" s="10"/>
    </row>
    <row r="13" spans="1:10" ht="29.1" customHeight="1" x14ac:dyDescent="0.25">
      <c r="A13" s="10"/>
      <c r="B13" s="119" t="s">
        <v>8</v>
      </c>
      <c r="C13" s="120" t="s">
        <v>22</v>
      </c>
      <c r="D13" s="118">
        <f>COUNTIF('2021-22 Expenditures'!D9:D79,"35x")</f>
        <v>0</v>
      </c>
      <c r="E13" s="128">
        <f>SUMIF('2021-22 Expenditures'!D9:D79,"35x", '2021-22 Expenditures'!F9:F79)</f>
        <v>0</v>
      </c>
      <c r="F13" s="10"/>
      <c r="G13" s="133"/>
      <c r="H13" s="10"/>
      <c r="I13" s="10"/>
      <c r="J13" s="10"/>
    </row>
    <row r="14" spans="1:10" ht="29.1" customHeight="1" x14ac:dyDescent="0.25">
      <c r="A14" s="10"/>
      <c r="B14" s="122" t="s">
        <v>9</v>
      </c>
      <c r="C14" s="123" t="s">
        <v>23</v>
      </c>
      <c r="D14" s="124">
        <f>COUNTIF('2021-22 Expenditures'!D9:D79,"4xx")</f>
        <v>0</v>
      </c>
      <c r="E14" s="129">
        <f>SUMIF('2021-22 Expenditures'!D9:D79,"4xx", '2021-22 Expenditures'!F9:F79)</f>
        <v>0</v>
      </c>
      <c r="F14" s="10"/>
      <c r="G14" s="133"/>
      <c r="H14" s="10"/>
      <c r="I14" s="10"/>
      <c r="J14" s="10"/>
    </row>
    <row r="15" spans="1:10" ht="29.1" customHeight="1" x14ac:dyDescent="0.25">
      <c r="A15" s="10"/>
      <c r="B15" s="119" t="s">
        <v>10</v>
      </c>
      <c r="C15" s="120" t="s">
        <v>24</v>
      </c>
      <c r="D15" s="118">
        <f>COUNTIF('2021-22 Expenditures'!D9:D79,"5xx")</f>
        <v>0</v>
      </c>
      <c r="E15" s="128">
        <f>SUMIF('2021-22 Expenditures'!D9:D79,"5xx", '2021-22 Expenditures'!F9:F79)</f>
        <v>0</v>
      </c>
      <c r="F15" s="10"/>
      <c r="G15" s="133"/>
      <c r="H15" s="10"/>
      <c r="I15" s="10"/>
      <c r="J15" s="10"/>
    </row>
    <row r="16" spans="1:10" ht="29.1" customHeight="1" x14ac:dyDescent="0.25">
      <c r="A16" s="10"/>
      <c r="B16" s="122">
        <v>640</v>
      </c>
      <c r="C16" s="123" t="s">
        <v>25</v>
      </c>
      <c r="D16" s="124">
        <f>COUNTIF('2021-22 Expenditures'!D9:D79,"640")</f>
        <v>0</v>
      </c>
      <c r="E16" s="129">
        <f>SUMIF('2021-22 Expenditures'!D9:D79,"640", '2021-22 Expenditures'!F9:F79)</f>
        <v>0</v>
      </c>
      <c r="F16" s="10"/>
      <c r="G16" s="133"/>
      <c r="H16" s="10"/>
      <c r="I16" s="10"/>
      <c r="J16" s="10"/>
    </row>
    <row r="17" spans="1:10" ht="29.1" customHeight="1" x14ac:dyDescent="0.25">
      <c r="A17" s="10"/>
      <c r="B17" s="119" t="s">
        <v>11</v>
      </c>
      <c r="C17" s="120" t="s">
        <v>345</v>
      </c>
      <c r="D17" s="118">
        <f>COUNTIF('2021-22 Expenditures'!D9:D79,"8xx")</f>
        <v>0</v>
      </c>
      <c r="E17" s="128">
        <f>SUMIF('2021-22 Expenditures'!D9:D79,"8xx", '2021-22 Expenditures'!F9:F79)</f>
        <v>0</v>
      </c>
      <c r="F17" s="10"/>
      <c r="G17" s="133"/>
      <c r="H17" s="10"/>
      <c r="I17" s="10"/>
      <c r="J17" s="10"/>
    </row>
    <row r="18" spans="1:10" ht="29.1" customHeight="1" x14ac:dyDescent="0.25">
      <c r="A18" s="10"/>
      <c r="B18" s="122" t="s">
        <v>346</v>
      </c>
      <c r="C18" s="123" t="s">
        <v>348</v>
      </c>
      <c r="D18" s="124">
        <f>COUNTIF('2021-22 Expenditures'!D9:D81,"ADMIN")</f>
        <v>0</v>
      </c>
      <c r="E18" s="129">
        <f>SUMIF('2021-22 Expenditures'!D9:D81,"ADMIN", '2021-22 Expenditures'!F9:F81)</f>
        <v>0</v>
      </c>
      <c r="F18" s="10"/>
      <c r="G18" s="133"/>
      <c r="H18" s="10"/>
      <c r="I18" s="10"/>
      <c r="J18" s="10"/>
    </row>
    <row r="19" spans="1:10" ht="29.1" customHeight="1" x14ac:dyDescent="0.25">
      <c r="A19" s="10"/>
      <c r="B19" s="149" t="s">
        <v>344</v>
      </c>
      <c r="C19" s="150" t="s">
        <v>349</v>
      </c>
      <c r="D19" s="136">
        <f>COUNTIF('2021-22 Expenditures'!D9:D81,"OTHER")</f>
        <v>0</v>
      </c>
      <c r="E19" s="151">
        <f>SUMIF('2021-22 Expenditures'!D9:D81,"OTHER", '2021-22 Expenditures'!F9:F81)</f>
        <v>0</v>
      </c>
      <c r="F19" s="10"/>
      <c r="G19" s="133"/>
      <c r="H19" s="10"/>
      <c r="I19" s="10"/>
      <c r="J19" s="10"/>
    </row>
    <row r="20" spans="1:10" x14ac:dyDescent="0.25">
      <c r="A20" s="10"/>
      <c r="B20" s="10"/>
      <c r="C20" s="10"/>
      <c r="D20" s="10"/>
      <c r="E20" s="10"/>
      <c r="F20" s="10"/>
      <c r="G20" s="133"/>
      <c r="H20" s="10"/>
      <c r="I20" s="10"/>
      <c r="J20" s="10"/>
    </row>
    <row r="21" spans="1:10" ht="30" customHeight="1" x14ac:dyDescent="0.25">
      <c r="A21" s="10"/>
      <c r="B21" s="10"/>
      <c r="C21" s="10"/>
      <c r="D21" s="125" t="s">
        <v>334</v>
      </c>
      <c r="E21" s="126">
        <f>SUM(E4:E19)</f>
        <v>0</v>
      </c>
      <c r="F21" s="10"/>
      <c r="G21" s="133"/>
      <c r="H21" s="10"/>
      <c r="I21" s="10"/>
      <c r="J21" s="10"/>
    </row>
    <row r="22" spans="1:10" ht="32.1" customHeight="1" x14ac:dyDescent="0.25">
      <c r="A22" s="10"/>
      <c r="B22" s="10"/>
      <c r="C22" s="10"/>
      <c r="D22" s="130" t="s">
        <v>335</v>
      </c>
      <c r="E22" s="132">
        <f>SUM('2021-22 Expenditures'!B9:B79)</f>
        <v>0</v>
      </c>
      <c r="F22" s="10"/>
      <c r="G22" s="133"/>
      <c r="H22" s="10"/>
      <c r="I22" s="10"/>
      <c r="J22" s="10"/>
    </row>
    <row r="23" spans="1:10" x14ac:dyDescent="0.25">
      <c r="A23" s="10"/>
      <c r="B23" s="10"/>
      <c r="C23" s="10"/>
      <c r="D23" s="10"/>
      <c r="E23" s="10"/>
      <c r="F23" s="10"/>
      <c r="G23" s="133"/>
      <c r="H23" s="10"/>
      <c r="I23" s="10"/>
      <c r="J23" s="10"/>
    </row>
    <row r="24" spans="1:10" ht="18.75" x14ac:dyDescent="0.3">
      <c r="A24" s="10"/>
      <c r="B24" s="196" t="s">
        <v>406</v>
      </c>
      <c r="C24" s="10"/>
      <c r="D24" s="10"/>
      <c r="E24" s="10"/>
      <c r="F24" s="10"/>
      <c r="G24" s="133"/>
      <c r="H24" s="10"/>
      <c r="I24" s="10"/>
      <c r="J24" s="10"/>
    </row>
    <row r="25" spans="1:10" ht="29.1" customHeight="1" x14ac:dyDescent="0.25">
      <c r="A25" s="10"/>
      <c r="B25" s="121" t="s">
        <v>330</v>
      </c>
      <c r="C25" s="121" t="s">
        <v>331</v>
      </c>
      <c r="D25" s="121" t="s">
        <v>332</v>
      </c>
      <c r="E25" s="121" t="s">
        <v>333</v>
      </c>
      <c r="F25" s="10"/>
      <c r="G25" s="121" t="s">
        <v>342</v>
      </c>
      <c r="H25" s="121" t="s">
        <v>332</v>
      </c>
      <c r="I25" s="121" t="s">
        <v>333</v>
      </c>
      <c r="J25" s="10"/>
    </row>
    <row r="26" spans="1:10" ht="29.1" customHeight="1" x14ac:dyDescent="0.25">
      <c r="A26" s="10"/>
      <c r="B26" s="122">
        <v>111</v>
      </c>
      <c r="C26" s="123" t="s">
        <v>12</v>
      </c>
      <c r="D26" s="124">
        <f>COUNTIF('2022-23 Expenditures'!D9:D79,"111")</f>
        <v>0</v>
      </c>
      <c r="E26" s="127">
        <f>SUMIF('2022-23 Expenditures'!D9:D79,"111", '2022-23 Expenditures'!F9:F79)</f>
        <v>0</v>
      </c>
      <c r="F26" s="10"/>
      <c r="G26" s="135" t="s">
        <v>350</v>
      </c>
      <c r="H26" s="136">
        <f>COUNTIF('2022-23 Expenditures'!C9:C79,"ADMIN")</f>
        <v>1</v>
      </c>
      <c r="I26" s="137">
        <f>SUMIF('2022-23 Expenditures'!C9:C79,"ADMIN", '2022-23 Expenditures'!F9:F79)</f>
        <v>1402</v>
      </c>
      <c r="J26" s="10"/>
    </row>
    <row r="27" spans="1:10" ht="29.1" customHeight="1" x14ac:dyDescent="0.25">
      <c r="A27" s="10"/>
      <c r="B27" s="119">
        <v>112</v>
      </c>
      <c r="C27" s="120" t="s">
        <v>13</v>
      </c>
      <c r="D27" s="118">
        <f>COUNTIF('2022-23 Expenditures'!D9:D79,"112")</f>
        <v>0</v>
      </c>
      <c r="E27" s="128">
        <f>SUMIF('2022-23 Expenditures'!D9:D79,"112", '2022-23 Expenditures'!F9:F79)</f>
        <v>0</v>
      </c>
      <c r="F27" s="10"/>
      <c r="G27" s="138" t="s">
        <v>374</v>
      </c>
      <c r="H27" s="139">
        <f>COUNTIF('2022-23 Expenditures'!C9:C79,"OCG")</f>
        <v>0</v>
      </c>
      <c r="I27" s="140">
        <f>SUMIF('2022-23 Expenditures'!C9:C79,"OCG", '2022-23 Expenditures'!F9:F79)</f>
        <v>0</v>
      </c>
      <c r="J27" s="10"/>
    </row>
    <row r="28" spans="1:10" ht="29.1" customHeight="1" x14ac:dyDescent="0.25">
      <c r="A28" s="10"/>
      <c r="B28" s="122">
        <v>113</v>
      </c>
      <c r="C28" s="123" t="s">
        <v>14</v>
      </c>
      <c r="D28" s="124">
        <f>COUNTIF('2022-23 Expenditures'!D9:D79,"113")</f>
        <v>0</v>
      </c>
      <c r="E28" s="129">
        <f>SUMIF('2022-23 Expenditures'!D9:D79,"113", '2022-23 Expenditures'!F9:F79)</f>
        <v>0</v>
      </c>
      <c r="F28" s="10"/>
      <c r="G28" s="135" t="s">
        <v>339</v>
      </c>
      <c r="H28" s="136">
        <f>COUNTIF('2022-23 Expenditures'!C9:C79,"IIT")</f>
        <v>0</v>
      </c>
      <c r="I28" s="137">
        <f>SUMIF('2022-23 Expenditures'!C9:C79,"IIt", '2022-23 Expenditures'!F9:F79)</f>
        <v>0</v>
      </c>
      <c r="J28" s="10"/>
    </row>
    <row r="29" spans="1:10" ht="29.1" customHeight="1" x14ac:dyDescent="0.25">
      <c r="A29" s="10"/>
      <c r="B29" s="119" t="s">
        <v>4</v>
      </c>
      <c r="C29" s="120" t="s">
        <v>15</v>
      </c>
      <c r="D29" s="118">
        <f>COUNTIF('2022-23 Expenditures'!D9:D79,"12x")</f>
        <v>0</v>
      </c>
      <c r="E29" s="128">
        <f>SUMIF('2022-23 Expenditures'!D9:D79,"12x", '2022-23 Expenditures'!F9:F79)</f>
        <v>0</v>
      </c>
      <c r="F29" s="10"/>
      <c r="G29" s="138" t="s">
        <v>340</v>
      </c>
      <c r="H29" s="139">
        <f>COUNTIF('2022-23 Expenditures'!C9:C79,"H&amp;S")</f>
        <v>0</v>
      </c>
      <c r="I29" s="140">
        <f>SUMIF('2022-23 Expenditures'!C9:C79,"H&amp;S", '2022-23 Expenditures'!F9:F79)</f>
        <v>0</v>
      </c>
      <c r="J29" s="10"/>
    </row>
    <row r="30" spans="1:10" ht="29.1" customHeight="1" x14ac:dyDescent="0.25">
      <c r="A30" s="10"/>
      <c r="B30" s="122" t="s">
        <v>5</v>
      </c>
      <c r="C30" s="123" t="s">
        <v>16</v>
      </c>
      <c r="D30" s="124">
        <f>COUNTIF('2022-23 Expenditures'!D9:D79,"13x")</f>
        <v>0</v>
      </c>
      <c r="E30" s="129">
        <f>SUMIF('2022-23 Expenditures'!D9:D79,"13x", '2022-23 Expenditures'!F9:F79)</f>
        <v>0</v>
      </c>
      <c r="F30" s="10"/>
      <c r="G30" s="135" t="s">
        <v>341</v>
      </c>
      <c r="H30" s="136">
        <f>COUNTIF('2022-23 Expenditures'!C9:C79,"RCS")</f>
        <v>0</v>
      </c>
      <c r="I30" s="137">
        <f>SUMIF('2022-23 Expenditures'!C9:C79,"RCS", '2022-23 Expenditures'!F9:F79)</f>
        <v>0</v>
      </c>
      <c r="J30" s="10"/>
    </row>
    <row r="31" spans="1:10" ht="29.1" customHeight="1" x14ac:dyDescent="0.25">
      <c r="A31" s="10"/>
      <c r="B31" s="119" t="s">
        <v>3</v>
      </c>
      <c r="C31" s="120" t="s">
        <v>17</v>
      </c>
      <c r="D31" s="118">
        <f>COUNTIF('2022-23 Expenditures'!D9:D79,"2xx")</f>
        <v>0</v>
      </c>
      <c r="E31" s="128">
        <f>SUMIF('2022-23 Expenditures'!D9:D79,"2xx", '2022-23 Expenditures'!F9:F79)</f>
        <v>0</v>
      </c>
      <c r="F31" s="10"/>
      <c r="G31" s="138" t="s">
        <v>365</v>
      </c>
      <c r="H31" s="139">
        <f>COUNTIF('2022-23 Expenditures'!C9:C79,"WRE")</f>
        <v>0</v>
      </c>
      <c r="I31" s="140">
        <f>SUMIF('2022-23 Expenditures'!C9:C79,"WRE", '2022-23 Expenditures'!F9:F79)</f>
        <v>0</v>
      </c>
      <c r="J31" s="10"/>
    </row>
    <row r="32" spans="1:10" ht="29.1" customHeight="1" x14ac:dyDescent="0.25">
      <c r="A32" s="10"/>
      <c r="B32" s="122" t="s">
        <v>18</v>
      </c>
      <c r="C32" s="123" t="s">
        <v>19</v>
      </c>
      <c r="D32" s="124">
        <f>COUNTIF('2022-23 Expenditures'!D9:D79,"31x")</f>
        <v>0</v>
      </c>
      <c r="E32" s="129">
        <f>SUMIF('2022-23 Expenditures'!D9:D79,"31x", '2022-23 Expenditures'!F9:F79)</f>
        <v>0</v>
      </c>
      <c r="F32" s="10"/>
      <c r="G32" s="133"/>
      <c r="H32" s="10"/>
      <c r="I32" s="10"/>
      <c r="J32" s="10"/>
    </row>
    <row r="33" spans="1:10" ht="29.1" customHeight="1" x14ac:dyDescent="0.25">
      <c r="A33" s="10"/>
      <c r="B33" s="119" t="s">
        <v>6</v>
      </c>
      <c r="C33" s="120" t="s">
        <v>20</v>
      </c>
      <c r="D33" s="118">
        <f>COUNTIF('2022-23 Expenditures'!D9:D79,"33x")</f>
        <v>0</v>
      </c>
      <c r="E33" s="128">
        <f>SUMIF('2022-23 Expenditures'!D9:D79,"33x", '2022-23 Expenditures'!F9:F79)</f>
        <v>0</v>
      </c>
      <c r="F33" s="10"/>
      <c r="G33" s="133"/>
      <c r="H33" s="141" t="s">
        <v>334</v>
      </c>
      <c r="I33" s="142">
        <f>SUM(I26:I31)</f>
        <v>1402</v>
      </c>
      <c r="J33" s="10"/>
    </row>
    <row r="34" spans="1:10" ht="29.1" customHeight="1" x14ac:dyDescent="0.25">
      <c r="A34" s="10"/>
      <c r="B34" s="122" t="s">
        <v>7</v>
      </c>
      <c r="C34" s="123" t="s">
        <v>21</v>
      </c>
      <c r="D34" s="124">
        <f>COUNTIF('2022-23 Expenditures'!D9:D79,"34x")</f>
        <v>0</v>
      </c>
      <c r="E34" s="129">
        <f>SUMIF('2022-23 Expenditures'!D9:D79,"34x", '2022-23 Expenditures'!F9:F79)</f>
        <v>0</v>
      </c>
      <c r="F34" s="10"/>
      <c r="G34" s="133"/>
      <c r="H34" s="10"/>
      <c r="I34" s="10"/>
      <c r="J34" s="10"/>
    </row>
    <row r="35" spans="1:10" ht="29.1" customHeight="1" x14ac:dyDescent="0.25">
      <c r="A35" s="10"/>
      <c r="B35" s="119" t="s">
        <v>8</v>
      </c>
      <c r="C35" s="120" t="s">
        <v>22</v>
      </c>
      <c r="D35" s="118">
        <f>COUNTIF('2022-23 Expenditures'!D9:D79,"35x")</f>
        <v>0</v>
      </c>
      <c r="E35" s="128">
        <f>SUMIF('2022-23 Expenditures'!D9:D79,"35x", '2022-23 Expenditures'!F9:F79)</f>
        <v>0</v>
      </c>
      <c r="F35" s="10"/>
      <c r="G35" s="133"/>
      <c r="H35" s="10"/>
      <c r="I35" s="10"/>
      <c r="J35" s="10"/>
    </row>
    <row r="36" spans="1:10" ht="29.1" customHeight="1" x14ac:dyDescent="0.25">
      <c r="A36" s="10"/>
      <c r="B36" s="122" t="s">
        <v>9</v>
      </c>
      <c r="C36" s="123" t="s">
        <v>23</v>
      </c>
      <c r="D36" s="124">
        <f>COUNTIF('2022-23 Expenditures'!D9:D79,"4xx")</f>
        <v>0</v>
      </c>
      <c r="E36" s="129">
        <f>SUMIF('2022-23 Expenditures'!D9:D79,"4xx", '2022-23 Expenditures'!F9:F79)</f>
        <v>0</v>
      </c>
      <c r="F36" s="10"/>
      <c r="G36" s="133"/>
      <c r="H36" s="10"/>
      <c r="I36" s="10"/>
      <c r="J36" s="10"/>
    </row>
    <row r="37" spans="1:10" ht="29.1" customHeight="1" x14ac:dyDescent="0.25">
      <c r="A37" s="10"/>
      <c r="B37" s="119" t="s">
        <v>10</v>
      </c>
      <c r="C37" s="120" t="s">
        <v>24</v>
      </c>
      <c r="D37" s="118">
        <f>COUNTIF('2022-23 Expenditures'!D9:D79,"5xx")</f>
        <v>0</v>
      </c>
      <c r="E37" s="128">
        <f>SUMIF('2022-23 Expenditures'!D9:D79,"5xx", '2022-23 Expenditures'!F9:F79)</f>
        <v>0</v>
      </c>
      <c r="F37" s="10"/>
      <c r="G37" s="133"/>
      <c r="H37" s="10"/>
      <c r="I37" s="10"/>
      <c r="J37" s="10"/>
    </row>
    <row r="38" spans="1:10" ht="29.1" customHeight="1" x14ac:dyDescent="0.25">
      <c r="A38" s="10"/>
      <c r="B38" s="122">
        <v>640</v>
      </c>
      <c r="C38" s="123" t="s">
        <v>25</v>
      </c>
      <c r="D38" s="124">
        <f>COUNTIF('2022-23 Expenditures'!D9:D79,"640")</f>
        <v>0</v>
      </c>
      <c r="E38" s="129">
        <f>SUMIF('2022-23 Expenditures'!D9:D79,"640", '2022-23 Expenditures'!F9:F79)</f>
        <v>0</v>
      </c>
      <c r="F38" s="10"/>
      <c r="G38" s="133"/>
      <c r="H38" s="10"/>
      <c r="I38" s="10"/>
      <c r="J38" s="10"/>
    </row>
    <row r="39" spans="1:10" ht="29.1" customHeight="1" x14ac:dyDescent="0.25">
      <c r="A39" s="10"/>
      <c r="B39" s="119" t="s">
        <v>11</v>
      </c>
      <c r="C39" s="120" t="s">
        <v>345</v>
      </c>
      <c r="D39" s="118">
        <f>COUNTIF('2022-23 Expenditures'!D9:D79,"8xx")</f>
        <v>0</v>
      </c>
      <c r="E39" s="128">
        <f>SUMIF('2022-23 Expenditures'!D9:D79,"8xx", '2022-23 Expenditures'!F9:F79)</f>
        <v>0</v>
      </c>
      <c r="F39" s="10"/>
      <c r="G39" s="133"/>
      <c r="H39" s="10"/>
      <c r="I39" s="10"/>
      <c r="J39" s="10"/>
    </row>
    <row r="40" spans="1:10" ht="29.1" customHeight="1" x14ac:dyDescent="0.25">
      <c r="A40" s="10"/>
      <c r="B40" s="122" t="s">
        <v>346</v>
      </c>
      <c r="C40" s="123" t="s">
        <v>348</v>
      </c>
      <c r="D40" s="124">
        <f>COUNTIF('2022-23 Expenditures'!D9:D79,"ADMIN")</f>
        <v>0</v>
      </c>
      <c r="E40" s="129">
        <f>SUMIF('2022-23 Expenditures'!D9:D79,"ADMIN", '2022-23 Expenditures'!F9:F79)</f>
        <v>0</v>
      </c>
      <c r="F40" s="10"/>
      <c r="G40" s="133"/>
      <c r="H40" s="10"/>
      <c r="I40" s="10"/>
      <c r="J40" s="10"/>
    </row>
    <row r="41" spans="1:10" ht="29.1" customHeight="1" x14ac:dyDescent="0.25">
      <c r="A41" s="10"/>
      <c r="B41" s="149" t="s">
        <v>344</v>
      </c>
      <c r="C41" s="150" t="s">
        <v>349</v>
      </c>
      <c r="D41" s="136">
        <f>COUNTIF('2022-23 Expenditures'!D9:D79,"OTHER")</f>
        <v>0</v>
      </c>
      <c r="E41" s="151">
        <f>SUMIF('2022-23 Expenditures'!D9:D79,"OTHER", '2022-23 Expenditures'!F9:F79)</f>
        <v>0</v>
      </c>
      <c r="F41" s="10"/>
      <c r="G41" s="133"/>
      <c r="H41" s="10"/>
      <c r="I41" s="10"/>
      <c r="J41" s="10"/>
    </row>
    <row r="42" spans="1:10" ht="29.1" customHeight="1" x14ac:dyDescent="0.25">
      <c r="A42" s="10"/>
      <c r="B42" s="10"/>
      <c r="C42" s="10"/>
      <c r="D42" s="10"/>
      <c r="E42" s="10"/>
      <c r="F42" s="10"/>
      <c r="G42" s="133"/>
      <c r="H42" s="10"/>
      <c r="I42" s="10"/>
      <c r="J42" s="10"/>
    </row>
    <row r="43" spans="1:10" ht="29.1" customHeight="1" x14ac:dyDescent="0.25">
      <c r="A43" s="10"/>
      <c r="B43" s="10"/>
      <c r="C43" s="10"/>
      <c r="D43" s="125" t="s">
        <v>334</v>
      </c>
      <c r="E43" s="126">
        <f>SUM(E26:E41)</f>
        <v>0</v>
      </c>
      <c r="F43" s="10"/>
      <c r="G43" s="133"/>
      <c r="H43" s="10"/>
      <c r="I43" s="10"/>
      <c r="J43" s="10"/>
    </row>
    <row r="44" spans="1:10" ht="29.1" customHeight="1" x14ac:dyDescent="0.25">
      <c r="A44" s="10"/>
      <c r="B44" s="10"/>
      <c r="C44" s="10"/>
      <c r="D44" s="130" t="s">
        <v>335</v>
      </c>
      <c r="E44" s="132">
        <f>SUM('2022-23 Expenditures'!B9:B79)</f>
        <v>0</v>
      </c>
      <c r="F44" s="10"/>
      <c r="G44" s="133"/>
      <c r="H44" s="10"/>
      <c r="I44" s="10"/>
      <c r="J44" s="10"/>
    </row>
    <row r="45" spans="1:10" ht="29.1" customHeight="1" x14ac:dyDescent="0.25">
      <c r="A45" s="10"/>
      <c r="B45" s="10"/>
      <c r="C45" s="10"/>
      <c r="D45" s="10"/>
      <c r="E45" s="10"/>
      <c r="F45" s="10"/>
      <c r="G45" s="133"/>
      <c r="H45" s="10"/>
      <c r="I45" s="10"/>
      <c r="J45" s="10"/>
    </row>
    <row r="46" spans="1:10" x14ac:dyDescent="0.25">
      <c r="A46" s="10"/>
      <c r="B46" s="10"/>
      <c r="C46" s="10"/>
      <c r="D46" s="10"/>
      <c r="E46" s="10"/>
      <c r="F46" s="10"/>
      <c r="G46" s="133"/>
      <c r="H46" s="10"/>
      <c r="I46" s="10"/>
      <c r="J46" s="10"/>
    </row>
    <row r="47" spans="1:10" x14ac:dyDescent="0.25">
      <c r="A47" s="10"/>
      <c r="B47" s="10"/>
      <c r="C47" s="10"/>
      <c r="D47" s="10"/>
      <c r="E47" s="10"/>
      <c r="F47" s="10"/>
      <c r="G47" s="133"/>
      <c r="H47" s="10"/>
      <c r="I47" s="10"/>
      <c r="J47" s="10"/>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8" sqref="C8"/>
    </sheetView>
  </sheetViews>
  <sheetFormatPr defaultColWidth="10.625" defaultRowHeight="15.75" x14ac:dyDescent="0.25"/>
  <cols>
    <col min="3" max="3" width="18.125" customWidth="1"/>
  </cols>
  <sheetData>
    <row r="2" spans="2:6" x14ac:dyDescent="0.25">
      <c r="B2" t="s">
        <v>346</v>
      </c>
      <c r="E2" s="1">
        <v>111</v>
      </c>
      <c r="F2" t="s">
        <v>12</v>
      </c>
    </row>
    <row r="3" spans="2:6" x14ac:dyDescent="0.25">
      <c r="B3" t="s">
        <v>351</v>
      </c>
      <c r="C3" t="s">
        <v>352</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364</v>
      </c>
      <c r="C7" t="s">
        <v>365</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345</v>
      </c>
    </row>
    <row r="16" spans="2:6" x14ac:dyDescent="0.25">
      <c r="E16" s="1" t="s">
        <v>346</v>
      </c>
      <c r="F16" t="s">
        <v>347</v>
      </c>
    </row>
    <row r="17" spans="5:5" x14ac:dyDescent="0.25">
      <c r="E17" s="1" t="s">
        <v>344</v>
      </c>
    </row>
  </sheetData>
  <pageMargins left="0.75" right="0.75" top="1" bottom="1" header="0.5" footer="0.5"/>
  <pageSetup orientation="portrait" horizontalDpi="4294967292" verticalDpi="4294967292"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19" activePane="bottomRight" state="frozen"/>
      <selection activeCell="C228" sqref="C228"/>
      <selection pane="topRight" activeCell="C228" sqref="C228"/>
      <selection pane="bottomLeft" activeCell="C228" sqref="C228"/>
      <selection pane="bottomRight" activeCell="C228" sqref="C228"/>
    </sheetView>
  </sheetViews>
  <sheetFormatPr defaultColWidth="8.875" defaultRowHeight="15.75" x14ac:dyDescent="0.25"/>
  <cols>
    <col min="1" max="1" width="3.5" style="14" customWidth="1"/>
    <col min="2" max="2" width="6.5" style="14" customWidth="1"/>
    <col min="3" max="3" width="9.375" style="26" customWidth="1"/>
    <col min="4" max="4" width="17.375" style="17" customWidth="1"/>
    <col min="5" max="5" width="17.375" style="14" hidden="1" customWidth="1"/>
    <col min="6" max="6" width="10.625" style="14" hidden="1" customWidth="1"/>
    <col min="7" max="7" width="12.125" style="14" hidden="1" customWidth="1"/>
    <col min="8" max="8" width="11.5" style="14" hidden="1" customWidth="1"/>
    <col min="9" max="9" width="11.625" style="14" hidden="1" customWidth="1"/>
    <col min="10" max="10" width="12.125" style="14" hidden="1" customWidth="1"/>
    <col min="11" max="11" width="14.375" style="14" hidden="1" customWidth="1"/>
    <col min="12" max="12" width="17" style="14" hidden="1" customWidth="1"/>
    <col min="13" max="14" width="12" style="27" hidden="1" customWidth="1"/>
    <col min="15" max="15" width="16.625" style="14" hidden="1" customWidth="1"/>
    <col min="16" max="16" width="9.875" style="14" hidden="1" customWidth="1"/>
    <col min="17" max="18" width="17.375" style="14" hidden="1" customWidth="1"/>
    <col min="19" max="19" width="8.5" style="14" hidden="1" customWidth="1"/>
    <col min="20" max="20" width="2.5" style="17" hidden="1" customWidth="1"/>
    <col min="21" max="21" width="14.375" style="14" hidden="1" customWidth="1"/>
    <col min="22" max="22" width="17" style="14" hidden="1" customWidth="1"/>
    <col min="23" max="23" width="9.5" style="27" hidden="1" customWidth="1"/>
    <col min="24" max="24" width="9" style="27" hidden="1" customWidth="1"/>
    <col min="25" max="25" width="13.125" style="14" hidden="1" customWidth="1"/>
    <col min="26" max="26" width="9" style="14" hidden="1" customWidth="1"/>
    <col min="27" max="27" width="17.375" style="14" hidden="1" customWidth="1"/>
    <col min="28" max="28" width="15.625" style="14" hidden="1" customWidth="1"/>
    <col min="29" max="29" width="8.875" style="14" hidden="1" customWidth="1"/>
    <col min="30" max="30" width="16.125" style="14" hidden="1" customWidth="1"/>
    <col min="31" max="31" width="17.375" style="14" bestFit="1" customWidth="1"/>
    <col min="32" max="32" width="8.875" style="14"/>
    <col min="33" max="33" width="17" style="14" bestFit="1" customWidth="1"/>
    <col min="34" max="34" width="13.5" style="14" bestFit="1" customWidth="1"/>
    <col min="35" max="16384" width="8.875" style="14"/>
  </cols>
  <sheetData>
    <row r="1" spans="1:31" x14ac:dyDescent="0.25">
      <c r="A1" s="25" t="s">
        <v>229</v>
      </c>
    </row>
    <row r="2" spans="1:31" x14ac:dyDescent="0.25">
      <c r="A2" s="14" t="s">
        <v>232</v>
      </c>
      <c r="O2" s="28"/>
      <c r="Y2" s="28"/>
    </row>
    <row r="3" spans="1:31" x14ac:dyDescent="0.25">
      <c r="A3" s="14" t="s">
        <v>233</v>
      </c>
    </row>
    <row r="4" spans="1:31" ht="15" customHeight="1" x14ac:dyDescent="0.25">
      <c r="B4" s="29" t="s">
        <v>234</v>
      </c>
      <c r="C4" s="30">
        <v>43802</v>
      </c>
      <c r="F4" s="31"/>
      <c r="G4" s="32"/>
      <c r="H4" s="32"/>
      <c r="I4" s="32"/>
    </row>
    <row r="5" spans="1:31" ht="7.5" customHeight="1" x14ac:dyDescent="0.25">
      <c r="F5" s="32"/>
      <c r="G5" s="32"/>
      <c r="H5" s="32"/>
      <c r="I5" s="33"/>
    </row>
    <row r="6" spans="1:31" ht="7.5" customHeight="1" x14ac:dyDescent="0.25">
      <c r="F6" s="32"/>
      <c r="G6" s="32"/>
      <c r="H6" s="32"/>
      <c r="I6" s="32"/>
    </row>
    <row r="7" spans="1:31" ht="7.5" customHeight="1" x14ac:dyDescent="0.25">
      <c r="F7" s="32"/>
      <c r="G7" s="32"/>
      <c r="H7" s="32"/>
      <c r="I7" s="34"/>
    </row>
    <row r="8" spans="1:31" s="28" customFormat="1" x14ac:dyDescent="0.25">
      <c r="B8" s="35"/>
      <c r="C8" s="26"/>
      <c r="D8" s="36" t="s">
        <v>235</v>
      </c>
      <c r="E8" s="37"/>
      <c r="F8" s="14"/>
      <c r="M8" s="38"/>
      <c r="N8" s="38"/>
      <c r="Q8" s="39" t="s">
        <v>236</v>
      </c>
      <c r="T8" s="40"/>
      <c r="W8" s="38"/>
      <c r="X8" s="38"/>
      <c r="AA8" s="39" t="s">
        <v>236</v>
      </c>
    </row>
    <row r="9" spans="1:31" x14ac:dyDescent="0.25">
      <c r="D9" s="41">
        <v>471873500</v>
      </c>
      <c r="E9" s="42"/>
      <c r="H9" s="17"/>
      <c r="I9" s="17"/>
      <c r="J9" s="43"/>
      <c r="Q9" s="15">
        <f>COUNTIF(L$19:L$215,"&lt;="&amp;Q11)</f>
        <v>186</v>
      </c>
      <c r="AA9" s="15">
        <f>COUNTIF(V$19:V$215,"&lt;="&amp;AA11)</f>
        <v>14</v>
      </c>
    </row>
    <row r="10" spans="1:31" x14ac:dyDescent="0.25">
      <c r="D10" s="44" t="s">
        <v>237</v>
      </c>
      <c r="E10" s="44" t="s">
        <v>238</v>
      </c>
      <c r="Q10" s="26" t="s">
        <v>239</v>
      </c>
      <c r="AA10" s="26" t="s">
        <v>239</v>
      </c>
    </row>
    <row r="11" spans="1:31" x14ac:dyDescent="0.25">
      <c r="C11" s="29" t="s">
        <v>240</v>
      </c>
      <c r="D11" s="45">
        <v>0</v>
      </c>
      <c r="E11" s="46">
        <f>100%-D11</f>
        <v>1</v>
      </c>
      <c r="F11" s="28"/>
      <c r="H11" s="47"/>
      <c r="I11" s="48"/>
      <c r="J11" s="49"/>
      <c r="K11" s="18"/>
      <c r="O11" s="50"/>
      <c r="P11" s="26" t="s">
        <v>241</v>
      </c>
      <c r="Q11" s="51">
        <f>M16*Q16</f>
        <v>0</v>
      </c>
      <c r="U11" s="18"/>
      <c r="Y11" s="50"/>
      <c r="Z11" s="26" t="s">
        <v>241</v>
      </c>
      <c r="AA11" s="52">
        <f>W16*AA16</f>
        <v>34578.743494508322</v>
      </c>
    </row>
    <row r="12" spans="1:31" x14ac:dyDescent="0.25">
      <c r="C12" s="26" t="s">
        <v>242</v>
      </c>
      <c r="D12" s="52">
        <f>D11*$D$9</f>
        <v>0</v>
      </c>
      <c r="E12" s="52">
        <f>E11*$D$9</f>
        <v>471873500</v>
      </c>
      <c r="P12" s="26" t="s">
        <v>243</v>
      </c>
      <c r="Q12" s="53">
        <f>-$I$232</f>
        <v>2726.8174999999997</v>
      </c>
      <c r="Z12" s="26" t="s">
        <v>243</v>
      </c>
      <c r="AA12" s="54">
        <f>-$I$232</f>
        <v>2726.8174999999997</v>
      </c>
    </row>
    <row r="13" spans="1:31" x14ac:dyDescent="0.25">
      <c r="C13" s="26" t="s">
        <v>244</v>
      </c>
      <c r="D13" s="52">
        <v>0</v>
      </c>
      <c r="E13" s="52">
        <v>0</v>
      </c>
      <c r="F13" s="55"/>
      <c r="H13" s="26"/>
      <c r="I13" s="56"/>
      <c r="J13" s="57"/>
      <c r="M13" s="58" t="s">
        <v>236</v>
      </c>
      <c r="N13" s="58"/>
      <c r="P13" s="26" t="s">
        <v>245</v>
      </c>
      <c r="Q13" s="59">
        <f>N232</f>
        <v>229.42470000000003</v>
      </c>
      <c r="W13" s="58" t="s">
        <v>236</v>
      </c>
      <c r="X13" s="58"/>
      <c r="Z13" s="26" t="s">
        <v>245</v>
      </c>
      <c r="AA13" s="60">
        <f>X232</f>
        <v>229.42470000000003</v>
      </c>
    </row>
    <row r="14" spans="1:31" x14ac:dyDescent="0.25">
      <c r="C14" s="26" t="s">
        <v>246</v>
      </c>
      <c r="D14" s="52">
        <f>D12-D13</f>
        <v>0</v>
      </c>
      <c r="E14" s="52">
        <f>E12-E13</f>
        <v>471873500</v>
      </c>
      <c r="I14" s="17"/>
      <c r="M14" s="58">
        <f>COUNTIF(M19:M215,"Yes")</f>
        <v>13</v>
      </c>
      <c r="N14" s="58"/>
      <c r="P14" s="26" t="s">
        <v>247</v>
      </c>
      <c r="Q14" s="61">
        <f>$K$232+Q12+Q13</f>
        <v>710237.26693343546</v>
      </c>
      <c r="W14" s="58">
        <f>COUNTIF(W19:W215,"Yes")</f>
        <v>13</v>
      </c>
      <c r="X14" s="58"/>
      <c r="Z14" s="26" t="s">
        <v>247</v>
      </c>
      <c r="AA14" s="62">
        <f>$U$232+AA12+AA13</f>
        <v>682317.30293343554</v>
      </c>
    </row>
    <row r="15" spans="1:31" x14ac:dyDescent="0.25">
      <c r="C15" s="26" t="s">
        <v>248</v>
      </c>
      <c r="D15" s="63">
        <f>$K$232</f>
        <v>707281.02473343548</v>
      </c>
      <c r="E15" s="63">
        <f>$K$232</f>
        <v>707281.02473343548</v>
      </c>
      <c r="I15" s="17"/>
      <c r="M15" s="58" t="s">
        <v>249</v>
      </c>
      <c r="N15" s="58"/>
      <c r="P15" s="26" t="s">
        <v>250</v>
      </c>
      <c r="Q15" s="64">
        <f>D14</f>
        <v>0</v>
      </c>
      <c r="W15" s="58" t="s">
        <v>249</v>
      </c>
      <c r="X15" s="58"/>
      <c r="Z15" s="26" t="s">
        <v>250</v>
      </c>
      <c r="AA15" s="65">
        <f>E14</f>
        <v>471873500</v>
      </c>
      <c r="AD15" s="66">
        <f>E13</f>
        <v>0</v>
      </c>
      <c r="AE15" s="66">
        <f>E12</f>
        <v>471873500</v>
      </c>
    </row>
    <row r="16" spans="1:31" x14ac:dyDescent="0.25">
      <c r="C16" s="26" t="s">
        <v>251</v>
      </c>
      <c r="D16" s="67">
        <f>D14/D15</f>
        <v>0</v>
      </c>
      <c r="E16" s="67">
        <f>E14/E15</f>
        <v>667.16550211119079</v>
      </c>
      <c r="I16" s="16"/>
      <c r="M16" s="68">
        <v>50</v>
      </c>
      <c r="N16" s="69"/>
      <c r="P16" s="26" t="s">
        <v>252</v>
      </c>
      <c r="Q16" s="70">
        <f>Q15/Q14</f>
        <v>0</v>
      </c>
      <c r="W16" s="69">
        <v>50</v>
      </c>
      <c r="X16" s="69"/>
      <c r="Z16" s="26" t="s">
        <v>252</v>
      </c>
      <c r="AA16" s="71">
        <f>AA15/AA14</f>
        <v>691.5748698901665</v>
      </c>
      <c r="AD16" s="67">
        <f>AD232/AA14</f>
        <v>0</v>
      </c>
      <c r="AE16" s="66">
        <f>AE232/AA14</f>
        <v>219.83906806278588</v>
      </c>
    </row>
    <row r="17" spans="2:34" x14ac:dyDescent="0.25">
      <c r="E17" s="17"/>
      <c r="I17" s="72"/>
      <c r="J17" s="72"/>
      <c r="K17" s="73" t="s">
        <v>253</v>
      </c>
      <c r="L17" s="74"/>
      <c r="M17" s="74"/>
      <c r="N17" s="74"/>
      <c r="O17" s="74"/>
      <c r="P17" s="74"/>
      <c r="Q17" s="74"/>
      <c r="R17" s="74"/>
      <c r="S17" s="74"/>
      <c r="U17" s="75" t="s">
        <v>254</v>
      </c>
      <c r="V17" s="76"/>
      <c r="W17" s="76"/>
      <c r="X17" s="76"/>
      <c r="Y17" s="76"/>
      <c r="Z17" s="76"/>
      <c r="AA17" s="77">
        <f>(100%-AD17)</f>
        <v>1</v>
      </c>
      <c r="AB17" s="76"/>
      <c r="AC17" s="78"/>
      <c r="AD17" s="79">
        <f>F13</f>
        <v>0</v>
      </c>
      <c r="AE17" s="79">
        <f>AD17+AA17</f>
        <v>1</v>
      </c>
    </row>
    <row r="18" spans="2:34" s="90" customFormat="1" ht="103.5" customHeight="1" x14ac:dyDescent="0.25">
      <c r="B18" s="80" t="s">
        <v>255</v>
      </c>
      <c r="C18" s="81" t="s">
        <v>256</v>
      </c>
      <c r="D18" s="80" t="s">
        <v>329</v>
      </c>
      <c r="E18" s="82" t="s">
        <v>257</v>
      </c>
      <c r="F18" s="82" t="s">
        <v>258</v>
      </c>
      <c r="G18" s="82" t="s">
        <v>259</v>
      </c>
      <c r="H18" s="83" t="s">
        <v>260</v>
      </c>
      <c r="I18" s="83" t="s">
        <v>261</v>
      </c>
      <c r="J18" s="83" t="s">
        <v>262</v>
      </c>
      <c r="K18" s="83" t="s">
        <v>263</v>
      </c>
      <c r="L18" s="83" t="s">
        <v>264</v>
      </c>
      <c r="M18" s="84" t="s">
        <v>265</v>
      </c>
      <c r="N18" s="85" t="s">
        <v>266</v>
      </c>
      <c r="O18" s="85" t="s">
        <v>267</v>
      </c>
      <c r="P18" s="85" t="s">
        <v>268</v>
      </c>
      <c r="Q18" s="85" t="s">
        <v>269</v>
      </c>
      <c r="R18" s="86" t="s">
        <v>270</v>
      </c>
      <c r="S18" s="87" t="s">
        <v>271</v>
      </c>
      <c r="T18" s="88"/>
      <c r="U18" s="83" t="s">
        <v>259</v>
      </c>
      <c r="V18" s="83" t="s">
        <v>264</v>
      </c>
      <c r="W18" s="84" t="s">
        <v>265</v>
      </c>
      <c r="X18" s="85" t="s">
        <v>266</v>
      </c>
      <c r="Y18" s="85" t="s">
        <v>267</v>
      </c>
      <c r="Z18" s="85" t="s">
        <v>268</v>
      </c>
      <c r="AA18" s="85" t="s">
        <v>272</v>
      </c>
      <c r="AB18" s="85" t="s">
        <v>270</v>
      </c>
      <c r="AC18" s="89" t="s">
        <v>271</v>
      </c>
      <c r="AD18" s="85" t="s">
        <v>273</v>
      </c>
      <c r="AE18" s="85" t="s">
        <v>274</v>
      </c>
    </row>
    <row r="19" spans="2:34" x14ac:dyDescent="0.25">
      <c r="B19" s="91">
        <v>2063</v>
      </c>
      <c r="C19" s="67" t="s">
        <v>293</v>
      </c>
      <c r="D19" s="91" t="s">
        <v>70</v>
      </c>
      <c r="E19" s="92">
        <v>34.241999999999997</v>
      </c>
      <c r="F19" s="92">
        <v>0.36249999999999999</v>
      </c>
      <c r="G19" s="60">
        <f t="shared" ref="G19:G33" si="0">E19+F19</f>
        <v>34.604499999999994</v>
      </c>
      <c r="H19" s="93">
        <v>0</v>
      </c>
      <c r="I19" s="93">
        <v>0</v>
      </c>
      <c r="J19" s="93">
        <v>0</v>
      </c>
      <c r="K19" s="60">
        <f t="shared" ref="K19:K33" si="1">$G19+$H19+$I19+$J19</f>
        <v>34.604499999999994</v>
      </c>
      <c r="L19" s="94">
        <f t="shared" ref="L19:L33" si="2">K19*$D$16</f>
        <v>0</v>
      </c>
      <c r="M19" s="95" t="str">
        <f t="shared" ref="M19:M33" si="3">IF(K19=0,"",IF(K19&lt;$W$16,"Yes",""))</f>
        <v>Yes</v>
      </c>
      <c r="N19" s="63">
        <f t="shared" ref="N19:N33" si="4">IF(K19=0,"",IF(K19&lt;$W$16,$W$16-K19,""))</f>
        <v>15.395500000000006</v>
      </c>
      <c r="O19" s="67">
        <f t="shared" ref="O19:O33" si="5">IF(K19=0,"",IF(K19&lt;$M$16,(K19+N19)*$Q$16,""))</f>
        <v>0</v>
      </c>
      <c r="P19" s="91">
        <f t="shared" ref="P19:P33" si="6">IF(K19=0,"",IF(K19&lt;$W$16,(K19+N19),""))</f>
        <v>50</v>
      </c>
      <c r="Q19" s="66">
        <f t="shared" ref="Q19:Q33" si="7">MAX(O19,(K19*$Q$16))</f>
        <v>0</v>
      </c>
      <c r="R19" s="96">
        <f t="shared" ref="R19:R33" si="8">IF(Q19=0,0,(Q19-L19))</f>
        <v>0</v>
      </c>
      <c r="S19" s="97" t="str">
        <f t="shared" ref="S19:S33" si="9">IF(R19=0,"",(R19/L19))</f>
        <v/>
      </c>
      <c r="U19" s="60">
        <f t="shared" ref="U19:U33" si="10">$G19+$H19+$I19+$J19</f>
        <v>34.604499999999994</v>
      </c>
      <c r="V19" s="94">
        <f t="shared" ref="V19:V33" si="11">U19*$E$16</f>
        <v>23086.928617806698</v>
      </c>
      <c r="W19" s="95" t="str">
        <f t="shared" ref="W19:W33" si="12">IF(U19=0,"",IF(U19&lt;$W$16,"Yes",""))</f>
        <v>Yes</v>
      </c>
      <c r="X19" s="63">
        <f t="shared" ref="X19:X33" si="13">IF(U19=0,0,IF(U19&lt;$W$16,$W$16-U19,0))</f>
        <v>15.395500000000006</v>
      </c>
      <c r="Y19" s="67">
        <f t="shared" ref="Y19:Y33" si="14">IF(U19=0,"",IF(U19&lt;$W$16,(U19+X19)*$AA$16,""))</f>
        <v>34578.743494508322</v>
      </c>
      <c r="Z19" s="91">
        <f t="shared" ref="Z19:Z33" si="15">IF(U19=0,"",IF(U19&lt;$W$16,(U19+X19),""))</f>
        <v>50</v>
      </c>
      <c r="AA19" s="66">
        <f t="shared" ref="AA19:AA33" si="16">MAX(Y19,(U19*$AA$16))</f>
        <v>34578.743494508322</v>
      </c>
      <c r="AB19" s="96">
        <f t="shared" ref="AB19:AB33" si="17">IF(AA19=0,"",(AA19-V19))</f>
        <v>11491.814876701625</v>
      </c>
      <c r="AC19" s="97">
        <f t="shared" ref="AC19:AC33" si="18">IF(AB19="","",(AB19/V19))</f>
        <v>0.49776282791631765</v>
      </c>
      <c r="AD19" s="67">
        <f t="shared" ref="AD19:AD33" si="19">IF(AA19=0,0,(U19+X19)/$AA$14)*$E$13</f>
        <v>0</v>
      </c>
      <c r="AE19" s="66">
        <v>0</v>
      </c>
      <c r="AG19" s="16"/>
      <c r="AH19" s="16"/>
    </row>
    <row r="20" spans="2:34" x14ac:dyDescent="0.25">
      <c r="B20" s="91">
        <v>2113</v>
      </c>
      <c r="C20" s="67" t="s">
        <v>297</v>
      </c>
      <c r="D20" s="91" t="s">
        <v>73</v>
      </c>
      <c r="E20" s="92">
        <v>477.54910000000001</v>
      </c>
      <c r="F20" s="92">
        <v>11.5</v>
      </c>
      <c r="G20" s="60">
        <f t="shared" si="0"/>
        <v>489.04910000000001</v>
      </c>
      <c r="H20" s="93">
        <v>0</v>
      </c>
      <c r="I20" s="93">
        <v>0</v>
      </c>
      <c r="J20" s="93">
        <v>0</v>
      </c>
      <c r="K20" s="60">
        <f t="shared" si="1"/>
        <v>489.04910000000001</v>
      </c>
      <c r="L20" s="94">
        <f t="shared" si="2"/>
        <v>0</v>
      </c>
      <c r="M20" s="95" t="str">
        <f t="shared" si="3"/>
        <v/>
      </c>
      <c r="N20" s="63" t="str">
        <f t="shared" si="4"/>
        <v/>
      </c>
      <c r="O20" s="67" t="str">
        <f t="shared" si="5"/>
        <v/>
      </c>
      <c r="P20" s="91" t="str">
        <f t="shared" si="6"/>
        <v/>
      </c>
      <c r="Q20" s="66">
        <f t="shared" si="7"/>
        <v>0</v>
      </c>
      <c r="R20" s="96">
        <f t="shared" si="8"/>
        <v>0</v>
      </c>
      <c r="S20" s="97" t="str">
        <f t="shared" si="9"/>
        <v/>
      </c>
      <c r="U20" s="60">
        <f t="shared" si="10"/>
        <v>489.04910000000001</v>
      </c>
      <c r="V20" s="94">
        <f t="shared" si="11"/>
        <v>326276.68835852598</v>
      </c>
      <c r="W20" s="95" t="str">
        <f t="shared" si="12"/>
        <v/>
      </c>
      <c r="X20" s="63">
        <f t="shared" si="13"/>
        <v>0</v>
      </c>
      <c r="Y20" s="67" t="str">
        <f t="shared" si="14"/>
        <v/>
      </c>
      <c r="Z20" s="91" t="str">
        <f t="shared" si="15"/>
        <v/>
      </c>
      <c r="AA20" s="66">
        <f t="shared" si="16"/>
        <v>338214.06770240306</v>
      </c>
      <c r="AB20" s="96">
        <f t="shared" si="17"/>
        <v>11937.379343877081</v>
      </c>
      <c r="AC20" s="97">
        <f t="shared" si="18"/>
        <v>3.6586675572604213E-2</v>
      </c>
      <c r="AD20" s="67">
        <f t="shared" si="19"/>
        <v>0</v>
      </c>
      <c r="AE20" s="66">
        <v>100273.23317498085</v>
      </c>
      <c r="AG20" s="16"/>
      <c r="AH20" s="16"/>
    </row>
    <row r="21" spans="2:34" x14ac:dyDescent="0.25">
      <c r="B21" s="91">
        <v>1899</v>
      </c>
      <c r="C21" s="67" t="s">
        <v>276</v>
      </c>
      <c r="D21" s="91" t="s">
        <v>131</v>
      </c>
      <c r="E21" s="92">
        <v>388.12889999999999</v>
      </c>
      <c r="F21" s="92">
        <v>5.5</v>
      </c>
      <c r="G21" s="60">
        <f t="shared" si="0"/>
        <v>393.62889999999999</v>
      </c>
      <c r="H21" s="93">
        <v>0</v>
      </c>
      <c r="I21" s="93">
        <v>0</v>
      </c>
      <c r="J21" s="93">
        <v>0</v>
      </c>
      <c r="K21" s="60">
        <f t="shared" si="1"/>
        <v>393.62889999999999</v>
      </c>
      <c r="L21" s="94">
        <f t="shared" si="2"/>
        <v>0</v>
      </c>
      <c r="M21" s="95" t="str">
        <f t="shared" si="3"/>
        <v/>
      </c>
      <c r="N21" s="63" t="str">
        <f t="shared" si="4"/>
        <v/>
      </c>
      <c r="O21" s="67" t="str">
        <f t="shared" si="5"/>
        <v/>
      </c>
      <c r="P21" s="91" t="str">
        <f t="shared" si="6"/>
        <v/>
      </c>
      <c r="Q21" s="66">
        <f t="shared" si="7"/>
        <v>0</v>
      </c>
      <c r="R21" s="96">
        <f t="shared" si="8"/>
        <v>0</v>
      </c>
      <c r="S21" s="97" t="str">
        <f t="shared" si="9"/>
        <v/>
      </c>
      <c r="U21" s="60">
        <f t="shared" si="10"/>
        <v>393.62889999999999</v>
      </c>
      <c r="V21" s="94">
        <f t="shared" si="11"/>
        <v>262615.62271397572</v>
      </c>
      <c r="W21" s="95" t="str">
        <f t="shared" si="12"/>
        <v/>
      </c>
      <c r="X21" s="63">
        <f t="shared" si="13"/>
        <v>0</v>
      </c>
      <c r="Y21" s="67" t="str">
        <f t="shared" si="14"/>
        <v/>
      </c>
      <c r="Z21" s="91" t="str">
        <f t="shared" si="15"/>
        <v/>
      </c>
      <c r="AA21" s="66">
        <f t="shared" si="16"/>
        <v>272223.85530250933</v>
      </c>
      <c r="AB21" s="96">
        <f t="shared" si="17"/>
        <v>9608.2325885336031</v>
      </c>
      <c r="AC21" s="97">
        <f t="shared" si="18"/>
        <v>3.6586675572603998E-2</v>
      </c>
      <c r="AD21" s="67">
        <f t="shared" si="19"/>
        <v>0</v>
      </c>
      <c r="AE21" s="66">
        <v>99567.957794483402</v>
      </c>
      <c r="AG21" s="16"/>
      <c r="AH21" s="16"/>
    </row>
    <row r="22" spans="2:34" x14ac:dyDescent="0.25">
      <c r="B22" s="91">
        <v>2252</v>
      </c>
      <c r="C22" s="67" t="s">
        <v>311</v>
      </c>
      <c r="D22" s="91" t="s">
        <v>168</v>
      </c>
      <c r="E22" s="92">
        <v>1062.5235</v>
      </c>
      <c r="F22" s="92">
        <v>25.46</v>
      </c>
      <c r="G22" s="60">
        <f t="shared" si="0"/>
        <v>1087.9835</v>
      </c>
      <c r="H22" s="93">
        <v>0</v>
      </c>
      <c r="I22" s="93">
        <v>-39.56</v>
      </c>
      <c r="J22" s="93">
        <v>0</v>
      </c>
      <c r="K22" s="60">
        <f t="shared" si="1"/>
        <v>1048.4235000000001</v>
      </c>
      <c r="L22" s="94">
        <f t="shared" si="2"/>
        <v>0</v>
      </c>
      <c r="M22" s="95" t="str">
        <f t="shared" si="3"/>
        <v/>
      </c>
      <c r="N22" s="63" t="str">
        <f t="shared" si="4"/>
        <v/>
      </c>
      <c r="O22" s="67" t="str">
        <f t="shared" si="5"/>
        <v/>
      </c>
      <c r="P22" s="91" t="str">
        <f t="shared" si="6"/>
        <v/>
      </c>
      <c r="Q22" s="66">
        <f t="shared" si="7"/>
        <v>0</v>
      </c>
      <c r="R22" s="96">
        <f t="shared" si="8"/>
        <v>0</v>
      </c>
      <c r="S22" s="97" t="str">
        <f t="shared" si="9"/>
        <v/>
      </c>
      <c r="U22" s="60">
        <f t="shared" si="10"/>
        <v>1048.4235000000001</v>
      </c>
      <c r="V22" s="94">
        <f t="shared" si="11"/>
        <v>699471.99080267211</v>
      </c>
      <c r="W22" s="95" t="str">
        <f t="shared" si="12"/>
        <v/>
      </c>
      <c r="X22" s="63">
        <f t="shared" si="13"/>
        <v>0</v>
      </c>
      <c r="Y22" s="67" t="str">
        <f t="shared" si="14"/>
        <v/>
      </c>
      <c r="Z22" s="91" t="str">
        <f t="shared" si="15"/>
        <v/>
      </c>
      <c r="AA22" s="66">
        <f t="shared" si="16"/>
        <v>725063.34560229303</v>
      </c>
      <c r="AB22" s="96">
        <f t="shared" si="17"/>
        <v>25591.354799620924</v>
      </c>
      <c r="AC22" s="97">
        <f t="shared" si="18"/>
        <v>3.6586675572604158E-2</v>
      </c>
      <c r="AD22" s="67">
        <f t="shared" si="19"/>
        <v>0</v>
      </c>
      <c r="AE22" s="66">
        <v>217846.35197087607</v>
      </c>
      <c r="AG22" s="16"/>
      <c r="AH22" s="16"/>
    </row>
    <row r="23" spans="2:34" x14ac:dyDescent="0.25">
      <c r="B23" s="91">
        <v>2111</v>
      </c>
      <c r="C23" s="67" t="s">
        <v>297</v>
      </c>
      <c r="D23" s="91" t="s">
        <v>75</v>
      </c>
      <c r="E23" s="92">
        <v>183.815</v>
      </c>
      <c r="F23" s="92">
        <v>3.25</v>
      </c>
      <c r="G23" s="60">
        <f t="shared" si="0"/>
        <v>187.065</v>
      </c>
      <c r="H23" s="93">
        <v>0</v>
      </c>
      <c r="I23" s="93">
        <v>0</v>
      </c>
      <c r="J23" s="93">
        <v>0</v>
      </c>
      <c r="K23" s="60">
        <f t="shared" si="1"/>
        <v>187.065</v>
      </c>
      <c r="L23" s="94">
        <f t="shared" si="2"/>
        <v>0</v>
      </c>
      <c r="M23" s="95" t="str">
        <f t="shared" si="3"/>
        <v/>
      </c>
      <c r="N23" s="63" t="str">
        <f t="shared" si="4"/>
        <v/>
      </c>
      <c r="O23" s="67" t="str">
        <f t="shared" si="5"/>
        <v/>
      </c>
      <c r="P23" s="91" t="str">
        <f t="shared" si="6"/>
        <v/>
      </c>
      <c r="Q23" s="66">
        <f t="shared" si="7"/>
        <v>0</v>
      </c>
      <c r="R23" s="96">
        <f t="shared" si="8"/>
        <v>0</v>
      </c>
      <c r="S23" s="97" t="str">
        <f t="shared" si="9"/>
        <v/>
      </c>
      <c r="U23" s="60">
        <f t="shared" si="10"/>
        <v>187.065</v>
      </c>
      <c r="V23" s="94">
        <f t="shared" si="11"/>
        <v>124803.31465242991</v>
      </c>
      <c r="W23" s="95" t="str">
        <f t="shared" si="12"/>
        <v/>
      </c>
      <c r="X23" s="63">
        <f t="shared" si="13"/>
        <v>0</v>
      </c>
      <c r="Y23" s="67" t="str">
        <f t="shared" si="14"/>
        <v/>
      </c>
      <c r="Z23" s="91" t="str">
        <f t="shared" si="15"/>
        <v/>
      </c>
      <c r="AA23" s="66">
        <f t="shared" si="16"/>
        <v>129369.45303600399</v>
      </c>
      <c r="AB23" s="96">
        <f t="shared" si="17"/>
        <v>4566.1383835740853</v>
      </c>
      <c r="AC23" s="97">
        <f t="shared" si="18"/>
        <v>3.6586675572604137E-2</v>
      </c>
      <c r="AD23" s="67">
        <f t="shared" si="19"/>
        <v>0</v>
      </c>
      <c r="AE23" s="66">
        <v>40038.211130376803</v>
      </c>
      <c r="AG23" s="16"/>
      <c r="AH23" s="16"/>
    </row>
    <row r="24" spans="2:34" x14ac:dyDescent="0.25">
      <c r="B24" s="91">
        <v>2005</v>
      </c>
      <c r="C24" s="67" t="s">
        <v>285</v>
      </c>
      <c r="D24" s="91" t="s">
        <v>81</v>
      </c>
      <c r="E24" s="92">
        <v>303.94499999999999</v>
      </c>
      <c r="F24" s="92">
        <v>7.75</v>
      </c>
      <c r="G24" s="60">
        <f t="shared" si="0"/>
        <v>311.69499999999999</v>
      </c>
      <c r="H24" s="93">
        <v>0</v>
      </c>
      <c r="I24" s="93">
        <v>0</v>
      </c>
      <c r="J24" s="93">
        <v>0</v>
      </c>
      <c r="K24" s="60">
        <f t="shared" si="1"/>
        <v>311.69499999999999</v>
      </c>
      <c r="L24" s="94">
        <f t="shared" si="2"/>
        <v>0</v>
      </c>
      <c r="M24" s="95" t="str">
        <f t="shared" si="3"/>
        <v/>
      </c>
      <c r="N24" s="63" t="str">
        <f t="shared" si="4"/>
        <v/>
      </c>
      <c r="O24" s="67" t="str">
        <f t="shared" si="5"/>
        <v/>
      </c>
      <c r="P24" s="91" t="str">
        <f t="shared" si="6"/>
        <v/>
      </c>
      <c r="Q24" s="66">
        <f t="shared" si="7"/>
        <v>0</v>
      </c>
      <c r="R24" s="96">
        <f t="shared" si="8"/>
        <v>0</v>
      </c>
      <c r="S24" s="97" t="str">
        <f t="shared" si="9"/>
        <v/>
      </c>
      <c r="U24" s="60">
        <f t="shared" si="10"/>
        <v>311.69499999999999</v>
      </c>
      <c r="V24" s="94">
        <f t="shared" si="11"/>
        <v>207952.1511805476</v>
      </c>
      <c r="W24" s="95" t="str">
        <f t="shared" si="12"/>
        <v/>
      </c>
      <c r="X24" s="63">
        <f t="shared" si="13"/>
        <v>0</v>
      </c>
      <c r="Y24" s="67" t="str">
        <f t="shared" si="14"/>
        <v/>
      </c>
      <c r="Z24" s="91" t="str">
        <f t="shared" si="15"/>
        <v/>
      </c>
      <c r="AA24" s="66">
        <f t="shared" si="16"/>
        <v>215560.42907041544</v>
      </c>
      <c r="AB24" s="96">
        <f t="shared" si="17"/>
        <v>7608.2778898678371</v>
      </c>
      <c r="AC24" s="97">
        <f t="shared" si="18"/>
        <v>3.6586675572604199E-2</v>
      </c>
      <c r="AD24" s="67">
        <f t="shared" si="19"/>
        <v>0</v>
      </c>
      <c r="AE24" s="66">
        <v>69457.326371757037</v>
      </c>
      <c r="AG24" s="16"/>
      <c r="AH24" s="16"/>
    </row>
    <row r="25" spans="2:34" x14ac:dyDescent="0.25">
      <c r="B25" s="91">
        <v>2115</v>
      </c>
      <c r="C25" s="67" t="s">
        <v>297</v>
      </c>
      <c r="D25" s="91" t="s">
        <v>82</v>
      </c>
      <c r="E25" s="92">
        <v>46.532499999999999</v>
      </c>
      <c r="F25" s="92">
        <v>1.3725000000000001</v>
      </c>
      <c r="G25" s="60">
        <f t="shared" si="0"/>
        <v>47.905000000000001</v>
      </c>
      <c r="H25" s="93">
        <v>0</v>
      </c>
      <c r="I25" s="93">
        <v>0</v>
      </c>
      <c r="J25" s="93">
        <v>0</v>
      </c>
      <c r="K25" s="60">
        <f t="shared" si="1"/>
        <v>47.905000000000001</v>
      </c>
      <c r="L25" s="94">
        <f t="shared" si="2"/>
        <v>0</v>
      </c>
      <c r="M25" s="95" t="str">
        <f t="shared" si="3"/>
        <v>Yes</v>
      </c>
      <c r="N25" s="63">
        <f t="shared" si="4"/>
        <v>2.0949999999999989</v>
      </c>
      <c r="O25" s="67">
        <f t="shared" si="5"/>
        <v>0</v>
      </c>
      <c r="P25" s="91">
        <f t="shared" si="6"/>
        <v>50</v>
      </c>
      <c r="Q25" s="66">
        <f t="shared" si="7"/>
        <v>0</v>
      </c>
      <c r="R25" s="96">
        <f t="shared" si="8"/>
        <v>0</v>
      </c>
      <c r="S25" s="97" t="str">
        <f t="shared" si="9"/>
        <v/>
      </c>
      <c r="U25" s="60">
        <f t="shared" si="10"/>
        <v>47.905000000000001</v>
      </c>
      <c r="V25" s="94">
        <f t="shared" si="11"/>
        <v>31960.563378636594</v>
      </c>
      <c r="W25" s="95" t="str">
        <f t="shared" si="12"/>
        <v>Yes</v>
      </c>
      <c r="X25" s="63">
        <f t="shared" si="13"/>
        <v>2.0949999999999989</v>
      </c>
      <c r="Y25" s="67">
        <f t="shared" si="14"/>
        <v>34578.743494508322</v>
      </c>
      <c r="Z25" s="91">
        <f t="shared" si="15"/>
        <v>50</v>
      </c>
      <c r="AA25" s="66">
        <f t="shared" si="16"/>
        <v>34578.743494508322</v>
      </c>
      <c r="AB25" s="96">
        <f t="shared" si="17"/>
        <v>2618.180115871728</v>
      </c>
      <c r="AC25" s="97">
        <f t="shared" si="18"/>
        <v>8.1919085244342049E-2</v>
      </c>
      <c r="AD25" s="67">
        <f t="shared" si="19"/>
        <v>0</v>
      </c>
      <c r="AE25" s="66">
        <v>10583.999347161385</v>
      </c>
      <c r="AG25" s="16"/>
      <c r="AH25" s="16"/>
    </row>
    <row r="26" spans="2:34" x14ac:dyDescent="0.25">
      <c r="B26" s="91">
        <v>2041</v>
      </c>
      <c r="C26" s="67" t="s">
        <v>289</v>
      </c>
      <c r="D26" s="91" t="s">
        <v>84</v>
      </c>
      <c r="E26" s="92">
        <v>3331.8278</v>
      </c>
      <c r="F26" s="92">
        <v>120.9375</v>
      </c>
      <c r="G26" s="60">
        <f t="shared" si="0"/>
        <v>3452.7653</v>
      </c>
      <c r="H26" s="93">
        <v>0</v>
      </c>
      <c r="I26" s="93">
        <v>0</v>
      </c>
      <c r="J26" s="93">
        <v>0</v>
      </c>
      <c r="K26" s="60">
        <f t="shared" si="1"/>
        <v>3452.7653</v>
      </c>
      <c r="L26" s="94">
        <f t="shared" si="2"/>
        <v>0</v>
      </c>
      <c r="M26" s="95" t="str">
        <f t="shared" si="3"/>
        <v/>
      </c>
      <c r="N26" s="63" t="str">
        <f t="shared" si="4"/>
        <v/>
      </c>
      <c r="O26" s="67" t="str">
        <f t="shared" si="5"/>
        <v/>
      </c>
      <c r="P26" s="91" t="str">
        <f t="shared" si="6"/>
        <v/>
      </c>
      <c r="Q26" s="66">
        <f t="shared" si="7"/>
        <v>0</v>
      </c>
      <c r="R26" s="96">
        <f t="shared" si="8"/>
        <v>0</v>
      </c>
      <c r="S26" s="97" t="str">
        <f t="shared" si="9"/>
        <v/>
      </c>
      <c r="U26" s="60">
        <f t="shared" si="10"/>
        <v>3452.7653</v>
      </c>
      <c r="V26" s="94">
        <f t="shared" si="11"/>
        <v>2303565.8950465964</v>
      </c>
      <c r="W26" s="95" t="str">
        <f t="shared" si="12"/>
        <v/>
      </c>
      <c r="X26" s="63">
        <f t="shared" si="13"/>
        <v>0</v>
      </c>
      <c r="Y26" s="67" t="str">
        <f t="shared" si="14"/>
        <v/>
      </c>
      <c r="Z26" s="91" t="str">
        <f t="shared" si="15"/>
        <v/>
      </c>
      <c r="AA26" s="66">
        <f t="shared" si="16"/>
        <v>2387845.7131087817</v>
      </c>
      <c r="AB26" s="96">
        <f t="shared" si="17"/>
        <v>84279.81806218531</v>
      </c>
      <c r="AC26" s="97">
        <f t="shared" si="18"/>
        <v>3.6586675572604144E-2</v>
      </c>
      <c r="AD26" s="67">
        <f t="shared" si="19"/>
        <v>0</v>
      </c>
      <c r="AE26" s="66">
        <v>730690.08192182519</v>
      </c>
      <c r="AG26" s="16"/>
      <c r="AH26" s="16"/>
    </row>
    <row r="27" spans="2:34" x14ac:dyDescent="0.25">
      <c r="B27" s="91">
        <v>2051</v>
      </c>
      <c r="C27" s="67" t="s">
        <v>290</v>
      </c>
      <c r="D27" s="91" t="s">
        <v>87</v>
      </c>
      <c r="E27" s="92">
        <v>32.93</v>
      </c>
      <c r="F27" s="92">
        <v>0.36</v>
      </c>
      <c r="G27" s="60">
        <f t="shared" si="0"/>
        <v>33.29</v>
      </c>
      <c r="H27" s="93">
        <v>0</v>
      </c>
      <c r="I27" s="93">
        <v>0</v>
      </c>
      <c r="J27" s="93">
        <v>0</v>
      </c>
      <c r="K27" s="60">
        <f t="shared" si="1"/>
        <v>33.29</v>
      </c>
      <c r="L27" s="94">
        <f t="shared" si="2"/>
        <v>0</v>
      </c>
      <c r="M27" s="95" t="str">
        <f t="shared" si="3"/>
        <v>Yes</v>
      </c>
      <c r="N27" s="63">
        <f t="shared" si="4"/>
        <v>16.71</v>
      </c>
      <c r="O27" s="67">
        <f t="shared" si="5"/>
        <v>0</v>
      </c>
      <c r="P27" s="91">
        <f t="shared" si="6"/>
        <v>50</v>
      </c>
      <c r="Q27" s="66">
        <f t="shared" si="7"/>
        <v>0</v>
      </c>
      <c r="R27" s="96">
        <f t="shared" si="8"/>
        <v>0</v>
      </c>
      <c r="S27" s="97" t="str">
        <f t="shared" si="9"/>
        <v/>
      </c>
      <c r="U27" s="60">
        <f t="shared" si="10"/>
        <v>33.29</v>
      </c>
      <c r="V27" s="94">
        <f t="shared" si="11"/>
        <v>22209.93956528154</v>
      </c>
      <c r="W27" s="95" t="str">
        <f t="shared" si="12"/>
        <v>Yes</v>
      </c>
      <c r="X27" s="63">
        <f t="shared" si="13"/>
        <v>16.71</v>
      </c>
      <c r="Y27" s="67">
        <f t="shared" si="14"/>
        <v>34578.743494508322</v>
      </c>
      <c r="Z27" s="91">
        <f t="shared" si="15"/>
        <v>50</v>
      </c>
      <c r="AA27" s="66">
        <f t="shared" si="16"/>
        <v>34578.743494508322</v>
      </c>
      <c r="AB27" s="96">
        <f t="shared" si="17"/>
        <v>12368.803929226782</v>
      </c>
      <c r="AC27" s="97">
        <f t="shared" si="18"/>
        <v>0.55690398854401346</v>
      </c>
      <c r="AD27" s="67">
        <f t="shared" si="19"/>
        <v>0</v>
      </c>
      <c r="AE27" s="66">
        <v>10583.999347161385</v>
      </c>
      <c r="AG27" s="16"/>
      <c r="AH27" s="16"/>
    </row>
    <row r="28" spans="2:34" x14ac:dyDescent="0.25">
      <c r="B28" s="91">
        <v>1933</v>
      </c>
      <c r="C28" s="67" t="s">
        <v>278</v>
      </c>
      <c r="D28" s="91" t="s">
        <v>88</v>
      </c>
      <c r="E28" s="92">
        <v>2220.9472999999998</v>
      </c>
      <c r="F28" s="92">
        <v>66.52</v>
      </c>
      <c r="G28" s="60">
        <f t="shared" si="0"/>
        <v>2287.4672999999998</v>
      </c>
      <c r="H28" s="93">
        <v>0</v>
      </c>
      <c r="I28" s="93">
        <v>0</v>
      </c>
      <c r="J28" s="93">
        <v>0</v>
      </c>
      <c r="K28" s="60">
        <f t="shared" si="1"/>
        <v>2287.4672999999998</v>
      </c>
      <c r="L28" s="94">
        <f t="shared" si="2"/>
        <v>0</v>
      </c>
      <c r="M28" s="95" t="str">
        <f t="shared" si="3"/>
        <v/>
      </c>
      <c r="N28" s="63" t="str">
        <f t="shared" si="4"/>
        <v/>
      </c>
      <c r="O28" s="67" t="str">
        <f t="shared" si="5"/>
        <v/>
      </c>
      <c r="P28" s="91" t="str">
        <f t="shared" si="6"/>
        <v/>
      </c>
      <c r="Q28" s="66">
        <f t="shared" si="7"/>
        <v>0</v>
      </c>
      <c r="R28" s="96">
        <f t="shared" si="8"/>
        <v>0</v>
      </c>
      <c r="S28" s="97" t="str">
        <f t="shared" si="9"/>
        <v/>
      </c>
      <c r="U28" s="60">
        <f t="shared" si="10"/>
        <v>2287.4672999999998</v>
      </c>
      <c r="V28" s="94">
        <f t="shared" si="11"/>
        <v>1526119.2697674297</v>
      </c>
      <c r="W28" s="95" t="str">
        <f t="shared" si="12"/>
        <v/>
      </c>
      <c r="X28" s="63">
        <f t="shared" si="13"/>
        <v>0</v>
      </c>
      <c r="Y28" s="67" t="str">
        <f t="shared" si="14"/>
        <v/>
      </c>
      <c r="Z28" s="91" t="str">
        <f t="shared" si="15"/>
        <v/>
      </c>
      <c r="AA28" s="66">
        <f t="shared" si="16"/>
        <v>1581954.9003755103</v>
      </c>
      <c r="AB28" s="96">
        <f t="shared" si="17"/>
        <v>55835.630608080653</v>
      </c>
      <c r="AC28" s="97">
        <f t="shared" si="18"/>
        <v>3.6586675572604248E-2</v>
      </c>
      <c r="AD28" s="67">
        <f t="shared" si="19"/>
        <v>0</v>
      </c>
      <c r="AE28" s="66">
        <v>480607.49277133355</v>
      </c>
      <c r="AG28" s="16"/>
      <c r="AH28" s="16"/>
    </row>
    <row r="29" spans="2:34" x14ac:dyDescent="0.25">
      <c r="B29" s="91">
        <v>2208</v>
      </c>
      <c r="C29" s="67" t="s">
        <v>305</v>
      </c>
      <c r="D29" s="91" t="s">
        <v>91</v>
      </c>
      <c r="E29" s="92">
        <v>755.36339999999996</v>
      </c>
      <c r="F29" s="92">
        <v>18.25</v>
      </c>
      <c r="G29" s="60">
        <f t="shared" si="0"/>
        <v>773.61339999999996</v>
      </c>
      <c r="H29" s="93">
        <v>0</v>
      </c>
      <c r="I29" s="93">
        <v>0</v>
      </c>
      <c r="J29" s="93">
        <v>0</v>
      </c>
      <c r="K29" s="60">
        <f t="shared" si="1"/>
        <v>773.61339999999996</v>
      </c>
      <c r="L29" s="94">
        <f t="shared" si="2"/>
        <v>0</v>
      </c>
      <c r="M29" s="95" t="str">
        <f t="shared" si="3"/>
        <v/>
      </c>
      <c r="N29" s="63" t="str">
        <f t="shared" si="4"/>
        <v/>
      </c>
      <c r="O29" s="67" t="str">
        <f t="shared" si="5"/>
        <v/>
      </c>
      <c r="P29" s="91" t="str">
        <f t="shared" si="6"/>
        <v/>
      </c>
      <c r="Q29" s="66">
        <f t="shared" si="7"/>
        <v>0</v>
      </c>
      <c r="R29" s="96">
        <f t="shared" si="8"/>
        <v>0</v>
      </c>
      <c r="S29" s="97" t="str">
        <f t="shared" si="9"/>
        <v/>
      </c>
      <c r="U29" s="60">
        <f t="shared" si="10"/>
        <v>773.61339999999996</v>
      </c>
      <c r="V29" s="94">
        <f t="shared" si="11"/>
        <v>516128.17245094548</v>
      </c>
      <c r="W29" s="95" t="str">
        <f t="shared" si="12"/>
        <v/>
      </c>
      <c r="X29" s="63">
        <f t="shared" si="13"/>
        <v>0</v>
      </c>
      <c r="Y29" s="67" t="str">
        <f t="shared" si="14"/>
        <v/>
      </c>
      <c r="Z29" s="91" t="str">
        <f t="shared" si="15"/>
        <v/>
      </c>
      <c r="AA29" s="66">
        <f t="shared" si="16"/>
        <v>535011.58645028935</v>
      </c>
      <c r="AB29" s="96">
        <f t="shared" si="17"/>
        <v>18883.413999343873</v>
      </c>
      <c r="AC29" s="97">
        <f t="shared" si="18"/>
        <v>3.6586675572604234E-2</v>
      </c>
      <c r="AD29" s="67">
        <f t="shared" si="19"/>
        <v>0</v>
      </c>
      <c r="AE29" s="66">
        <v>163529.73301721513</v>
      </c>
      <c r="AG29" s="16"/>
      <c r="AH29" s="16"/>
    </row>
    <row r="30" spans="2:34" x14ac:dyDescent="0.25">
      <c r="B30" s="91">
        <v>1894</v>
      </c>
      <c r="C30" s="67" t="s">
        <v>275</v>
      </c>
      <c r="D30" s="91" t="s">
        <v>63</v>
      </c>
      <c r="E30" s="92">
        <v>4384.3378000000002</v>
      </c>
      <c r="F30" s="92">
        <v>126</v>
      </c>
      <c r="G30" s="60">
        <f t="shared" si="0"/>
        <v>4510.3378000000002</v>
      </c>
      <c r="H30" s="93">
        <v>-1817.3185714610445</v>
      </c>
      <c r="I30" s="93">
        <v>0</v>
      </c>
      <c r="J30" s="93">
        <v>0</v>
      </c>
      <c r="K30" s="60">
        <f t="shared" si="1"/>
        <v>2693.0192285389558</v>
      </c>
      <c r="L30" s="94">
        <f t="shared" si="2"/>
        <v>0</v>
      </c>
      <c r="M30" s="95" t="str">
        <f t="shared" si="3"/>
        <v/>
      </c>
      <c r="N30" s="63" t="str">
        <f t="shared" si="4"/>
        <v/>
      </c>
      <c r="O30" s="67" t="str">
        <f t="shared" si="5"/>
        <v/>
      </c>
      <c r="P30" s="91" t="str">
        <f t="shared" si="6"/>
        <v/>
      </c>
      <c r="Q30" s="66">
        <f t="shared" si="7"/>
        <v>0</v>
      </c>
      <c r="R30" s="96">
        <f t="shared" si="8"/>
        <v>0</v>
      </c>
      <c r="S30" s="97" t="str">
        <f t="shared" si="9"/>
        <v/>
      </c>
      <c r="U30" s="60">
        <f t="shared" si="10"/>
        <v>2693.0192285389558</v>
      </c>
      <c r="V30" s="94">
        <f t="shared" si="11"/>
        <v>1796689.525803284</v>
      </c>
      <c r="W30" s="95" t="str">
        <f t="shared" si="12"/>
        <v/>
      </c>
      <c r="X30" s="63">
        <f t="shared" si="13"/>
        <v>0</v>
      </c>
      <c r="Y30" s="67" t="str">
        <f t="shared" si="14"/>
        <v/>
      </c>
      <c r="Z30" s="91" t="str">
        <f t="shared" si="15"/>
        <v/>
      </c>
      <c r="AA30" s="66">
        <f t="shared" si="16"/>
        <v>1862424.4225885449</v>
      </c>
      <c r="AB30" s="96">
        <f t="shared" si="17"/>
        <v>65734.896785260877</v>
      </c>
      <c r="AC30" s="97">
        <f t="shared" si="18"/>
        <v>3.658667557260422E-2</v>
      </c>
      <c r="AD30" s="67">
        <f t="shared" si="19"/>
        <v>0</v>
      </c>
      <c r="AE30" s="66">
        <v>581456.35404755606</v>
      </c>
      <c r="AG30" s="16"/>
      <c r="AH30" s="16"/>
    </row>
    <row r="31" spans="2:34" x14ac:dyDescent="0.25">
      <c r="B31" s="91">
        <v>1969</v>
      </c>
      <c r="C31" s="67" t="s">
        <v>280</v>
      </c>
      <c r="D31" s="91" t="s">
        <v>92</v>
      </c>
      <c r="E31" s="92">
        <v>902.29300000000001</v>
      </c>
      <c r="F31" s="92">
        <v>35.03</v>
      </c>
      <c r="G31" s="60">
        <f t="shared" si="0"/>
        <v>937.32299999999998</v>
      </c>
      <c r="H31" s="93">
        <v>0</v>
      </c>
      <c r="I31" s="93">
        <v>0</v>
      </c>
      <c r="J31" s="93">
        <v>0</v>
      </c>
      <c r="K31" s="60">
        <f t="shared" si="1"/>
        <v>937.32299999999998</v>
      </c>
      <c r="L31" s="94">
        <f t="shared" si="2"/>
        <v>0</v>
      </c>
      <c r="M31" s="95" t="str">
        <f t="shared" si="3"/>
        <v/>
      </c>
      <c r="N31" s="63" t="str">
        <f t="shared" si="4"/>
        <v/>
      </c>
      <c r="O31" s="67" t="str">
        <f t="shared" si="5"/>
        <v/>
      </c>
      <c r="P31" s="91" t="str">
        <f t="shared" si="6"/>
        <v/>
      </c>
      <c r="Q31" s="66">
        <f t="shared" si="7"/>
        <v>0</v>
      </c>
      <c r="R31" s="96">
        <f t="shared" si="8"/>
        <v>0</v>
      </c>
      <c r="S31" s="97" t="str">
        <f t="shared" si="9"/>
        <v/>
      </c>
      <c r="U31" s="60">
        <f t="shared" si="10"/>
        <v>937.32299999999998</v>
      </c>
      <c r="V31" s="94">
        <f t="shared" si="11"/>
        <v>625349.56993536768</v>
      </c>
      <c r="W31" s="95" t="str">
        <f t="shared" si="12"/>
        <v/>
      </c>
      <c r="X31" s="63">
        <f t="shared" si="13"/>
        <v>0</v>
      </c>
      <c r="Y31" s="67" t="str">
        <f t="shared" si="14"/>
        <v/>
      </c>
      <c r="Z31" s="91" t="str">
        <f t="shared" si="15"/>
        <v/>
      </c>
      <c r="AA31" s="66">
        <f t="shared" si="16"/>
        <v>648229.03177006054</v>
      </c>
      <c r="AB31" s="96">
        <f t="shared" si="17"/>
        <v>22879.461834692862</v>
      </c>
      <c r="AC31" s="97">
        <f t="shared" si="18"/>
        <v>3.6586675572604206E-2</v>
      </c>
      <c r="AD31" s="67">
        <f t="shared" si="19"/>
        <v>0</v>
      </c>
      <c r="AE31" s="66">
        <v>197609.51237111789</v>
      </c>
      <c r="AG31" s="16"/>
      <c r="AH31" s="16"/>
    </row>
    <row r="32" spans="2:34" x14ac:dyDescent="0.25">
      <c r="B32" s="91">
        <v>2240</v>
      </c>
      <c r="C32" s="67" t="s">
        <v>309</v>
      </c>
      <c r="D32" s="91" t="s">
        <v>170</v>
      </c>
      <c r="E32" s="92">
        <v>1299.4422999999999</v>
      </c>
      <c r="F32" s="92">
        <v>16.795000000000002</v>
      </c>
      <c r="G32" s="60">
        <f t="shared" si="0"/>
        <v>1316.2373</v>
      </c>
      <c r="H32" s="93">
        <v>0</v>
      </c>
      <c r="I32" s="93">
        <v>0</v>
      </c>
      <c r="J32" s="93">
        <v>0</v>
      </c>
      <c r="K32" s="60">
        <f t="shared" si="1"/>
        <v>1316.2373</v>
      </c>
      <c r="L32" s="94">
        <f t="shared" si="2"/>
        <v>0</v>
      </c>
      <c r="M32" s="95" t="str">
        <f t="shared" si="3"/>
        <v/>
      </c>
      <c r="N32" s="63" t="str">
        <f t="shared" si="4"/>
        <v/>
      </c>
      <c r="O32" s="67" t="str">
        <f t="shared" si="5"/>
        <v/>
      </c>
      <c r="P32" s="91" t="str">
        <f t="shared" si="6"/>
        <v/>
      </c>
      <c r="Q32" s="66">
        <f t="shared" si="7"/>
        <v>0</v>
      </c>
      <c r="R32" s="96">
        <f t="shared" si="8"/>
        <v>0</v>
      </c>
      <c r="S32" s="97" t="str">
        <f t="shared" si="9"/>
        <v/>
      </c>
      <c r="U32" s="60">
        <f t="shared" si="10"/>
        <v>1316.2373</v>
      </c>
      <c r="V32" s="94">
        <f t="shared" si="11"/>
        <v>878148.11915197806</v>
      </c>
      <c r="W32" s="95" t="str">
        <f t="shared" si="12"/>
        <v/>
      </c>
      <c r="X32" s="63">
        <f t="shared" si="13"/>
        <v>0</v>
      </c>
      <c r="Y32" s="67" t="str">
        <f t="shared" si="14"/>
        <v/>
      </c>
      <c r="Z32" s="91" t="str">
        <f t="shared" si="15"/>
        <v/>
      </c>
      <c r="AA32" s="66">
        <f t="shared" si="16"/>
        <v>910276.63949208404</v>
      </c>
      <c r="AB32" s="96">
        <f t="shared" si="17"/>
        <v>32128.520340105984</v>
      </c>
      <c r="AC32" s="97">
        <f t="shared" si="18"/>
        <v>3.6586675572604185E-2</v>
      </c>
      <c r="AD32" s="67">
        <f t="shared" si="19"/>
        <v>0</v>
      </c>
      <c r="AE32" s="66">
        <v>277954.47186330764</v>
      </c>
      <c r="AG32" s="16"/>
      <c r="AH32" s="16"/>
    </row>
    <row r="33" spans="2:34" x14ac:dyDescent="0.25">
      <c r="B33" s="91">
        <v>2243</v>
      </c>
      <c r="C33" s="67" t="s">
        <v>309</v>
      </c>
      <c r="D33" s="91" t="s">
        <v>118</v>
      </c>
      <c r="E33" s="92">
        <v>48493.202299999997</v>
      </c>
      <c r="F33" s="92">
        <v>815.01250000000005</v>
      </c>
      <c r="G33" s="60">
        <f t="shared" si="0"/>
        <v>49308.214799999994</v>
      </c>
      <c r="H33" s="93">
        <v>0</v>
      </c>
      <c r="I33" s="93">
        <v>0</v>
      </c>
      <c r="J33" s="93">
        <v>0</v>
      </c>
      <c r="K33" s="60">
        <f t="shared" si="1"/>
        <v>49308.214799999994</v>
      </c>
      <c r="L33" s="94">
        <f t="shared" si="2"/>
        <v>0</v>
      </c>
      <c r="M33" s="95" t="str">
        <f t="shared" si="3"/>
        <v/>
      </c>
      <c r="N33" s="63" t="str">
        <f t="shared" si="4"/>
        <v/>
      </c>
      <c r="O33" s="67" t="str">
        <f t="shared" si="5"/>
        <v/>
      </c>
      <c r="P33" s="91" t="str">
        <f t="shared" si="6"/>
        <v/>
      </c>
      <c r="Q33" s="66">
        <f t="shared" si="7"/>
        <v>0</v>
      </c>
      <c r="R33" s="96">
        <f t="shared" si="8"/>
        <v>0</v>
      </c>
      <c r="S33" s="97" t="str">
        <f t="shared" si="9"/>
        <v/>
      </c>
      <c r="U33" s="60">
        <f t="shared" si="10"/>
        <v>49308.214799999994</v>
      </c>
      <c r="V33" s="94">
        <f t="shared" si="11"/>
        <v>32896739.885248445</v>
      </c>
      <c r="W33" s="95" t="str">
        <f t="shared" si="12"/>
        <v/>
      </c>
      <c r="X33" s="63">
        <f t="shared" si="13"/>
        <v>0</v>
      </c>
      <c r="Y33" s="67" t="str">
        <f t="shared" si="14"/>
        <v/>
      </c>
      <c r="Z33" s="91" t="str">
        <f t="shared" si="15"/>
        <v/>
      </c>
      <c r="AA33" s="66">
        <f t="shared" si="16"/>
        <v>34100322.234826379</v>
      </c>
      <c r="AB33" s="96">
        <f t="shared" si="17"/>
        <v>1203582.3495779335</v>
      </c>
      <c r="AC33" s="97">
        <f t="shared" si="18"/>
        <v>3.6586675572604199E-2</v>
      </c>
      <c r="AD33" s="67">
        <f t="shared" si="19"/>
        <v>0</v>
      </c>
      <c r="AE33" s="66">
        <v>10531413.63546096</v>
      </c>
      <c r="AG33" s="16"/>
      <c r="AH33" s="16"/>
    </row>
    <row r="34" spans="2:34" x14ac:dyDescent="0.25">
      <c r="B34" s="6">
        <v>5309</v>
      </c>
      <c r="C34" s="6" t="s">
        <v>283</v>
      </c>
      <c r="D34" s="6" t="s">
        <v>315</v>
      </c>
      <c r="E34" s="92"/>
      <c r="F34" s="92"/>
      <c r="G34" s="60"/>
      <c r="H34" s="93"/>
      <c r="I34" s="93"/>
      <c r="J34" s="93"/>
      <c r="K34" s="60"/>
      <c r="L34" s="94"/>
      <c r="M34" s="95"/>
      <c r="N34" s="63"/>
      <c r="O34" s="67"/>
      <c r="P34" s="91"/>
      <c r="Q34" s="66"/>
      <c r="R34" s="96"/>
      <c r="S34" s="97"/>
      <c r="U34" s="60"/>
      <c r="V34" s="94"/>
      <c r="W34" s="95"/>
      <c r="X34" s="63"/>
      <c r="Y34" s="67"/>
      <c r="Z34" s="91"/>
      <c r="AA34" s="66"/>
      <c r="AB34" s="96"/>
      <c r="AC34" s="97"/>
      <c r="AD34" s="67"/>
      <c r="AE34" s="66">
        <v>43797.118498521173</v>
      </c>
      <c r="AG34" s="16"/>
      <c r="AH34" s="16"/>
    </row>
    <row r="35" spans="2:34" x14ac:dyDescent="0.25">
      <c r="B35" s="91">
        <v>1976</v>
      </c>
      <c r="C35" s="67" t="s">
        <v>283</v>
      </c>
      <c r="D35" s="91" t="s">
        <v>38</v>
      </c>
      <c r="E35" s="92">
        <v>20905.702499999999</v>
      </c>
      <c r="F35" s="92">
        <v>465.67750000000001</v>
      </c>
      <c r="G35" s="60">
        <f t="shared" ref="G35:G76" si="20">E35+F35</f>
        <v>21371.38</v>
      </c>
      <c r="H35" s="93">
        <v>0</v>
      </c>
      <c r="I35" s="93">
        <v>-216.08500000000001</v>
      </c>
      <c r="J35" s="93">
        <v>0</v>
      </c>
      <c r="K35" s="60">
        <f t="shared" ref="K35:K76" si="21">$G35+$H35+$I35+$J35</f>
        <v>21155.295000000002</v>
      </c>
      <c r="L35" s="94">
        <f t="shared" ref="L35:L76" si="22">K35*$D$16</f>
        <v>0</v>
      </c>
      <c r="M35" s="95" t="str">
        <f t="shared" ref="M35:M76" si="23">IF(K35=0,"",IF(K35&lt;$W$16,"Yes",""))</f>
        <v/>
      </c>
      <c r="N35" s="63" t="str">
        <f t="shared" ref="N35:N76" si="24">IF(K35=0,"",IF(K35&lt;$W$16,$W$16-K35,""))</f>
        <v/>
      </c>
      <c r="O35" s="67" t="str">
        <f t="shared" ref="O35:O76" si="25">IF(K35=0,"",IF(K35&lt;$M$16,(K35+N35)*$Q$16,""))</f>
        <v/>
      </c>
      <c r="P35" s="91" t="str">
        <f t="shared" ref="P35:P76" si="26">IF(K35=0,"",IF(K35&lt;$W$16,(K35+N35),""))</f>
        <v/>
      </c>
      <c r="Q35" s="66">
        <f t="shared" ref="Q35:Q76" si="27">MAX(O35,(K35*$Q$16))</f>
        <v>0</v>
      </c>
      <c r="R35" s="96">
        <f t="shared" ref="R35:R76" si="28">IF(Q35=0,0,(Q35-L35))</f>
        <v>0</v>
      </c>
      <c r="S35" s="97" t="str">
        <f t="shared" ref="S35:S76" si="29">IF(R35=0,"",(R35/L35))</f>
        <v/>
      </c>
      <c r="U35" s="60">
        <f t="shared" ref="U35:U76" si="30">$G35+$H35+$I35+$J35</f>
        <v>21155.295000000002</v>
      </c>
      <c r="V35" s="94">
        <f t="shared" ref="V35:V76" si="31">U35*$E$16</f>
        <v>14114083.010985365</v>
      </c>
      <c r="W35" s="95" t="str">
        <f t="shared" ref="W35:W76" si="32">IF(U35=0,"",IF(U35&lt;$W$16,"Yes",""))</f>
        <v/>
      </c>
      <c r="X35" s="63">
        <f t="shared" ref="X35:X76" si="33">IF(U35=0,0,IF(U35&lt;$W$16,$W$16-U35,0))</f>
        <v>0</v>
      </c>
      <c r="Y35" s="67" t="str">
        <f t="shared" ref="Y35:Y76" si="34">IF(U35=0,"",IF(U35&lt;$W$16,(U35+X35)*$AA$16,""))</f>
        <v/>
      </c>
      <c r="Z35" s="91" t="str">
        <f t="shared" ref="Z35:Z76" si="35">IF(U35=0,"",IF(U35&lt;$W$16,(U35+X35),""))</f>
        <v/>
      </c>
      <c r="AA35" s="66">
        <f t="shared" ref="AA35:AA76" si="36">MAX(Y35,(U35*$AA$16))</f>
        <v>14630470.387113091</v>
      </c>
      <c r="AB35" s="96">
        <f t="shared" ref="AB35:AB76" si="37">IF(AA35=0,"",(AA35-V35))</f>
        <v>516387.37612772547</v>
      </c>
      <c r="AC35" s="97">
        <f t="shared" ref="AC35:AC76" si="38">IF(AB35="","",(AB35/V35))</f>
        <v>3.6586675572604151E-2</v>
      </c>
      <c r="AD35" s="67">
        <f t="shared" ref="AD35:AD76" si="39">IF(AA35=0,0,(U35+X35)/$AA$14)*$E$13</f>
        <v>0</v>
      </c>
      <c r="AE35" s="66">
        <v>4525320.6916707223</v>
      </c>
      <c r="AG35" s="16"/>
      <c r="AH35" s="16"/>
    </row>
    <row r="36" spans="2:34" x14ac:dyDescent="0.25">
      <c r="B36" s="91">
        <v>2088</v>
      </c>
      <c r="C36" s="67" t="s">
        <v>294</v>
      </c>
      <c r="D36" s="91" t="s">
        <v>139</v>
      </c>
      <c r="E36" s="92">
        <v>6759.8544000000002</v>
      </c>
      <c r="F36" s="92">
        <v>220.55</v>
      </c>
      <c r="G36" s="60">
        <f t="shared" si="20"/>
        <v>6980.4044000000004</v>
      </c>
      <c r="H36" s="93">
        <v>0</v>
      </c>
      <c r="I36" s="93">
        <v>0</v>
      </c>
      <c r="J36" s="93">
        <v>0</v>
      </c>
      <c r="K36" s="60">
        <f t="shared" si="21"/>
        <v>6980.4044000000004</v>
      </c>
      <c r="L36" s="94">
        <f t="shared" si="22"/>
        <v>0</v>
      </c>
      <c r="M36" s="95" t="str">
        <f t="shared" si="23"/>
        <v/>
      </c>
      <c r="N36" s="63" t="str">
        <f t="shared" si="24"/>
        <v/>
      </c>
      <c r="O36" s="67" t="str">
        <f t="shared" si="25"/>
        <v/>
      </c>
      <c r="P36" s="91" t="str">
        <f t="shared" si="26"/>
        <v/>
      </c>
      <c r="Q36" s="66">
        <f t="shared" si="27"/>
        <v>0</v>
      </c>
      <c r="R36" s="96">
        <f t="shared" si="28"/>
        <v>0</v>
      </c>
      <c r="S36" s="97" t="str">
        <f t="shared" si="29"/>
        <v/>
      </c>
      <c r="U36" s="60">
        <f t="shared" si="30"/>
        <v>6980.4044000000004</v>
      </c>
      <c r="V36" s="94">
        <f t="shared" si="31"/>
        <v>4657085.0064651659</v>
      </c>
      <c r="W36" s="95" t="str">
        <f t="shared" si="32"/>
        <v/>
      </c>
      <c r="X36" s="63">
        <f t="shared" si="33"/>
        <v>0</v>
      </c>
      <c r="Y36" s="67" t="str">
        <f t="shared" si="34"/>
        <v/>
      </c>
      <c r="Z36" s="91" t="str">
        <f t="shared" si="35"/>
        <v/>
      </c>
      <c r="AA36" s="66">
        <f t="shared" si="36"/>
        <v>4827472.2647107458</v>
      </c>
      <c r="AB36" s="96">
        <f t="shared" si="37"/>
        <v>170387.2582455799</v>
      </c>
      <c r="AC36" s="97">
        <f t="shared" si="38"/>
        <v>3.6586675572604102E-2</v>
      </c>
      <c r="AD36" s="67">
        <f t="shared" si="39"/>
        <v>0</v>
      </c>
      <c r="AE36" s="66">
        <v>1477974.7317480699</v>
      </c>
      <c r="AG36" s="16"/>
      <c r="AH36" s="16"/>
    </row>
    <row r="37" spans="2:34" x14ac:dyDescent="0.25">
      <c r="B37" s="91">
        <v>2095</v>
      </c>
      <c r="C37" s="67" t="s">
        <v>294</v>
      </c>
      <c r="D37" s="91" t="s">
        <v>171</v>
      </c>
      <c r="E37" s="92">
        <v>382.29700000000003</v>
      </c>
      <c r="F37" s="92">
        <v>5</v>
      </c>
      <c r="G37" s="60">
        <f t="shared" si="20"/>
        <v>387.29700000000003</v>
      </c>
      <c r="H37" s="93">
        <v>0</v>
      </c>
      <c r="I37" s="93">
        <v>0</v>
      </c>
      <c r="J37" s="93">
        <v>0</v>
      </c>
      <c r="K37" s="60">
        <f t="shared" si="21"/>
        <v>387.29700000000003</v>
      </c>
      <c r="L37" s="94">
        <f t="shared" si="22"/>
        <v>0</v>
      </c>
      <c r="M37" s="95" t="str">
        <f t="shared" si="23"/>
        <v/>
      </c>
      <c r="N37" s="63" t="str">
        <f t="shared" si="24"/>
        <v/>
      </c>
      <c r="O37" s="67" t="str">
        <f t="shared" si="25"/>
        <v/>
      </c>
      <c r="P37" s="91" t="str">
        <f t="shared" si="26"/>
        <v/>
      </c>
      <c r="Q37" s="66">
        <f t="shared" si="27"/>
        <v>0</v>
      </c>
      <c r="R37" s="96">
        <f t="shared" si="28"/>
        <v>0</v>
      </c>
      <c r="S37" s="97" t="str">
        <f t="shared" si="29"/>
        <v/>
      </c>
      <c r="U37" s="60">
        <f t="shared" si="30"/>
        <v>387.29700000000003</v>
      </c>
      <c r="V37" s="94">
        <f t="shared" si="31"/>
        <v>258391.19747115788</v>
      </c>
      <c r="W37" s="95" t="str">
        <f t="shared" si="32"/>
        <v/>
      </c>
      <c r="X37" s="63">
        <f t="shared" si="33"/>
        <v>0</v>
      </c>
      <c r="Y37" s="67" t="str">
        <f t="shared" si="34"/>
        <v/>
      </c>
      <c r="Z37" s="91" t="str">
        <f t="shared" si="35"/>
        <v/>
      </c>
      <c r="AA37" s="66">
        <f t="shared" si="36"/>
        <v>267844.87238385185</v>
      </c>
      <c r="AB37" s="96">
        <f t="shared" si="37"/>
        <v>9453.6749126939685</v>
      </c>
      <c r="AC37" s="97">
        <f t="shared" si="38"/>
        <v>3.6586675572604234E-2</v>
      </c>
      <c r="AD37" s="67">
        <f t="shared" si="39"/>
        <v>0</v>
      </c>
      <c r="AE37" s="66">
        <v>82236.193167535355</v>
      </c>
      <c r="AG37" s="16"/>
      <c r="AH37" s="16"/>
    </row>
    <row r="38" spans="2:34" x14ac:dyDescent="0.25">
      <c r="B38" s="91">
        <v>2052</v>
      </c>
      <c r="C38" s="67" t="s">
        <v>290</v>
      </c>
      <c r="D38" s="91" t="s">
        <v>98</v>
      </c>
      <c r="E38" s="92">
        <v>60.8</v>
      </c>
      <c r="F38" s="92">
        <v>1</v>
      </c>
      <c r="G38" s="60">
        <f t="shared" si="20"/>
        <v>61.8</v>
      </c>
      <c r="H38" s="93">
        <v>0</v>
      </c>
      <c r="I38" s="93">
        <v>0</v>
      </c>
      <c r="J38" s="93">
        <v>0</v>
      </c>
      <c r="K38" s="60">
        <f t="shared" si="21"/>
        <v>61.8</v>
      </c>
      <c r="L38" s="94">
        <f t="shared" si="22"/>
        <v>0</v>
      </c>
      <c r="M38" s="95" t="str">
        <f t="shared" si="23"/>
        <v/>
      </c>
      <c r="N38" s="63" t="str">
        <f t="shared" si="24"/>
        <v/>
      </c>
      <c r="O38" s="67" t="str">
        <f t="shared" si="25"/>
        <v/>
      </c>
      <c r="P38" s="91" t="str">
        <f t="shared" si="26"/>
        <v/>
      </c>
      <c r="Q38" s="66">
        <f t="shared" si="27"/>
        <v>0</v>
      </c>
      <c r="R38" s="96">
        <f t="shared" si="28"/>
        <v>0</v>
      </c>
      <c r="S38" s="97" t="str">
        <f t="shared" si="29"/>
        <v/>
      </c>
      <c r="U38" s="60">
        <f t="shared" si="30"/>
        <v>61.8</v>
      </c>
      <c r="V38" s="94">
        <f t="shared" si="31"/>
        <v>41230.828030471588</v>
      </c>
      <c r="W38" s="95" t="str">
        <f t="shared" si="32"/>
        <v/>
      </c>
      <c r="X38" s="63">
        <f t="shared" si="33"/>
        <v>0</v>
      </c>
      <c r="Y38" s="67" t="str">
        <f t="shared" si="34"/>
        <v/>
      </c>
      <c r="Z38" s="91" t="str">
        <f t="shared" si="35"/>
        <v/>
      </c>
      <c r="AA38" s="66">
        <f t="shared" si="36"/>
        <v>42739.326959212289</v>
      </c>
      <c r="AB38" s="96">
        <f t="shared" si="37"/>
        <v>1508.4989287407006</v>
      </c>
      <c r="AC38" s="97">
        <f t="shared" si="38"/>
        <v>3.6586675572604234E-2</v>
      </c>
      <c r="AD38" s="67">
        <f t="shared" si="39"/>
        <v>0</v>
      </c>
      <c r="AE38" s="66">
        <v>13142.681189337649</v>
      </c>
      <c r="AG38" s="16"/>
      <c r="AH38" s="16"/>
    </row>
    <row r="39" spans="2:34" x14ac:dyDescent="0.25">
      <c r="B39" s="91">
        <v>1974</v>
      </c>
      <c r="C39" s="67" t="s">
        <v>282</v>
      </c>
      <c r="D39" s="91" t="s">
        <v>100</v>
      </c>
      <c r="E39" s="92">
        <v>1849.8951</v>
      </c>
      <c r="F39" s="92">
        <v>81.254999999999995</v>
      </c>
      <c r="G39" s="60">
        <f t="shared" si="20"/>
        <v>1931.1500999999998</v>
      </c>
      <c r="H39" s="93">
        <v>0</v>
      </c>
      <c r="I39" s="93">
        <v>0</v>
      </c>
      <c r="J39" s="93">
        <v>0</v>
      </c>
      <c r="K39" s="60">
        <f t="shared" si="21"/>
        <v>1931.1500999999998</v>
      </c>
      <c r="L39" s="94">
        <f t="shared" si="22"/>
        <v>0</v>
      </c>
      <c r="M39" s="95" t="str">
        <f t="shared" si="23"/>
        <v/>
      </c>
      <c r="N39" s="63" t="str">
        <f t="shared" si="24"/>
        <v/>
      </c>
      <c r="O39" s="67" t="str">
        <f t="shared" si="25"/>
        <v/>
      </c>
      <c r="P39" s="91" t="str">
        <f t="shared" si="26"/>
        <v/>
      </c>
      <c r="Q39" s="66">
        <f t="shared" si="27"/>
        <v>0</v>
      </c>
      <c r="R39" s="96">
        <f t="shared" si="28"/>
        <v>0</v>
      </c>
      <c r="S39" s="97" t="str">
        <f t="shared" si="29"/>
        <v/>
      </c>
      <c r="U39" s="60">
        <f t="shared" si="30"/>
        <v>1931.1500999999998</v>
      </c>
      <c r="V39" s="94">
        <f t="shared" si="31"/>
        <v>1288396.7261185762</v>
      </c>
      <c r="W39" s="95" t="str">
        <f t="shared" si="32"/>
        <v/>
      </c>
      <c r="X39" s="63">
        <f t="shared" si="33"/>
        <v>0</v>
      </c>
      <c r="Y39" s="67" t="str">
        <f t="shared" si="34"/>
        <v/>
      </c>
      <c r="Z39" s="91" t="str">
        <f t="shared" si="35"/>
        <v/>
      </c>
      <c r="AA39" s="66">
        <f t="shared" si="36"/>
        <v>1335534.8791458819</v>
      </c>
      <c r="AB39" s="96">
        <f t="shared" si="37"/>
        <v>47138.153027305612</v>
      </c>
      <c r="AC39" s="97">
        <f t="shared" si="38"/>
        <v>3.6586675572604102E-2</v>
      </c>
      <c r="AD39" s="67">
        <f t="shared" si="39"/>
        <v>0</v>
      </c>
      <c r="AE39" s="66">
        <v>400254.34126364911</v>
      </c>
      <c r="AG39" s="16"/>
      <c r="AH39" s="16"/>
    </row>
    <row r="40" spans="2:34" x14ac:dyDescent="0.25">
      <c r="B40" s="91">
        <v>1896</v>
      </c>
      <c r="C40" s="67" t="s">
        <v>275</v>
      </c>
      <c r="D40" s="91" t="s">
        <v>101</v>
      </c>
      <c r="E40" s="92">
        <v>143.7508</v>
      </c>
      <c r="F40" s="92">
        <v>1.25</v>
      </c>
      <c r="G40" s="60">
        <f t="shared" si="20"/>
        <v>145.0008</v>
      </c>
      <c r="H40" s="93">
        <v>0</v>
      </c>
      <c r="I40" s="93">
        <v>0</v>
      </c>
      <c r="J40" s="93">
        <v>0</v>
      </c>
      <c r="K40" s="60">
        <f t="shared" si="21"/>
        <v>145.0008</v>
      </c>
      <c r="L40" s="94">
        <f t="shared" si="22"/>
        <v>0</v>
      </c>
      <c r="M40" s="95" t="str">
        <f t="shared" si="23"/>
        <v/>
      </c>
      <c r="N40" s="63" t="str">
        <f t="shared" si="24"/>
        <v/>
      </c>
      <c r="O40" s="67" t="str">
        <f t="shared" si="25"/>
        <v/>
      </c>
      <c r="P40" s="91" t="str">
        <f t="shared" si="26"/>
        <v/>
      </c>
      <c r="Q40" s="66">
        <f t="shared" si="27"/>
        <v>0</v>
      </c>
      <c r="R40" s="96">
        <f t="shared" si="28"/>
        <v>0</v>
      </c>
      <c r="S40" s="97" t="str">
        <f t="shared" si="29"/>
        <v/>
      </c>
      <c r="U40" s="60">
        <f t="shared" si="30"/>
        <v>145.0008</v>
      </c>
      <c r="V40" s="94">
        <f t="shared" si="31"/>
        <v>96739.531538524359</v>
      </c>
      <c r="W40" s="95" t="str">
        <f t="shared" si="32"/>
        <v/>
      </c>
      <c r="X40" s="63">
        <f t="shared" si="33"/>
        <v>0</v>
      </c>
      <c r="Y40" s="67" t="str">
        <f t="shared" si="34"/>
        <v/>
      </c>
      <c r="Z40" s="91" t="str">
        <f t="shared" si="35"/>
        <v/>
      </c>
      <c r="AA40" s="66">
        <f t="shared" si="36"/>
        <v>100278.90939397005</v>
      </c>
      <c r="AB40" s="96">
        <f t="shared" si="37"/>
        <v>3539.3778554456949</v>
      </c>
      <c r="AC40" s="97">
        <f t="shared" si="38"/>
        <v>3.6586675572604116E-2</v>
      </c>
      <c r="AD40" s="67">
        <f t="shared" si="39"/>
        <v>0</v>
      </c>
      <c r="AE40" s="66">
        <v>30617.308639473678</v>
      </c>
      <c r="AG40" s="16"/>
      <c r="AH40" s="16"/>
    </row>
    <row r="41" spans="2:34" x14ac:dyDescent="0.25">
      <c r="B41" s="91">
        <v>2046</v>
      </c>
      <c r="C41" s="67" t="s">
        <v>289</v>
      </c>
      <c r="D41" s="91" t="s">
        <v>102</v>
      </c>
      <c r="E41" s="92">
        <v>401.23939999999999</v>
      </c>
      <c r="F41" s="92">
        <v>9.5</v>
      </c>
      <c r="G41" s="60">
        <f t="shared" si="20"/>
        <v>410.73939999999999</v>
      </c>
      <c r="H41" s="93">
        <v>0</v>
      </c>
      <c r="I41" s="93">
        <v>0</v>
      </c>
      <c r="J41" s="93">
        <v>0</v>
      </c>
      <c r="K41" s="60">
        <f t="shared" si="21"/>
        <v>410.73939999999999</v>
      </c>
      <c r="L41" s="94">
        <f t="shared" si="22"/>
        <v>0</v>
      </c>
      <c r="M41" s="95" t="str">
        <f t="shared" si="23"/>
        <v/>
      </c>
      <c r="N41" s="63" t="str">
        <f t="shared" si="24"/>
        <v/>
      </c>
      <c r="O41" s="67" t="str">
        <f t="shared" si="25"/>
        <v/>
      </c>
      <c r="P41" s="91" t="str">
        <f t="shared" si="26"/>
        <v/>
      </c>
      <c r="Q41" s="66">
        <f t="shared" si="27"/>
        <v>0</v>
      </c>
      <c r="R41" s="96">
        <f t="shared" si="28"/>
        <v>0</v>
      </c>
      <c r="S41" s="97" t="str">
        <f t="shared" si="29"/>
        <v/>
      </c>
      <c r="U41" s="60">
        <f t="shared" si="30"/>
        <v>410.73939999999999</v>
      </c>
      <c r="V41" s="94">
        <f t="shared" si="31"/>
        <v>274031.15803784924</v>
      </c>
      <c r="W41" s="95" t="str">
        <f t="shared" si="32"/>
        <v/>
      </c>
      <c r="X41" s="63">
        <f t="shared" si="33"/>
        <v>0</v>
      </c>
      <c r="Y41" s="67" t="str">
        <f t="shared" si="34"/>
        <v/>
      </c>
      <c r="Z41" s="91" t="str">
        <f t="shared" si="35"/>
        <v/>
      </c>
      <c r="AA41" s="66">
        <f t="shared" si="36"/>
        <v>284057.04711376503</v>
      </c>
      <c r="AB41" s="96">
        <f t="shared" si="37"/>
        <v>10025.889075915795</v>
      </c>
      <c r="AC41" s="97">
        <f t="shared" si="38"/>
        <v>3.6586675572604109E-2</v>
      </c>
      <c r="AD41" s="67">
        <f t="shared" si="39"/>
        <v>0</v>
      </c>
      <c r="AE41" s="66">
        <v>85413.975467524477</v>
      </c>
      <c r="AG41" s="16"/>
      <c r="AH41" s="16"/>
    </row>
    <row r="42" spans="2:34" x14ac:dyDescent="0.25">
      <c r="B42" s="91">
        <v>1995</v>
      </c>
      <c r="C42" s="67" t="s">
        <v>284</v>
      </c>
      <c r="D42" s="91" t="s">
        <v>103</v>
      </c>
      <c r="E42" s="92">
        <v>363.36259999999999</v>
      </c>
      <c r="F42" s="92">
        <v>7</v>
      </c>
      <c r="G42" s="60">
        <f t="shared" si="20"/>
        <v>370.36259999999999</v>
      </c>
      <c r="H42" s="93">
        <v>0</v>
      </c>
      <c r="I42" s="93">
        <v>0</v>
      </c>
      <c r="J42" s="93">
        <v>0</v>
      </c>
      <c r="K42" s="60">
        <f t="shared" si="21"/>
        <v>370.36259999999999</v>
      </c>
      <c r="L42" s="94">
        <f t="shared" si="22"/>
        <v>0</v>
      </c>
      <c r="M42" s="95" t="str">
        <f t="shared" si="23"/>
        <v/>
      </c>
      <c r="N42" s="63" t="str">
        <f t="shared" si="24"/>
        <v/>
      </c>
      <c r="O42" s="67" t="str">
        <f t="shared" si="25"/>
        <v/>
      </c>
      <c r="P42" s="91" t="str">
        <f t="shared" si="26"/>
        <v/>
      </c>
      <c r="Q42" s="66">
        <f t="shared" si="27"/>
        <v>0</v>
      </c>
      <c r="R42" s="96">
        <f t="shared" si="28"/>
        <v>0</v>
      </c>
      <c r="S42" s="97" t="str">
        <f t="shared" si="29"/>
        <v/>
      </c>
      <c r="U42" s="60">
        <f t="shared" si="30"/>
        <v>370.36259999999999</v>
      </c>
      <c r="V42" s="94">
        <f t="shared" si="31"/>
        <v>247093.1499922061</v>
      </c>
      <c r="W42" s="95" t="str">
        <f t="shared" si="32"/>
        <v/>
      </c>
      <c r="X42" s="63">
        <f t="shared" si="33"/>
        <v>0</v>
      </c>
      <c r="Y42" s="67" t="str">
        <f t="shared" si="34"/>
        <v/>
      </c>
      <c r="Z42" s="91" t="str">
        <f t="shared" si="35"/>
        <v/>
      </c>
      <c r="AA42" s="66">
        <f t="shared" si="36"/>
        <v>256133.46690718376</v>
      </c>
      <c r="AB42" s="96">
        <f t="shared" si="37"/>
        <v>9040.3169149776513</v>
      </c>
      <c r="AC42" s="97">
        <f t="shared" si="38"/>
        <v>3.6586675572604116E-2</v>
      </c>
      <c r="AD42" s="67">
        <f t="shared" si="39"/>
        <v>0</v>
      </c>
      <c r="AE42" s="66">
        <v>77742.205876731939</v>
      </c>
      <c r="AG42" s="16"/>
      <c r="AH42" s="16"/>
    </row>
    <row r="43" spans="2:34" x14ac:dyDescent="0.25">
      <c r="B43" s="91">
        <v>1929</v>
      </c>
      <c r="C43" s="67" t="s">
        <v>277</v>
      </c>
      <c r="D43" s="91" t="s">
        <v>62</v>
      </c>
      <c r="E43" s="92">
        <v>5608.6496999999999</v>
      </c>
      <c r="F43" s="92">
        <v>122.4025</v>
      </c>
      <c r="G43" s="60">
        <f t="shared" si="20"/>
        <v>5731.0522000000001</v>
      </c>
      <c r="H43" s="93">
        <v>0</v>
      </c>
      <c r="I43" s="93">
        <v>0</v>
      </c>
      <c r="J43" s="93">
        <v>0</v>
      </c>
      <c r="K43" s="60">
        <f t="shared" si="21"/>
        <v>5731.0522000000001</v>
      </c>
      <c r="L43" s="94">
        <f t="shared" si="22"/>
        <v>0</v>
      </c>
      <c r="M43" s="95" t="str">
        <f t="shared" si="23"/>
        <v/>
      </c>
      <c r="N43" s="63" t="str">
        <f t="shared" si="24"/>
        <v/>
      </c>
      <c r="O43" s="67" t="str">
        <f t="shared" si="25"/>
        <v/>
      </c>
      <c r="P43" s="91" t="str">
        <f t="shared" si="26"/>
        <v/>
      </c>
      <c r="Q43" s="66">
        <f t="shared" si="27"/>
        <v>0</v>
      </c>
      <c r="R43" s="96">
        <f t="shared" si="28"/>
        <v>0</v>
      </c>
      <c r="S43" s="97" t="str">
        <f t="shared" si="29"/>
        <v/>
      </c>
      <c r="U43" s="60">
        <f t="shared" si="30"/>
        <v>5731.0522000000001</v>
      </c>
      <c r="V43" s="94">
        <f t="shared" si="31"/>
        <v>3823560.3186384449</v>
      </c>
      <c r="W43" s="95" t="str">
        <f t="shared" si="32"/>
        <v/>
      </c>
      <c r="X43" s="63">
        <f t="shared" si="33"/>
        <v>0</v>
      </c>
      <c r="Y43" s="67" t="str">
        <f t="shared" si="34"/>
        <v/>
      </c>
      <c r="Z43" s="91" t="str">
        <f t="shared" si="35"/>
        <v/>
      </c>
      <c r="AA43" s="66">
        <f t="shared" si="36"/>
        <v>3963451.6795487525</v>
      </c>
      <c r="AB43" s="96">
        <f t="shared" si="37"/>
        <v>139891.36091030762</v>
      </c>
      <c r="AC43" s="97">
        <f t="shared" si="38"/>
        <v>3.6586675572604123E-2</v>
      </c>
      <c r="AD43" s="67">
        <f t="shared" si="39"/>
        <v>0</v>
      </c>
      <c r="AE43" s="66">
        <v>1206376.7770446816</v>
      </c>
      <c r="AG43" s="16"/>
      <c r="AH43" s="16"/>
    </row>
    <row r="44" spans="2:34" x14ac:dyDescent="0.25">
      <c r="B44" s="91">
        <v>2139</v>
      </c>
      <c r="C44" s="67" t="s">
        <v>299</v>
      </c>
      <c r="D44" s="91" t="s">
        <v>104</v>
      </c>
      <c r="E44" s="92">
        <v>2760.8145</v>
      </c>
      <c r="F44" s="92">
        <v>110.32</v>
      </c>
      <c r="G44" s="60">
        <f t="shared" si="20"/>
        <v>2871.1345000000001</v>
      </c>
      <c r="H44" s="93">
        <v>0</v>
      </c>
      <c r="I44" s="93">
        <v>0</v>
      </c>
      <c r="J44" s="93">
        <v>0</v>
      </c>
      <c r="K44" s="60">
        <f t="shared" si="21"/>
        <v>2871.1345000000001</v>
      </c>
      <c r="L44" s="94">
        <f t="shared" si="22"/>
        <v>0</v>
      </c>
      <c r="M44" s="95" t="str">
        <f t="shared" si="23"/>
        <v/>
      </c>
      <c r="N44" s="63" t="str">
        <f t="shared" si="24"/>
        <v/>
      </c>
      <c r="O44" s="67" t="str">
        <f t="shared" si="25"/>
        <v/>
      </c>
      <c r="P44" s="91" t="str">
        <f t="shared" si="26"/>
        <v/>
      </c>
      <c r="Q44" s="66">
        <f t="shared" si="27"/>
        <v>0</v>
      </c>
      <c r="R44" s="96">
        <f t="shared" si="28"/>
        <v>0</v>
      </c>
      <c r="S44" s="97" t="str">
        <f t="shared" si="29"/>
        <v/>
      </c>
      <c r="U44" s="60">
        <f t="shared" si="30"/>
        <v>2871.1345000000001</v>
      </c>
      <c r="V44" s="94">
        <f t="shared" si="31"/>
        <v>1915521.8903212629</v>
      </c>
      <c r="W44" s="95" t="str">
        <f t="shared" si="32"/>
        <v/>
      </c>
      <c r="X44" s="63">
        <f t="shared" si="33"/>
        <v>0</v>
      </c>
      <c r="Y44" s="67" t="str">
        <f t="shared" si="34"/>
        <v/>
      </c>
      <c r="Z44" s="91" t="str">
        <f t="shared" si="35"/>
        <v/>
      </c>
      <c r="AA44" s="66">
        <f t="shared" si="36"/>
        <v>1985604.4682746683</v>
      </c>
      <c r="AB44" s="96">
        <f t="shared" si="37"/>
        <v>70082.577953405445</v>
      </c>
      <c r="AC44" s="97">
        <f t="shared" si="38"/>
        <v>3.6586675572604137E-2</v>
      </c>
      <c r="AD44" s="67">
        <f t="shared" si="39"/>
        <v>0</v>
      </c>
      <c r="AE44" s="66">
        <v>651210.59722425148</v>
      </c>
      <c r="AG44" s="16"/>
      <c r="AH44" s="16"/>
    </row>
    <row r="45" spans="2:34" x14ac:dyDescent="0.25">
      <c r="B45" s="91">
        <v>2185</v>
      </c>
      <c r="C45" s="67" t="s">
        <v>301</v>
      </c>
      <c r="D45" s="91" t="s">
        <v>47</v>
      </c>
      <c r="E45" s="92">
        <v>7857.2833000000001</v>
      </c>
      <c r="F45" s="92">
        <v>325.89999999999998</v>
      </c>
      <c r="G45" s="60">
        <f t="shared" si="20"/>
        <v>8183.1832999999997</v>
      </c>
      <c r="H45" s="93">
        <v>0</v>
      </c>
      <c r="I45" s="93">
        <v>0</v>
      </c>
      <c r="J45" s="93">
        <v>0</v>
      </c>
      <c r="K45" s="60">
        <f t="shared" si="21"/>
        <v>8183.1832999999997</v>
      </c>
      <c r="L45" s="94">
        <f t="shared" si="22"/>
        <v>0</v>
      </c>
      <c r="M45" s="95" t="str">
        <f t="shared" si="23"/>
        <v/>
      </c>
      <c r="N45" s="63" t="str">
        <f t="shared" si="24"/>
        <v/>
      </c>
      <c r="O45" s="67" t="str">
        <f t="shared" si="25"/>
        <v/>
      </c>
      <c r="P45" s="91" t="str">
        <f t="shared" si="26"/>
        <v/>
      </c>
      <c r="Q45" s="66">
        <f t="shared" si="27"/>
        <v>0</v>
      </c>
      <c r="R45" s="96">
        <f t="shared" si="28"/>
        <v>0</v>
      </c>
      <c r="S45" s="97" t="str">
        <f t="shared" si="29"/>
        <v/>
      </c>
      <c r="U45" s="60">
        <f t="shared" si="30"/>
        <v>8183.1832999999997</v>
      </c>
      <c r="V45" s="94">
        <f t="shared" si="31"/>
        <v>5459537.5952124111</v>
      </c>
      <c r="W45" s="95" t="str">
        <f t="shared" si="32"/>
        <v/>
      </c>
      <c r="X45" s="63">
        <f t="shared" si="33"/>
        <v>0</v>
      </c>
      <c r="Y45" s="67" t="str">
        <f t="shared" si="34"/>
        <v/>
      </c>
      <c r="Z45" s="91" t="str">
        <f t="shared" si="35"/>
        <v/>
      </c>
      <c r="AA45" s="66">
        <f t="shared" si="36"/>
        <v>5659283.9259848827</v>
      </c>
      <c r="AB45" s="96">
        <f t="shared" si="37"/>
        <v>199746.33077247161</v>
      </c>
      <c r="AC45" s="97">
        <f t="shared" si="38"/>
        <v>3.6586675572604095E-2</v>
      </c>
      <c r="AD45" s="67">
        <f t="shared" si="39"/>
        <v>0</v>
      </c>
      <c r="AE45" s="66">
        <v>1688780.1204892441</v>
      </c>
      <c r="AG45" s="16"/>
      <c r="AH45" s="16"/>
    </row>
    <row r="46" spans="2:34" x14ac:dyDescent="0.25">
      <c r="B46" s="91">
        <v>1972</v>
      </c>
      <c r="C46" s="67" t="s">
        <v>282</v>
      </c>
      <c r="D46" s="91" t="s">
        <v>129</v>
      </c>
      <c r="E46" s="92">
        <v>637.93939999999998</v>
      </c>
      <c r="F46" s="92">
        <v>16.022500000000001</v>
      </c>
      <c r="G46" s="60">
        <f t="shared" si="20"/>
        <v>653.96190000000001</v>
      </c>
      <c r="H46" s="93">
        <v>0</v>
      </c>
      <c r="I46" s="93">
        <v>0</v>
      </c>
      <c r="J46" s="93">
        <v>0</v>
      </c>
      <c r="K46" s="60">
        <f t="shared" si="21"/>
        <v>653.96190000000001</v>
      </c>
      <c r="L46" s="94">
        <f t="shared" si="22"/>
        <v>0</v>
      </c>
      <c r="M46" s="95" t="str">
        <f t="shared" si="23"/>
        <v/>
      </c>
      <c r="N46" s="63" t="str">
        <f t="shared" si="24"/>
        <v/>
      </c>
      <c r="O46" s="67" t="str">
        <f t="shared" si="25"/>
        <v/>
      </c>
      <c r="P46" s="91" t="str">
        <f t="shared" si="26"/>
        <v/>
      </c>
      <c r="Q46" s="66">
        <f t="shared" si="27"/>
        <v>0</v>
      </c>
      <c r="R46" s="96">
        <f t="shared" si="28"/>
        <v>0</v>
      </c>
      <c r="S46" s="97" t="str">
        <f t="shared" si="29"/>
        <v/>
      </c>
      <c r="U46" s="60">
        <f t="shared" si="30"/>
        <v>653.96190000000001</v>
      </c>
      <c r="V46" s="94">
        <f t="shared" si="31"/>
        <v>436300.81937508832</v>
      </c>
      <c r="W46" s="95" t="str">
        <f t="shared" si="32"/>
        <v/>
      </c>
      <c r="X46" s="63">
        <f t="shared" si="33"/>
        <v>0</v>
      </c>
      <c r="Y46" s="67" t="str">
        <f t="shared" si="34"/>
        <v/>
      </c>
      <c r="Z46" s="91" t="str">
        <f t="shared" si="35"/>
        <v/>
      </c>
      <c r="AA46" s="66">
        <f t="shared" si="36"/>
        <v>452263.61590562609</v>
      </c>
      <c r="AB46" s="96">
        <f t="shared" si="37"/>
        <v>15962.796530537773</v>
      </c>
      <c r="AC46" s="97">
        <f t="shared" si="38"/>
        <v>3.6586675572604276E-2</v>
      </c>
      <c r="AD46" s="67">
        <f t="shared" si="39"/>
        <v>0</v>
      </c>
      <c r="AE46" s="66">
        <v>136453.99990329123</v>
      </c>
      <c r="AG46" s="16"/>
      <c r="AH46" s="16"/>
    </row>
    <row r="47" spans="2:34" x14ac:dyDescent="0.25">
      <c r="B47" s="91">
        <v>2105</v>
      </c>
      <c r="C47" s="67" t="s">
        <v>296</v>
      </c>
      <c r="D47" s="91" t="s">
        <v>105</v>
      </c>
      <c r="E47" s="92">
        <v>850.16129999999998</v>
      </c>
      <c r="F47" s="92">
        <v>23.76</v>
      </c>
      <c r="G47" s="60">
        <f t="shared" si="20"/>
        <v>873.92129999999997</v>
      </c>
      <c r="H47" s="93">
        <v>0</v>
      </c>
      <c r="I47" s="93">
        <v>0</v>
      </c>
      <c r="J47" s="93">
        <v>0</v>
      </c>
      <c r="K47" s="60">
        <f t="shared" si="21"/>
        <v>873.92129999999997</v>
      </c>
      <c r="L47" s="94">
        <f t="shared" si="22"/>
        <v>0</v>
      </c>
      <c r="M47" s="95" t="str">
        <f t="shared" si="23"/>
        <v/>
      </c>
      <c r="N47" s="63" t="str">
        <f t="shared" si="24"/>
        <v/>
      </c>
      <c r="O47" s="67" t="str">
        <f t="shared" si="25"/>
        <v/>
      </c>
      <c r="P47" s="91" t="str">
        <f t="shared" si="26"/>
        <v/>
      </c>
      <c r="Q47" s="66">
        <f t="shared" si="27"/>
        <v>0</v>
      </c>
      <c r="R47" s="96">
        <f t="shared" si="28"/>
        <v>0</v>
      </c>
      <c r="S47" s="97" t="str">
        <f t="shared" si="29"/>
        <v/>
      </c>
      <c r="U47" s="60">
        <f t="shared" si="30"/>
        <v>873.92129999999997</v>
      </c>
      <c r="V47" s="94">
        <f t="shared" si="31"/>
        <v>583050.14292016462</v>
      </c>
      <c r="W47" s="95" t="str">
        <f t="shared" si="32"/>
        <v/>
      </c>
      <c r="X47" s="63">
        <f t="shared" si="33"/>
        <v>0</v>
      </c>
      <c r="Y47" s="67" t="str">
        <f t="shared" si="34"/>
        <v/>
      </c>
      <c r="Z47" s="91" t="str">
        <f t="shared" si="35"/>
        <v/>
      </c>
      <c r="AA47" s="66">
        <f t="shared" si="36"/>
        <v>604382.00934174517</v>
      </c>
      <c r="AB47" s="96">
        <f t="shared" si="37"/>
        <v>21331.866421580547</v>
      </c>
      <c r="AC47" s="97">
        <f t="shared" si="38"/>
        <v>3.6586675572604151E-2</v>
      </c>
      <c r="AD47" s="67">
        <f t="shared" si="39"/>
        <v>0</v>
      </c>
      <c r="AE47" s="66">
        <v>183875.88416223082</v>
      </c>
      <c r="AG47" s="16"/>
      <c r="AH47" s="16"/>
    </row>
    <row r="48" spans="2:34" x14ac:dyDescent="0.25">
      <c r="B48" s="91">
        <v>2042</v>
      </c>
      <c r="C48" s="67" t="s">
        <v>289</v>
      </c>
      <c r="D48" s="91" t="s">
        <v>59</v>
      </c>
      <c r="E48" s="92">
        <v>5575.0536000000002</v>
      </c>
      <c r="F48" s="92">
        <v>156.6575</v>
      </c>
      <c r="G48" s="60">
        <f t="shared" si="20"/>
        <v>5731.7111000000004</v>
      </c>
      <c r="H48" s="93">
        <v>0</v>
      </c>
      <c r="I48" s="93">
        <v>0</v>
      </c>
      <c r="J48" s="93">
        <v>0</v>
      </c>
      <c r="K48" s="60">
        <f t="shared" si="21"/>
        <v>5731.7111000000004</v>
      </c>
      <c r="L48" s="94">
        <f t="shared" si="22"/>
        <v>0</v>
      </c>
      <c r="M48" s="95" t="str">
        <f t="shared" si="23"/>
        <v/>
      </c>
      <c r="N48" s="63" t="str">
        <f t="shared" si="24"/>
        <v/>
      </c>
      <c r="O48" s="67" t="str">
        <f t="shared" si="25"/>
        <v/>
      </c>
      <c r="P48" s="91" t="str">
        <f t="shared" si="26"/>
        <v/>
      </c>
      <c r="Q48" s="66">
        <f t="shared" si="27"/>
        <v>0</v>
      </c>
      <c r="R48" s="96">
        <f t="shared" si="28"/>
        <v>0</v>
      </c>
      <c r="S48" s="97" t="str">
        <f t="shared" si="29"/>
        <v/>
      </c>
      <c r="U48" s="60">
        <f t="shared" si="30"/>
        <v>5731.7111000000004</v>
      </c>
      <c r="V48" s="94">
        <f t="shared" si="31"/>
        <v>3823999.913987786</v>
      </c>
      <c r="W48" s="95" t="str">
        <f t="shared" si="32"/>
        <v/>
      </c>
      <c r="X48" s="63">
        <f t="shared" si="33"/>
        <v>0</v>
      </c>
      <c r="Y48" s="67" t="str">
        <f t="shared" si="34"/>
        <v/>
      </c>
      <c r="Z48" s="91" t="str">
        <f t="shared" si="35"/>
        <v/>
      </c>
      <c r="AA48" s="66">
        <f t="shared" si="36"/>
        <v>3963907.3582305233</v>
      </c>
      <c r="AB48" s="96">
        <f t="shared" si="37"/>
        <v>139907.44424273726</v>
      </c>
      <c r="AC48" s="97">
        <f t="shared" si="38"/>
        <v>3.6586675572604137E-2</v>
      </c>
      <c r="AD48" s="67">
        <f t="shared" si="39"/>
        <v>0</v>
      </c>
      <c r="AE48" s="66">
        <v>1223819.5043207854</v>
      </c>
      <c r="AG48" s="16"/>
      <c r="AH48" s="16"/>
    </row>
    <row r="49" spans="2:34" x14ac:dyDescent="0.25">
      <c r="B49" s="91">
        <v>2191</v>
      </c>
      <c r="C49" s="67" t="s">
        <v>302</v>
      </c>
      <c r="D49" s="91" t="s">
        <v>106</v>
      </c>
      <c r="E49" s="92">
        <v>3939.6025</v>
      </c>
      <c r="F49" s="92">
        <v>147.05500000000001</v>
      </c>
      <c r="G49" s="60">
        <f t="shared" si="20"/>
        <v>4086.6574999999998</v>
      </c>
      <c r="H49" s="93">
        <v>0</v>
      </c>
      <c r="I49" s="93">
        <v>0</v>
      </c>
      <c r="J49" s="93">
        <v>0</v>
      </c>
      <c r="K49" s="60">
        <f t="shared" si="21"/>
        <v>4086.6574999999998</v>
      </c>
      <c r="L49" s="94">
        <f t="shared" si="22"/>
        <v>0</v>
      </c>
      <c r="M49" s="95" t="str">
        <f t="shared" si="23"/>
        <v/>
      </c>
      <c r="N49" s="63" t="str">
        <f t="shared" si="24"/>
        <v/>
      </c>
      <c r="O49" s="67" t="str">
        <f t="shared" si="25"/>
        <v/>
      </c>
      <c r="P49" s="91" t="str">
        <f t="shared" si="26"/>
        <v/>
      </c>
      <c r="Q49" s="66">
        <f t="shared" si="27"/>
        <v>0</v>
      </c>
      <c r="R49" s="96">
        <f t="shared" si="28"/>
        <v>0</v>
      </c>
      <c r="S49" s="97" t="str">
        <f t="shared" si="29"/>
        <v/>
      </c>
      <c r="U49" s="60">
        <f t="shared" si="30"/>
        <v>4086.6574999999998</v>
      </c>
      <c r="V49" s="94">
        <f t="shared" si="31"/>
        <v>2726476.9029439637</v>
      </c>
      <c r="W49" s="95" t="str">
        <f t="shared" si="32"/>
        <v/>
      </c>
      <c r="X49" s="63">
        <f t="shared" si="33"/>
        <v>0</v>
      </c>
      <c r="Y49" s="67" t="str">
        <f t="shared" si="34"/>
        <v/>
      </c>
      <c r="Z49" s="91" t="str">
        <f t="shared" si="35"/>
        <v/>
      </c>
      <c r="AA49" s="66">
        <f t="shared" si="36"/>
        <v>2826229.6288481727</v>
      </c>
      <c r="AB49" s="96">
        <f t="shared" si="37"/>
        <v>99752.725904209074</v>
      </c>
      <c r="AC49" s="97">
        <f t="shared" si="38"/>
        <v>3.6586675572604054E-2</v>
      </c>
      <c r="AD49" s="67">
        <f t="shared" si="39"/>
        <v>0</v>
      </c>
      <c r="AE49" s="66">
        <v>863204.52675611468</v>
      </c>
      <c r="AG49" s="16"/>
      <c r="AH49" s="16"/>
    </row>
    <row r="50" spans="2:34" x14ac:dyDescent="0.25">
      <c r="B50" s="91">
        <v>1945</v>
      </c>
      <c r="C50" s="67" t="s">
        <v>279</v>
      </c>
      <c r="D50" s="91" t="s">
        <v>95</v>
      </c>
      <c r="E50" s="92">
        <v>932.31619999999998</v>
      </c>
      <c r="F50" s="92">
        <v>29.057500000000001</v>
      </c>
      <c r="G50" s="60">
        <f t="shared" si="20"/>
        <v>961.37369999999999</v>
      </c>
      <c r="H50" s="93">
        <v>0</v>
      </c>
      <c r="I50" s="93">
        <v>0</v>
      </c>
      <c r="J50" s="93">
        <v>0</v>
      </c>
      <c r="K50" s="60">
        <f t="shared" si="21"/>
        <v>961.37369999999999</v>
      </c>
      <c r="L50" s="94">
        <f t="shared" si="22"/>
        <v>0</v>
      </c>
      <c r="M50" s="95" t="str">
        <f t="shared" si="23"/>
        <v/>
      </c>
      <c r="N50" s="63" t="str">
        <f t="shared" si="24"/>
        <v/>
      </c>
      <c r="O50" s="67" t="str">
        <f t="shared" si="25"/>
        <v/>
      </c>
      <c r="P50" s="91" t="str">
        <f t="shared" si="26"/>
        <v/>
      </c>
      <c r="Q50" s="66">
        <f t="shared" si="27"/>
        <v>0</v>
      </c>
      <c r="R50" s="96">
        <f t="shared" si="28"/>
        <v>0</v>
      </c>
      <c r="S50" s="97" t="str">
        <f t="shared" si="29"/>
        <v/>
      </c>
      <c r="U50" s="60">
        <f t="shared" si="30"/>
        <v>961.37369999999999</v>
      </c>
      <c r="V50" s="94">
        <f t="shared" si="31"/>
        <v>641395.36727699335</v>
      </c>
      <c r="W50" s="95" t="str">
        <f t="shared" si="32"/>
        <v/>
      </c>
      <c r="X50" s="63">
        <f t="shared" si="33"/>
        <v>0</v>
      </c>
      <c r="Y50" s="67" t="str">
        <f t="shared" si="34"/>
        <v/>
      </c>
      <c r="Z50" s="91" t="str">
        <f t="shared" si="35"/>
        <v/>
      </c>
      <c r="AA50" s="66">
        <f t="shared" si="36"/>
        <v>664861.89149332792</v>
      </c>
      <c r="AB50" s="96">
        <f t="shared" si="37"/>
        <v>23466.524216334568</v>
      </c>
      <c r="AC50" s="97">
        <f t="shared" si="38"/>
        <v>3.658667557260404E-2</v>
      </c>
      <c r="AD50" s="67">
        <f t="shared" si="39"/>
        <v>0</v>
      </c>
      <c r="AE50" s="66">
        <v>204769.0375615065</v>
      </c>
      <c r="AG50" s="16"/>
      <c r="AH50" s="16"/>
    </row>
    <row r="51" spans="2:34" x14ac:dyDescent="0.25">
      <c r="B51" s="91">
        <v>1927</v>
      </c>
      <c r="C51" s="67" t="s">
        <v>277</v>
      </c>
      <c r="D51" s="91" t="s">
        <v>120</v>
      </c>
      <c r="E51" s="92">
        <v>788.09159999999997</v>
      </c>
      <c r="F51" s="92">
        <v>14.602499999999999</v>
      </c>
      <c r="G51" s="60">
        <f t="shared" si="20"/>
        <v>802.69409999999993</v>
      </c>
      <c r="H51" s="93">
        <v>0</v>
      </c>
      <c r="I51" s="93">
        <v>0</v>
      </c>
      <c r="J51" s="93">
        <v>0</v>
      </c>
      <c r="K51" s="60">
        <f t="shared" si="21"/>
        <v>802.69409999999993</v>
      </c>
      <c r="L51" s="94">
        <f t="shared" si="22"/>
        <v>0</v>
      </c>
      <c r="M51" s="95" t="str">
        <f t="shared" si="23"/>
        <v/>
      </c>
      <c r="N51" s="63" t="str">
        <f t="shared" si="24"/>
        <v/>
      </c>
      <c r="O51" s="67" t="str">
        <f t="shared" si="25"/>
        <v/>
      </c>
      <c r="P51" s="91" t="str">
        <f t="shared" si="26"/>
        <v/>
      </c>
      <c r="Q51" s="66">
        <f t="shared" si="27"/>
        <v>0</v>
      </c>
      <c r="R51" s="96">
        <f t="shared" si="28"/>
        <v>0</v>
      </c>
      <c r="S51" s="97" t="str">
        <f t="shared" si="29"/>
        <v/>
      </c>
      <c r="U51" s="60">
        <f t="shared" si="30"/>
        <v>802.69409999999993</v>
      </c>
      <c r="V51" s="94">
        <f t="shared" si="31"/>
        <v>535529.81226819032</v>
      </c>
      <c r="W51" s="95" t="str">
        <f t="shared" si="32"/>
        <v/>
      </c>
      <c r="X51" s="63">
        <f t="shared" si="33"/>
        <v>0</v>
      </c>
      <c r="Y51" s="67" t="str">
        <f t="shared" si="34"/>
        <v/>
      </c>
      <c r="Z51" s="91" t="str">
        <f t="shared" si="35"/>
        <v/>
      </c>
      <c r="AA51" s="66">
        <f t="shared" si="36"/>
        <v>555123.06776910427</v>
      </c>
      <c r="AB51" s="96">
        <f t="shared" si="37"/>
        <v>19593.255500913947</v>
      </c>
      <c r="AC51" s="97">
        <f t="shared" si="38"/>
        <v>3.6586675572604269E-2</v>
      </c>
      <c r="AD51" s="67">
        <f t="shared" si="39"/>
        <v>0</v>
      </c>
      <c r="AE51" s="66">
        <v>167153.08052172107</v>
      </c>
      <c r="AG51" s="16"/>
      <c r="AH51" s="16"/>
    </row>
    <row r="52" spans="2:34" x14ac:dyDescent="0.25">
      <c r="B52" s="91">
        <v>2006</v>
      </c>
      <c r="C52" s="67" t="s">
        <v>285</v>
      </c>
      <c r="D52" s="91" t="s">
        <v>109</v>
      </c>
      <c r="E52" s="92">
        <v>274.48880000000003</v>
      </c>
      <c r="F52" s="92">
        <v>3.1949999999999998</v>
      </c>
      <c r="G52" s="60">
        <f t="shared" si="20"/>
        <v>277.68380000000002</v>
      </c>
      <c r="H52" s="93">
        <v>0</v>
      </c>
      <c r="I52" s="93">
        <v>0</v>
      </c>
      <c r="J52" s="93">
        <v>0</v>
      </c>
      <c r="K52" s="60">
        <f t="shared" si="21"/>
        <v>277.68380000000002</v>
      </c>
      <c r="L52" s="94">
        <f t="shared" si="22"/>
        <v>0</v>
      </c>
      <c r="M52" s="95" t="str">
        <f t="shared" si="23"/>
        <v/>
      </c>
      <c r="N52" s="63" t="str">
        <f t="shared" si="24"/>
        <v/>
      </c>
      <c r="O52" s="67" t="str">
        <f t="shared" si="25"/>
        <v/>
      </c>
      <c r="P52" s="91" t="str">
        <f t="shared" si="26"/>
        <v/>
      </c>
      <c r="Q52" s="66">
        <f t="shared" si="27"/>
        <v>0</v>
      </c>
      <c r="R52" s="96">
        <f t="shared" si="28"/>
        <v>0</v>
      </c>
      <c r="S52" s="97" t="str">
        <f t="shared" si="29"/>
        <v/>
      </c>
      <c r="U52" s="60">
        <f t="shared" si="30"/>
        <v>277.68380000000002</v>
      </c>
      <c r="V52" s="94">
        <f t="shared" si="31"/>
        <v>185261.05185514348</v>
      </c>
      <c r="W52" s="95" t="str">
        <f t="shared" si="32"/>
        <v/>
      </c>
      <c r="X52" s="63">
        <f t="shared" si="33"/>
        <v>0</v>
      </c>
      <c r="Y52" s="67" t="str">
        <f t="shared" si="34"/>
        <v/>
      </c>
      <c r="Z52" s="91" t="str">
        <f t="shared" si="35"/>
        <v/>
      </c>
      <c r="AA52" s="66">
        <f t="shared" si="36"/>
        <v>192039.13785560703</v>
      </c>
      <c r="AB52" s="96">
        <f t="shared" si="37"/>
        <v>6778.086000463547</v>
      </c>
      <c r="AC52" s="97">
        <f t="shared" si="38"/>
        <v>3.6586675572604248E-2</v>
      </c>
      <c r="AD52" s="67">
        <f t="shared" si="39"/>
        <v>0</v>
      </c>
      <c r="AE52" s="66">
        <v>59996.924395290305</v>
      </c>
      <c r="AG52" s="16"/>
      <c r="AH52" s="16"/>
    </row>
    <row r="53" spans="2:34" x14ac:dyDescent="0.25">
      <c r="B53" s="91">
        <v>1965</v>
      </c>
      <c r="C53" s="67" t="s">
        <v>280</v>
      </c>
      <c r="D53" s="91" t="s">
        <v>42</v>
      </c>
      <c r="E53" s="92">
        <v>3896.2718</v>
      </c>
      <c r="F53" s="92">
        <v>216.92</v>
      </c>
      <c r="G53" s="60">
        <f t="shared" si="20"/>
        <v>4113.1917999999996</v>
      </c>
      <c r="H53" s="93">
        <v>0</v>
      </c>
      <c r="I53" s="93">
        <v>0</v>
      </c>
      <c r="J53" s="93">
        <v>0</v>
      </c>
      <c r="K53" s="60">
        <f t="shared" si="21"/>
        <v>4113.1917999999996</v>
      </c>
      <c r="L53" s="94">
        <f t="shared" si="22"/>
        <v>0</v>
      </c>
      <c r="M53" s="95" t="str">
        <f t="shared" si="23"/>
        <v/>
      </c>
      <c r="N53" s="63" t="str">
        <f t="shared" si="24"/>
        <v/>
      </c>
      <c r="O53" s="67" t="str">
        <f t="shared" si="25"/>
        <v/>
      </c>
      <c r="P53" s="91" t="str">
        <f t="shared" si="26"/>
        <v/>
      </c>
      <c r="Q53" s="66">
        <f t="shared" si="27"/>
        <v>0</v>
      </c>
      <c r="R53" s="96">
        <f t="shared" si="28"/>
        <v>0</v>
      </c>
      <c r="S53" s="97" t="str">
        <f t="shared" si="29"/>
        <v/>
      </c>
      <c r="U53" s="60">
        <f t="shared" si="30"/>
        <v>4113.1917999999996</v>
      </c>
      <c r="V53" s="94">
        <f t="shared" si="31"/>
        <v>2744179.6725266324</v>
      </c>
      <c r="W53" s="95" t="str">
        <f t="shared" si="32"/>
        <v/>
      </c>
      <c r="X53" s="63">
        <f t="shared" si="33"/>
        <v>0</v>
      </c>
      <c r="Y53" s="67" t="str">
        <f t="shared" si="34"/>
        <v/>
      </c>
      <c r="Z53" s="91" t="str">
        <f t="shared" si="35"/>
        <v/>
      </c>
      <c r="AA53" s="66">
        <f t="shared" si="36"/>
        <v>2844580.0839182995</v>
      </c>
      <c r="AB53" s="96">
        <f t="shared" si="37"/>
        <v>100400.41139166709</v>
      </c>
      <c r="AC53" s="97">
        <f t="shared" si="38"/>
        <v>3.6586675572604185E-2</v>
      </c>
      <c r="AD53" s="67">
        <f t="shared" si="39"/>
        <v>0</v>
      </c>
      <c r="AE53" s="66">
        <v>862808.83335652167</v>
      </c>
      <c r="AG53" s="16"/>
      <c r="AH53" s="16"/>
    </row>
    <row r="54" spans="2:34" x14ac:dyDescent="0.25">
      <c r="B54" s="91">
        <v>1964</v>
      </c>
      <c r="C54" s="67" t="s">
        <v>280</v>
      </c>
      <c r="D54" s="91" t="s">
        <v>114</v>
      </c>
      <c r="E54" s="92">
        <v>1492.4526000000001</v>
      </c>
      <c r="F54" s="92">
        <v>49.75</v>
      </c>
      <c r="G54" s="60">
        <f t="shared" si="20"/>
        <v>1542.2026000000001</v>
      </c>
      <c r="H54" s="93">
        <v>0</v>
      </c>
      <c r="I54" s="93">
        <v>0</v>
      </c>
      <c r="J54" s="93">
        <v>0</v>
      </c>
      <c r="K54" s="60">
        <f t="shared" si="21"/>
        <v>1542.2026000000001</v>
      </c>
      <c r="L54" s="94">
        <f t="shared" si="22"/>
        <v>0</v>
      </c>
      <c r="M54" s="95" t="str">
        <f t="shared" si="23"/>
        <v/>
      </c>
      <c r="N54" s="63" t="str">
        <f t="shared" si="24"/>
        <v/>
      </c>
      <c r="O54" s="67" t="str">
        <f t="shared" si="25"/>
        <v/>
      </c>
      <c r="P54" s="91" t="str">
        <f t="shared" si="26"/>
        <v/>
      </c>
      <c r="Q54" s="66">
        <f t="shared" si="27"/>
        <v>0</v>
      </c>
      <c r="R54" s="96">
        <f t="shared" si="28"/>
        <v>0</v>
      </c>
      <c r="S54" s="97" t="str">
        <f t="shared" si="29"/>
        <v/>
      </c>
      <c r="U54" s="60">
        <f t="shared" si="30"/>
        <v>1542.2026000000001</v>
      </c>
      <c r="V54" s="94">
        <f t="shared" si="31"/>
        <v>1028904.3719861839</v>
      </c>
      <c r="W54" s="95" t="str">
        <f t="shared" si="32"/>
        <v/>
      </c>
      <c r="X54" s="63">
        <f t="shared" si="33"/>
        <v>0</v>
      </c>
      <c r="Y54" s="67" t="str">
        <f t="shared" si="34"/>
        <v/>
      </c>
      <c r="Z54" s="91" t="str">
        <f t="shared" si="35"/>
        <v/>
      </c>
      <c r="AA54" s="66">
        <f t="shared" si="36"/>
        <v>1066548.5624392766</v>
      </c>
      <c r="AB54" s="96">
        <f t="shared" si="37"/>
        <v>37644.190453092684</v>
      </c>
      <c r="AC54" s="97">
        <f t="shared" si="38"/>
        <v>3.6586675572604303E-2</v>
      </c>
      <c r="AD54" s="67">
        <f t="shared" si="39"/>
        <v>0</v>
      </c>
      <c r="AE54" s="66">
        <v>339452.10152603197</v>
      </c>
      <c r="AG54" s="16"/>
      <c r="AH54" s="16"/>
    </row>
    <row r="55" spans="2:34" x14ac:dyDescent="0.25">
      <c r="B55" s="91">
        <v>2186</v>
      </c>
      <c r="C55" s="67" t="s">
        <v>301</v>
      </c>
      <c r="D55" s="91" t="s">
        <v>111</v>
      </c>
      <c r="E55" s="92">
        <v>1377.2963999999999</v>
      </c>
      <c r="F55" s="92">
        <v>13</v>
      </c>
      <c r="G55" s="60">
        <f t="shared" si="20"/>
        <v>1390.2963999999999</v>
      </c>
      <c r="H55" s="93">
        <v>0</v>
      </c>
      <c r="I55" s="93">
        <v>0</v>
      </c>
      <c r="J55" s="93">
        <v>0</v>
      </c>
      <c r="K55" s="60">
        <f t="shared" si="21"/>
        <v>1390.2963999999999</v>
      </c>
      <c r="L55" s="94">
        <f t="shared" si="22"/>
        <v>0</v>
      </c>
      <c r="M55" s="95" t="str">
        <f t="shared" si="23"/>
        <v/>
      </c>
      <c r="N55" s="63" t="str">
        <f t="shared" si="24"/>
        <v/>
      </c>
      <c r="O55" s="67" t="str">
        <f t="shared" si="25"/>
        <v/>
      </c>
      <c r="P55" s="91" t="str">
        <f t="shared" si="26"/>
        <v/>
      </c>
      <c r="Q55" s="66">
        <f t="shared" si="27"/>
        <v>0</v>
      </c>
      <c r="R55" s="96">
        <f t="shared" si="28"/>
        <v>0</v>
      </c>
      <c r="S55" s="97" t="str">
        <f t="shared" si="29"/>
        <v/>
      </c>
      <c r="U55" s="60">
        <f t="shared" si="30"/>
        <v>1390.2963999999999</v>
      </c>
      <c r="V55" s="94">
        <f t="shared" si="31"/>
        <v>927557.79578938091</v>
      </c>
      <c r="W55" s="95" t="str">
        <f t="shared" si="32"/>
        <v/>
      </c>
      <c r="X55" s="63">
        <f t="shared" si="33"/>
        <v>0</v>
      </c>
      <c r="Y55" s="67" t="str">
        <f t="shared" si="34"/>
        <v/>
      </c>
      <c r="Z55" s="91" t="str">
        <f t="shared" si="35"/>
        <v/>
      </c>
      <c r="AA55" s="66">
        <f t="shared" si="36"/>
        <v>961494.05193876685</v>
      </c>
      <c r="AB55" s="96">
        <f t="shared" si="37"/>
        <v>33936.256149385939</v>
      </c>
      <c r="AC55" s="97">
        <f t="shared" si="38"/>
        <v>3.6586675572604199E-2</v>
      </c>
      <c r="AD55" s="67">
        <f t="shared" si="39"/>
        <v>0</v>
      </c>
      <c r="AE55" s="66">
        <v>293516.16843943647</v>
      </c>
      <c r="AG55" s="16"/>
      <c r="AH55" s="16"/>
    </row>
    <row r="56" spans="2:34" x14ac:dyDescent="0.25">
      <c r="B56" s="91">
        <v>1901</v>
      </c>
      <c r="C56" s="67" t="s">
        <v>276</v>
      </c>
      <c r="D56" s="91" t="s">
        <v>51</v>
      </c>
      <c r="E56" s="92">
        <v>7942.0685000000003</v>
      </c>
      <c r="F56" s="92">
        <v>177.315</v>
      </c>
      <c r="G56" s="60">
        <f t="shared" si="20"/>
        <v>8119.3834999999999</v>
      </c>
      <c r="H56" s="93">
        <v>0</v>
      </c>
      <c r="I56" s="93">
        <v>0</v>
      </c>
      <c r="J56" s="93">
        <v>0</v>
      </c>
      <c r="K56" s="60">
        <f t="shared" si="21"/>
        <v>8119.3834999999999</v>
      </c>
      <c r="L56" s="94">
        <f t="shared" si="22"/>
        <v>0</v>
      </c>
      <c r="M56" s="95" t="str">
        <f t="shared" si="23"/>
        <v/>
      </c>
      <c r="N56" s="63" t="str">
        <f t="shared" si="24"/>
        <v/>
      </c>
      <c r="O56" s="67" t="str">
        <f t="shared" si="25"/>
        <v/>
      </c>
      <c r="P56" s="91" t="str">
        <f t="shared" si="26"/>
        <v/>
      </c>
      <c r="Q56" s="66">
        <f t="shared" si="27"/>
        <v>0</v>
      </c>
      <c r="R56" s="96">
        <f t="shared" si="28"/>
        <v>0</v>
      </c>
      <c r="S56" s="97" t="str">
        <f t="shared" si="29"/>
        <v/>
      </c>
      <c r="U56" s="60">
        <f t="shared" si="30"/>
        <v>8119.3834999999999</v>
      </c>
      <c r="V56" s="94">
        <f t="shared" si="31"/>
        <v>5416972.5696108174</v>
      </c>
      <c r="W56" s="95" t="str">
        <f t="shared" si="32"/>
        <v/>
      </c>
      <c r="X56" s="63">
        <f t="shared" si="33"/>
        <v>0</v>
      </c>
      <c r="Y56" s="67" t="str">
        <f t="shared" si="34"/>
        <v/>
      </c>
      <c r="Z56" s="91" t="str">
        <f t="shared" si="35"/>
        <v/>
      </c>
      <c r="AA56" s="66">
        <f t="shared" si="36"/>
        <v>5615161.5876008645</v>
      </c>
      <c r="AB56" s="96">
        <f t="shared" si="37"/>
        <v>198189.01799004711</v>
      </c>
      <c r="AC56" s="97">
        <f t="shared" si="38"/>
        <v>3.6586675572604206E-2</v>
      </c>
      <c r="AD56" s="67">
        <f t="shared" si="39"/>
        <v>0</v>
      </c>
      <c r="AE56" s="66">
        <v>1699222.463589143</v>
      </c>
      <c r="AG56" s="16"/>
      <c r="AH56" s="16"/>
    </row>
    <row r="57" spans="2:34" x14ac:dyDescent="0.25">
      <c r="B57" s="91">
        <v>2216</v>
      </c>
      <c r="C57" s="67" t="s">
        <v>306</v>
      </c>
      <c r="D57" s="91" t="s">
        <v>112</v>
      </c>
      <c r="E57" s="92">
        <v>450.91699999999997</v>
      </c>
      <c r="F57" s="92">
        <v>9.8674999999999997</v>
      </c>
      <c r="G57" s="60">
        <f t="shared" si="20"/>
        <v>460.78449999999998</v>
      </c>
      <c r="H57" s="93">
        <v>0</v>
      </c>
      <c r="I57" s="93">
        <v>0</v>
      </c>
      <c r="J57" s="93">
        <v>0</v>
      </c>
      <c r="K57" s="60">
        <f t="shared" si="21"/>
        <v>460.78449999999998</v>
      </c>
      <c r="L57" s="94">
        <f t="shared" si="22"/>
        <v>0</v>
      </c>
      <c r="M57" s="95" t="str">
        <f t="shared" si="23"/>
        <v/>
      </c>
      <c r="N57" s="63" t="str">
        <f t="shared" si="24"/>
        <v/>
      </c>
      <c r="O57" s="67" t="str">
        <f t="shared" si="25"/>
        <v/>
      </c>
      <c r="P57" s="91" t="str">
        <f t="shared" si="26"/>
        <v/>
      </c>
      <c r="Q57" s="66">
        <f t="shared" si="27"/>
        <v>0</v>
      </c>
      <c r="R57" s="96">
        <f t="shared" si="28"/>
        <v>0</v>
      </c>
      <c r="S57" s="97" t="str">
        <f t="shared" si="29"/>
        <v/>
      </c>
      <c r="U57" s="60">
        <f t="shared" si="30"/>
        <v>460.78449999999998</v>
      </c>
      <c r="V57" s="94">
        <f t="shared" si="31"/>
        <v>307419.52230755397</v>
      </c>
      <c r="W57" s="95" t="str">
        <f t="shared" si="32"/>
        <v/>
      </c>
      <c r="X57" s="63">
        <f t="shared" si="33"/>
        <v>0</v>
      </c>
      <c r="Y57" s="67" t="str">
        <f t="shared" si="34"/>
        <v/>
      </c>
      <c r="Z57" s="91" t="str">
        <f t="shared" si="35"/>
        <v/>
      </c>
      <c r="AA57" s="66">
        <f t="shared" si="36"/>
        <v>318666.9806349054</v>
      </c>
      <c r="AB57" s="96">
        <f t="shared" si="37"/>
        <v>11247.458327351429</v>
      </c>
      <c r="AC57" s="97">
        <f t="shared" si="38"/>
        <v>3.6586675572604171E-2</v>
      </c>
      <c r="AD57" s="67">
        <f t="shared" si="39"/>
        <v>0</v>
      </c>
      <c r="AE57" s="66">
        <v>99119.429070149403</v>
      </c>
      <c r="AG57" s="16"/>
      <c r="AH57" s="16"/>
    </row>
    <row r="58" spans="2:34" x14ac:dyDescent="0.25">
      <c r="B58" s="91">
        <v>2086</v>
      </c>
      <c r="C58" s="67" t="s">
        <v>294</v>
      </c>
      <c r="D58" s="91" t="s">
        <v>113</v>
      </c>
      <c r="E58" s="92">
        <v>1552.4148</v>
      </c>
      <c r="F58" s="92">
        <v>44.682499999999997</v>
      </c>
      <c r="G58" s="60">
        <f t="shared" si="20"/>
        <v>1597.0972999999999</v>
      </c>
      <c r="H58" s="93">
        <v>0</v>
      </c>
      <c r="I58" s="93">
        <v>0</v>
      </c>
      <c r="J58" s="93">
        <v>0</v>
      </c>
      <c r="K58" s="60">
        <f t="shared" si="21"/>
        <v>1597.0972999999999</v>
      </c>
      <c r="L58" s="94">
        <f t="shared" si="22"/>
        <v>0</v>
      </c>
      <c r="M58" s="95" t="str">
        <f t="shared" si="23"/>
        <v/>
      </c>
      <c r="N58" s="63" t="str">
        <f t="shared" si="24"/>
        <v/>
      </c>
      <c r="O58" s="67" t="str">
        <f t="shared" si="25"/>
        <v/>
      </c>
      <c r="P58" s="91" t="str">
        <f t="shared" si="26"/>
        <v/>
      </c>
      <c r="Q58" s="66">
        <f t="shared" si="27"/>
        <v>0</v>
      </c>
      <c r="R58" s="96">
        <f t="shared" si="28"/>
        <v>0</v>
      </c>
      <c r="S58" s="97" t="str">
        <f t="shared" si="29"/>
        <v/>
      </c>
      <c r="U58" s="60">
        <f t="shared" si="30"/>
        <v>1597.0972999999999</v>
      </c>
      <c r="V58" s="94">
        <f t="shared" si="31"/>
        <v>1065528.2220749271</v>
      </c>
      <c r="W58" s="95" t="str">
        <f t="shared" si="32"/>
        <v/>
      </c>
      <c r="X58" s="63">
        <f t="shared" si="33"/>
        <v>0</v>
      </c>
      <c r="Y58" s="67" t="str">
        <f t="shared" si="34"/>
        <v/>
      </c>
      <c r="Z58" s="91" t="str">
        <f t="shared" si="35"/>
        <v/>
      </c>
      <c r="AA58" s="66">
        <f t="shared" si="36"/>
        <v>1104512.3574494361</v>
      </c>
      <c r="AB58" s="96">
        <f t="shared" si="37"/>
        <v>38984.135374509031</v>
      </c>
      <c r="AC58" s="97">
        <f t="shared" si="38"/>
        <v>3.6586675572604116E-2</v>
      </c>
      <c r="AD58" s="67">
        <f t="shared" si="39"/>
        <v>0</v>
      </c>
      <c r="AE58" s="66">
        <v>339798.76984064892</v>
      </c>
      <c r="AG58" s="16"/>
      <c r="AH58" s="16"/>
    </row>
    <row r="59" spans="2:34" x14ac:dyDescent="0.25">
      <c r="B59" s="91">
        <v>1970</v>
      </c>
      <c r="C59" s="67" t="s">
        <v>281</v>
      </c>
      <c r="D59" s="91" t="s">
        <v>147</v>
      </c>
      <c r="E59" s="92">
        <v>3487.9074999999998</v>
      </c>
      <c r="F59" s="92">
        <v>134.13499999999999</v>
      </c>
      <c r="G59" s="60">
        <f t="shared" si="20"/>
        <v>3622.0424999999996</v>
      </c>
      <c r="H59" s="93">
        <v>0</v>
      </c>
      <c r="I59" s="93">
        <v>0</v>
      </c>
      <c r="J59" s="93">
        <v>0</v>
      </c>
      <c r="K59" s="60">
        <f t="shared" si="21"/>
        <v>3622.0424999999996</v>
      </c>
      <c r="L59" s="94">
        <f t="shared" si="22"/>
        <v>0</v>
      </c>
      <c r="M59" s="95" t="str">
        <f t="shared" si="23"/>
        <v/>
      </c>
      <c r="N59" s="63" t="str">
        <f t="shared" si="24"/>
        <v/>
      </c>
      <c r="O59" s="67" t="str">
        <f t="shared" si="25"/>
        <v/>
      </c>
      <c r="P59" s="91" t="str">
        <f t="shared" si="26"/>
        <v/>
      </c>
      <c r="Q59" s="66">
        <f t="shared" si="27"/>
        <v>0</v>
      </c>
      <c r="R59" s="96">
        <f t="shared" si="28"/>
        <v>0</v>
      </c>
      <c r="S59" s="97" t="str">
        <f t="shared" si="29"/>
        <v/>
      </c>
      <c r="U59" s="60">
        <f t="shared" si="30"/>
        <v>3622.0424999999996</v>
      </c>
      <c r="V59" s="94">
        <f t="shared" si="31"/>
        <v>2416501.8031805726</v>
      </c>
      <c r="W59" s="95" t="str">
        <f t="shared" si="32"/>
        <v/>
      </c>
      <c r="X59" s="63">
        <f t="shared" si="33"/>
        <v>0</v>
      </c>
      <c r="Y59" s="67" t="str">
        <f t="shared" si="34"/>
        <v/>
      </c>
      <c r="Z59" s="91" t="str">
        <f t="shared" si="35"/>
        <v/>
      </c>
      <c r="AA59" s="66">
        <f t="shared" si="36"/>
        <v>2504913.570674153</v>
      </c>
      <c r="AB59" s="96">
        <f t="shared" si="37"/>
        <v>88411.767493580468</v>
      </c>
      <c r="AC59" s="97">
        <f t="shared" si="38"/>
        <v>3.6586675572604123E-2</v>
      </c>
      <c r="AD59" s="67">
        <f t="shared" si="39"/>
        <v>0</v>
      </c>
      <c r="AE59" s="66">
        <v>793809.09561253979</v>
      </c>
      <c r="AG59" s="16"/>
      <c r="AH59" s="16"/>
    </row>
    <row r="60" spans="2:34" x14ac:dyDescent="0.25">
      <c r="B60" s="91">
        <v>2089</v>
      </c>
      <c r="C60" s="67" t="s">
        <v>294</v>
      </c>
      <c r="D60" s="91" t="s">
        <v>124</v>
      </c>
      <c r="E60" s="92">
        <v>410.29399999999998</v>
      </c>
      <c r="F60" s="92">
        <v>11.0075</v>
      </c>
      <c r="G60" s="60">
        <f t="shared" si="20"/>
        <v>421.30149999999998</v>
      </c>
      <c r="H60" s="93">
        <v>0</v>
      </c>
      <c r="I60" s="93">
        <v>0</v>
      </c>
      <c r="J60" s="93">
        <v>0</v>
      </c>
      <c r="K60" s="60">
        <f t="shared" si="21"/>
        <v>421.30149999999998</v>
      </c>
      <c r="L60" s="94">
        <f t="shared" si="22"/>
        <v>0</v>
      </c>
      <c r="M60" s="95" t="str">
        <f t="shared" si="23"/>
        <v/>
      </c>
      <c r="N60" s="63" t="str">
        <f t="shared" si="24"/>
        <v/>
      </c>
      <c r="O60" s="67" t="str">
        <f t="shared" si="25"/>
        <v/>
      </c>
      <c r="P60" s="91" t="str">
        <f t="shared" si="26"/>
        <v/>
      </c>
      <c r="Q60" s="66">
        <f t="shared" si="27"/>
        <v>0</v>
      </c>
      <c r="R60" s="96">
        <f t="shared" si="28"/>
        <v>0</v>
      </c>
      <c r="S60" s="97" t="str">
        <f t="shared" si="29"/>
        <v/>
      </c>
      <c r="U60" s="60">
        <f t="shared" si="30"/>
        <v>421.30149999999998</v>
      </c>
      <c r="V60" s="94">
        <f t="shared" si="31"/>
        <v>281077.82678769785</v>
      </c>
      <c r="W60" s="95" t="str">
        <f t="shared" si="32"/>
        <v/>
      </c>
      <c r="X60" s="63">
        <f t="shared" si="33"/>
        <v>0</v>
      </c>
      <c r="Y60" s="67" t="str">
        <f t="shared" si="34"/>
        <v/>
      </c>
      <c r="Z60" s="91" t="str">
        <f t="shared" si="35"/>
        <v/>
      </c>
      <c r="AA60" s="66">
        <f t="shared" si="36"/>
        <v>291361.53004703199</v>
      </c>
      <c r="AB60" s="96">
        <f t="shared" si="37"/>
        <v>10283.703259334143</v>
      </c>
      <c r="AC60" s="97">
        <f t="shared" si="38"/>
        <v>3.6586675572604213E-2</v>
      </c>
      <c r="AD60" s="67">
        <f t="shared" si="39"/>
        <v>0</v>
      </c>
      <c r="AE60" s="66">
        <v>90653.076312368052</v>
      </c>
      <c r="AG60" s="16"/>
      <c r="AH60" s="16"/>
    </row>
    <row r="61" spans="2:34" x14ac:dyDescent="0.25">
      <c r="B61" s="91">
        <v>2050</v>
      </c>
      <c r="C61" s="67" t="s">
        <v>290</v>
      </c>
      <c r="D61" s="91" t="s">
        <v>176</v>
      </c>
      <c r="E61" s="92">
        <v>908.76220000000001</v>
      </c>
      <c r="F61" s="92">
        <v>38</v>
      </c>
      <c r="G61" s="60">
        <f t="shared" si="20"/>
        <v>946.76220000000001</v>
      </c>
      <c r="H61" s="93">
        <v>0</v>
      </c>
      <c r="I61" s="93">
        <v>0</v>
      </c>
      <c r="J61" s="93">
        <v>0</v>
      </c>
      <c r="K61" s="60">
        <f t="shared" si="21"/>
        <v>946.76220000000001</v>
      </c>
      <c r="L61" s="94">
        <f t="shared" si="22"/>
        <v>0</v>
      </c>
      <c r="M61" s="95" t="str">
        <f t="shared" si="23"/>
        <v/>
      </c>
      <c r="N61" s="63" t="str">
        <f t="shared" si="24"/>
        <v/>
      </c>
      <c r="O61" s="67" t="str">
        <f t="shared" si="25"/>
        <v/>
      </c>
      <c r="P61" s="91" t="str">
        <f t="shared" si="26"/>
        <v/>
      </c>
      <c r="Q61" s="66">
        <f t="shared" si="27"/>
        <v>0</v>
      </c>
      <c r="R61" s="96">
        <f t="shared" si="28"/>
        <v>0</v>
      </c>
      <c r="S61" s="97" t="str">
        <f t="shared" si="29"/>
        <v/>
      </c>
      <c r="U61" s="60">
        <f t="shared" si="30"/>
        <v>946.76220000000001</v>
      </c>
      <c r="V61" s="94">
        <f t="shared" si="31"/>
        <v>631647.07854289562</v>
      </c>
      <c r="W61" s="95" t="str">
        <f t="shared" si="32"/>
        <v/>
      </c>
      <c r="X61" s="63">
        <f t="shared" si="33"/>
        <v>0</v>
      </c>
      <c r="Y61" s="67" t="str">
        <f t="shared" si="34"/>
        <v/>
      </c>
      <c r="Z61" s="91" t="str">
        <f t="shared" si="35"/>
        <v/>
      </c>
      <c r="AA61" s="66">
        <f t="shared" si="36"/>
        <v>654756.94528192782</v>
      </c>
      <c r="AB61" s="96">
        <f t="shared" si="37"/>
        <v>23109.866739032208</v>
      </c>
      <c r="AC61" s="97">
        <f t="shared" si="38"/>
        <v>3.6586675572604269E-2</v>
      </c>
      <c r="AD61" s="67">
        <f t="shared" si="39"/>
        <v>0</v>
      </c>
      <c r="AE61" s="66">
        <v>199676.14408364461</v>
      </c>
      <c r="AG61" s="16"/>
      <c r="AH61" s="16"/>
    </row>
    <row r="62" spans="2:34" x14ac:dyDescent="0.25">
      <c r="B62" s="91">
        <v>2190</v>
      </c>
      <c r="C62" s="67" t="s">
        <v>302</v>
      </c>
      <c r="D62" s="91" t="s">
        <v>116</v>
      </c>
      <c r="E62" s="92">
        <v>3840.4097000000002</v>
      </c>
      <c r="F62" s="92">
        <v>125.815</v>
      </c>
      <c r="G62" s="60">
        <f t="shared" si="20"/>
        <v>3966.2247000000002</v>
      </c>
      <c r="H62" s="93">
        <v>0</v>
      </c>
      <c r="I62" s="93">
        <v>0</v>
      </c>
      <c r="J62" s="93">
        <v>0</v>
      </c>
      <c r="K62" s="60">
        <f t="shared" si="21"/>
        <v>3966.2247000000002</v>
      </c>
      <c r="L62" s="94">
        <f t="shared" si="22"/>
        <v>0</v>
      </c>
      <c r="M62" s="95" t="str">
        <f t="shared" si="23"/>
        <v/>
      </c>
      <c r="N62" s="63" t="str">
        <f t="shared" si="24"/>
        <v/>
      </c>
      <c r="O62" s="67" t="str">
        <f t="shared" si="25"/>
        <v/>
      </c>
      <c r="P62" s="91" t="str">
        <f t="shared" si="26"/>
        <v/>
      </c>
      <c r="Q62" s="66">
        <f t="shared" si="27"/>
        <v>0</v>
      </c>
      <c r="R62" s="96">
        <f t="shared" si="28"/>
        <v>0</v>
      </c>
      <c r="S62" s="97" t="str">
        <f t="shared" si="29"/>
        <v/>
      </c>
      <c r="U62" s="60">
        <f t="shared" si="30"/>
        <v>3966.2247000000002</v>
      </c>
      <c r="V62" s="94">
        <f t="shared" si="31"/>
        <v>2646128.2934613074</v>
      </c>
      <c r="W62" s="95" t="str">
        <f t="shared" si="32"/>
        <v/>
      </c>
      <c r="X62" s="63">
        <f t="shared" si="33"/>
        <v>0</v>
      </c>
      <c r="Y62" s="67" t="str">
        <f t="shared" si="34"/>
        <v/>
      </c>
      <c r="Z62" s="91" t="str">
        <f t="shared" si="35"/>
        <v/>
      </c>
      <c r="AA62" s="66">
        <f t="shared" si="36"/>
        <v>2742941.3308576648</v>
      </c>
      <c r="AB62" s="96">
        <f t="shared" si="37"/>
        <v>96813.037396357395</v>
      </c>
      <c r="AC62" s="97">
        <f t="shared" si="38"/>
        <v>3.6586675572604102E-2</v>
      </c>
      <c r="AD62" s="67">
        <f t="shared" si="39"/>
        <v>0</v>
      </c>
      <c r="AE62" s="66">
        <v>836550.33316818951</v>
      </c>
      <c r="AG62" s="16"/>
      <c r="AH62" s="16"/>
    </row>
    <row r="63" spans="2:34" x14ac:dyDescent="0.25">
      <c r="B63" s="91">
        <v>2187</v>
      </c>
      <c r="C63" s="67" t="s">
        <v>301</v>
      </c>
      <c r="D63" s="91" t="s">
        <v>61</v>
      </c>
      <c r="E63" s="92">
        <v>13313.4311</v>
      </c>
      <c r="F63" s="92">
        <v>609.0575</v>
      </c>
      <c r="G63" s="60">
        <f t="shared" si="20"/>
        <v>13922.488600000001</v>
      </c>
      <c r="H63" s="93">
        <v>0</v>
      </c>
      <c r="I63" s="93">
        <v>0</v>
      </c>
      <c r="J63" s="93">
        <v>0</v>
      </c>
      <c r="K63" s="60">
        <f t="shared" si="21"/>
        <v>13922.488600000001</v>
      </c>
      <c r="L63" s="94">
        <f t="shared" si="22"/>
        <v>0</v>
      </c>
      <c r="M63" s="95" t="str">
        <f t="shared" si="23"/>
        <v/>
      </c>
      <c r="N63" s="63" t="str">
        <f t="shared" si="24"/>
        <v/>
      </c>
      <c r="O63" s="67" t="str">
        <f t="shared" si="25"/>
        <v/>
      </c>
      <c r="P63" s="91" t="str">
        <f t="shared" si="26"/>
        <v/>
      </c>
      <c r="Q63" s="66">
        <f t="shared" si="27"/>
        <v>0</v>
      </c>
      <c r="R63" s="96">
        <f t="shared" si="28"/>
        <v>0</v>
      </c>
      <c r="S63" s="97" t="str">
        <f t="shared" si="29"/>
        <v/>
      </c>
      <c r="U63" s="60">
        <f t="shared" si="30"/>
        <v>13922.488600000001</v>
      </c>
      <c r="V63" s="94">
        <f t="shared" si="31"/>
        <v>9288604.0974563304</v>
      </c>
      <c r="W63" s="95" t="str">
        <f t="shared" si="32"/>
        <v/>
      </c>
      <c r="X63" s="63">
        <f t="shared" si="33"/>
        <v>0</v>
      </c>
      <c r="Y63" s="67" t="str">
        <f t="shared" si="34"/>
        <v/>
      </c>
      <c r="Z63" s="91" t="str">
        <f t="shared" si="35"/>
        <v/>
      </c>
      <c r="AA63" s="66">
        <f t="shared" si="36"/>
        <v>9628443.2420923263</v>
      </c>
      <c r="AB63" s="96">
        <f t="shared" si="37"/>
        <v>339839.14463599585</v>
      </c>
      <c r="AC63" s="97">
        <f t="shared" si="38"/>
        <v>3.6586675572604095E-2</v>
      </c>
      <c r="AD63" s="67">
        <f t="shared" si="39"/>
        <v>0</v>
      </c>
      <c r="AE63" s="66">
        <v>2804412.3331312011</v>
      </c>
      <c r="AG63" s="16"/>
      <c r="AH63" s="16"/>
    </row>
    <row r="64" spans="2:34" x14ac:dyDescent="0.25">
      <c r="B64" s="91">
        <v>2253</v>
      </c>
      <c r="C64" s="67" t="s">
        <v>311</v>
      </c>
      <c r="D64" s="91" t="s">
        <v>110</v>
      </c>
      <c r="E64" s="92">
        <v>1243.9786999999999</v>
      </c>
      <c r="F64" s="92">
        <v>25.085000000000001</v>
      </c>
      <c r="G64" s="60">
        <f t="shared" si="20"/>
        <v>1269.0636999999999</v>
      </c>
      <c r="H64" s="93">
        <v>0</v>
      </c>
      <c r="I64" s="93">
        <v>0</v>
      </c>
      <c r="J64" s="93">
        <v>0</v>
      </c>
      <c r="K64" s="60">
        <f t="shared" si="21"/>
        <v>1269.0636999999999</v>
      </c>
      <c r="L64" s="94">
        <f t="shared" si="22"/>
        <v>0</v>
      </c>
      <c r="M64" s="95" t="str">
        <f t="shared" si="23"/>
        <v/>
      </c>
      <c r="N64" s="63" t="str">
        <f t="shared" si="24"/>
        <v/>
      </c>
      <c r="O64" s="67" t="str">
        <f t="shared" si="25"/>
        <v/>
      </c>
      <c r="P64" s="91" t="str">
        <f t="shared" si="26"/>
        <v/>
      </c>
      <c r="Q64" s="66">
        <f t="shared" si="27"/>
        <v>0</v>
      </c>
      <c r="R64" s="96">
        <f t="shared" si="28"/>
        <v>0</v>
      </c>
      <c r="S64" s="97" t="str">
        <f t="shared" si="29"/>
        <v/>
      </c>
      <c r="U64" s="60">
        <f t="shared" si="30"/>
        <v>1269.0636999999999</v>
      </c>
      <c r="V64" s="94">
        <f t="shared" si="31"/>
        <v>846675.52062158554</v>
      </c>
      <c r="W64" s="95" t="str">
        <f t="shared" si="32"/>
        <v/>
      </c>
      <c r="X64" s="63">
        <f t="shared" si="33"/>
        <v>0</v>
      </c>
      <c r="Y64" s="67" t="str">
        <f t="shared" si="34"/>
        <v/>
      </c>
      <c r="Z64" s="91" t="str">
        <f t="shared" si="35"/>
        <v/>
      </c>
      <c r="AA64" s="66">
        <f t="shared" si="36"/>
        <v>877652.56320983323</v>
      </c>
      <c r="AB64" s="96">
        <f t="shared" si="37"/>
        <v>30977.042588247685</v>
      </c>
      <c r="AC64" s="97">
        <f t="shared" si="38"/>
        <v>3.6586675572604171E-2</v>
      </c>
      <c r="AD64" s="67">
        <f t="shared" si="39"/>
        <v>0</v>
      </c>
      <c r="AE64" s="66">
        <v>267256.24999519176</v>
      </c>
      <c r="AG64" s="16"/>
      <c r="AH64" s="16"/>
    </row>
    <row r="65" spans="2:34" x14ac:dyDescent="0.25">
      <c r="B65" s="91">
        <v>2011</v>
      </c>
      <c r="C65" s="67" t="s">
        <v>286</v>
      </c>
      <c r="D65" s="91" t="s">
        <v>122</v>
      </c>
      <c r="E65" s="92">
        <v>140.75</v>
      </c>
      <c r="F65" s="92">
        <v>2.5950000000000002</v>
      </c>
      <c r="G65" s="60">
        <f t="shared" si="20"/>
        <v>143.345</v>
      </c>
      <c r="H65" s="93">
        <v>0</v>
      </c>
      <c r="I65" s="93">
        <v>0</v>
      </c>
      <c r="J65" s="93">
        <v>0</v>
      </c>
      <c r="K65" s="60">
        <f t="shared" si="21"/>
        <v>143.345</v>
      </c>
      <c r="L65" s="94">
        <f t="shared" si="22"/>
        <v>0</v>
      </c>
      <c r="M65" s="95" t="str">
        <f t="shared" si="23"/>
        <v/>
      </c>
      <c r="N65" s="63" t="str">
        <f t="shared" si="24"/>
        <v/>
      </c>
      <c r="O65" s="67" t="str">
        <f t="shared" si="25"/>
        <v/>
      </c>
      <c r="P65" s="91" t="str">
        <f t="shared" si="26"/>
        <v/>
      </c>
      <c r="Q65" s="66">
        <f t="shared" si="27"/>
        <v>0</v>
      </c>
      <c r="R65" s="96">
        <f t="shared" si="28"/>
        <v>0</v>
      </c>
      <c r="S65" s="97" t="str">
        <f t="shared" si="29"/>
        <v/>
      </c>
      <c r="U65" s="60">
        <f t="shared" si="30"/>
        <v>143.345</v>
      </c>
      <c r="V65" s="94">
        <f t="shared" si="31"/>
        <v>95634.838900128641</v>
      </c>
      <c r="W65" s="95" t="str">
        <f t="shared" si="32"/>
        <v/>
      </c>
      <c r="X65" s="63">
        <f t="shared" si="33"/>
        <v>0</v>
      </c>
      <c r="Y65" s="67" t="str">
        <f t="shared" si="34"/>
        <v/>
      </c>
      <c r="Z65" s="91" t="str">
        <f t="shared" si="35"/>
        <v/>
      </c>
      <c r="AA65" s="66">
        <f t="shared" si="36"/>
        <v>99133.799724405922</v>
      </c>
      <c r="AB65" s="96">
        <f t="shared" si="37"/>
        <v>3498.9608242772811</v>
      </c>
      <c r="AC65" s="97">
        <f t="shared" si="38"/>
        <v>3.6586675572604269E-2</v>
      </c>
      <c r="AD65" s="67">
        <f t="shared" si="39"/>
        <v>0</v>
      </c>
      <c r="AE65" s="66">
        <v>30257.092805692391</v>
      </c>
      <c r="AG65" s="16"/>
      <c r="AH65" s="16"/>
    </row>
    <row r="66" spans="2:34" x14ac:dyDescent="0.25">
      <c r="B66" s="91">
        <v>2017</v>
      </c>
      <c r="C66" s="67" t="s">
        <v>287</v>
      </c>
      <c r="D66" s="91" t="s">
        <v>125</v>
      </c>
      <c r="E66" s="92">
        <v>31.692499999999999</v>
      </c>
      <c r="F66" s="92">
        <v>0.5</v>
      </c>
      <c r="G66" s="60">
        <f t="shared" si="20"/>
        <v>32.192499999999995</v>
      </c>
      <c r="H66" s="93">
        <v>0</v>
      </c>
      <c r="I66" s="93">
        <v>0</v>
      </c>
      <c r="J66" s="93">
        <v>0</v>
      </c>
      <c r="K66" s="60">
        <f t="shared" si="21"/>
        <v>32.192499999999995</v>
      </c>
      <c r="L66" s="94">
        <f t="shared" si="22"/>
        <v>0</v>
      </c>
      <c r="M66" s="95" t="str">
        <f t="shared" si="23"/>
        <v>Yes</v>
      </c>
      <c r="N66" s="63">
        <f t="shared" si="24"/>
        <v>17.807500000000005</v>
      </c>
      <c r="O66" s="67">
        <f t="shared" si="25"/>
        <v>0</v>
      </c>
      <c r="P66" s="91">
        <f t="shared" si="26"/>
        <v>50</v>
      </c>
      <c r="Q66" s="66">
        <f t="shared" si="27"/>
        <v>0</v>
      </c>
      <c r="R66" s="96">
        <f t="shared" si="28"/>
        <v>0</v>
      </c>
      <c r="S66" s="97" t="str">
        <f t="shared" si="29"/>
        <v/>
      </c>
      <c r="U66" s="60">
        <f t="shared" si="30"/>
        <v>32.192499999999995</v>
      </c>
      <c r="V66" s="94">
        <f t="shared" si="31"/>
        <v>21477.725426714507</v>
      </c>
      <c r="W66" s="95" t="str">
        <f t="shared" si="32"/>
        <v>Yes</v>
      </c>
      <c r="X66" s="63">
        <f t="shared" si="33"/>
        <v>17.807500000000005</v>
      </c>
      <c r="Y66" s="67">
        <f t="shared" si="34"/>
        <v>34578.743494508322</v>
      </c>
      <c r="Z66" s="91">
        <f t="shared" si="35"/>
        <v>50</v>
      </c>
      <c r="AA66" s="66">
        <f t="shared" si="36"/>
        <v>34578.743494508322</v>
      </c>
      <c r="AB66" s="96">
        <f t="shared" si="37"/>
        <v>13101.018067793815</v>
      </c>
      <c r="AC66" s="97">
        <f t="shared" si="38"/>
        <v>0.60998163481028844</v>
      </c>
      <c r="AD66" s="67">
        <f t="shared" si="39"/>
        <v>0</v>
      </c>
      <c r="AE66" s="66">
        <v>10583.999347161385</v>
      </c>
      <c r="AG66" s="16"/>
      <c r="AH66" s="16"/>
    </row>
    <row r="67" spans="2:34" x14ac:dyDescent="0.25">
      <c r="B67" s="91">
        <v>2021</v>
      </c>
      <c r="C67" s="67" t="s">
        <v>287</v>
      </c>
      <c r="D67" s="91" t="s">
        <v>128</v>
      </c>
      <c r="E67" s="92">
        <v>29.39</v>
      </c>
      <c r="F67" s="92">
        <v>0.25</v>
      </c>
      <c r="G67" s="60">
        <f t="shared" si="20"/>
        <v>29.64</v>
      </c>
      <c r="H67" s="93">
        <v>0</v>
      </c>
      <c r="I67" s="93">
        <v>0</v>
      </c>
      <c r="J67" s="93">
        <v>0</v>
      </c>
      <c r="K67" s="60">
        <f t="shared" si="21"/>
        <v>29.64</v>
      </c>
      <c r="L67" s="94">
        <f t="shared" si="22"/>
        <v>0</v>
      </c>
      <c r="M67" s="95" t="str">
        <f t="shared" si="23"/>
        <v>Yes</v>
      </c>
      <c r="N67" s="63">
        <f t="shared" si="24"/>
        <v>20.36</v>
      </c>
      <c r="O67" s="67">
        <f t="shared" si="25"/>
        <v>0</v>
      </c>
      <c r="P67" s="91">
        <f t="shared" si="26"/>
        <v>50</v>
      </c>
      <c r="Q67" s="66">
        <f t="shared" si="27"/>
        <v>0</v>
      </c>
      <c r="R67" s="96">
        <f t="shared" si="28"/>
        <v>0</v>
      </c>
      <c r="S67" s="97" t="str">
        <f t="shared" si="29"/>
        <v/>
      </c>
      <c r="U67" s="60">
        <f t="shared" si="30"/>
        <v>29.64</v>
      </c>
      <c r="V67" s="94">
        <f t="shared" si="31"/>
        <v>19774.785482575695</v>
      </c>
      <c r="W67" s="95" t="str">
        <f t="shared" si="32"/>
        <v>Yes</v>
      </c>
      <c r="X67" s="63">
        <f t="shared" si="33"/>
        <v>20.36</v>
      </c>
      <c r="Y67" s="67">
        <f t="shared" si="34"/>
        <v>34578.743494508322</v>
      </c>
      <c r="Z67" s="91">
        <f t="shared" si="35"/>
        <v>50</v>
      </c>
      <c r="AA67" s="66">
        <f t="shared" si="36"/>
        <v>34578.743494508322</v>
      </c>
      <c r="AB67" s="96">
        <f t="shared" si="37"/>
        <v>14803.958011932627</v>
      </c>
      <c r="AC67" s="97">
        <f t="shared" si="38"/>
        <v>0.74862799523043877</v>
      </c>
      <c r="AD67" s="67">
        <f t="shared" si="39"/>
        <v>0</v>
      </c>
      <c r="AE67" s="66">
        <v>10583.999347161385</v>
      </c>
      <c r="AG67" s="16"/>
      <c r="AH67" s="16"/>
    </row>
    <row r="68" spans="2:34" x14ac:dyDescent="0.25">
      <c r="B68" s="91">
        <v>1993</v>
      </c>
      <c r="C68" s="67" t="s">
        <v>284</v>
      </c>
      <c r="D68" s="91" t="s">
        <v>179</v>
      </c>
      <c r="E68" s="92">
        <v>356.88420000000002</v>
      </c>
      <c r="F68" s="92">
        <v>8.5</v>
      </c>
      <c r="G68" s="60">
        <f t="shared" si="20"/>
        <v>365.38420000000002</v>
      </c>
      <c r="H68" s="93">
        <v>0</v>
      </c>
      <c r="I68" s="93">
        <v>0</v>
      </c>
      <c r="J68" s="93">
        <v>0</v>
      </c>
      <c r="K68" s="60">
        <f t="shared" si="21"/>
        <v>365.38420000000002</v>
      </c>
      <c r="L68" s="94">
        <f t="shared" si="22"/>
        <v>0</v>
      </c>
      <c r="M68" s="95" t="str">
        <f t="shared" si="23"/>
        <v/>
      </c>
      <c r="N68" s="63" t="str">
        <f t="shared" si="24"/>
        <v/>
      </c>
      <c r="O68" s="67" t="str">
        <f t="shared" si="25"/>
        <v/>
      </c>
      <c r="P68" s="91" t="str">
        <f t="shared" si="26"/>
        <v/>
      </c>
      <c r="Q68" s="66">
        <f t="shared" si="27"/>
        <v>0</v>
      </c>
      <c r="R68" s="96">
        <f t="shared" si="28"/>
        <v>0</v>
      </c>
      <c r="S68" s="97" t="str">
        <f t="shared" si="29"/>
        <v/>
      </c>
      <c r="U68" s="60">
        <f t="shared" si="30"/>
        <v>365.38420000000002</v>
      </c>
      <c r="V68" s="94">
        <f t="shared" si="31"/>
        <v>243771.73325649576</v>
      </c>
      <c r="W68" s="95" t="str">
        <f t="shared" si="32"/>
        <v/>
      </c>
      <c r="X68" s="63">
        <f t="shared" si="33"/>
        <v>0</v>
      </c>
      <c r="Y68" s="67" t="str">
        <f t="shared" si="34"/>
        <v/>
      </c>
      <c r="Z68" s="91" t="str">
        <f t="shared" si="35"/>
        <v/>
      </c>
      <c r="AA68" s="66">
        <f t="shared" si="36"/>
        <v>252690.5305749226</v>
      </c>
      <c r="AB68" s="96">
        <f t="shared" si="37"/>
        <v>8918.797318426834</v>
      </c>
      <c r="AC68" s="97">
        <f t="shared" si="38"/>
        <v>3.6586675572604255E-2</v>
      </c>
      <c r="AD68" s="67">
        <f t="shared" si="39"/>
        <v>0</v>
      </c>
      <c r="AE68" s="66">
        <v>79144.628126228214</v>
      </c>
      <c r="AG68" s="16"/>
      <c r="AH68" s="16"/>
    </row>
    <row r="69" spans="2:34" x14ac:dyDescent="0.25">
      <c r="B69" s="91">
        <v>1991</v>
      </c>
      <c r="C69" s="67" t="s">
        <v>284</v>
      </c>
      <c r="D69" s="91" t="s">
        <v>54</v>
      </c>
      <c r="E69" s="92">
        <v>6927.6943000000001</v>
      </c>
      <c r="F69" s="92">
        <v>249.98249999999999</v>
      </c>
      <c r="G69" s="60">
        <f t="shared" si="20"/>
        <v>7177.6768000000002</v>
      </c>
      <c r="H69" s="93">
        <v>0</v>
      </c>
      <c r="I69" s="93">
        <v>-199.005</v>
      </c>
      <c r="J69" s="93">
        <v>0</v>
      </c>
      <c r="K69" s="60">
        <f t="shared" si="21"/>
        <v>6978.6718000000001</v>
      </c>
      <c r="L69" s="94">
        <f t="shared" si="22"/>
        <v>0</v>
      </c>
      <c r="M69" s="95" t="str">
        <f t="shared" si="23"/>
        <v/>
      </c>
      <c r="N69" s="63" t="str">
        <f t="shared" si="24"/>
        <v/>
      </c>
      <c r="O69" s="67" t="str">
        <f t="shared" si="25"/>
        <v/>
      </c>
      <c r="P69" s="91" t="str">
        <f t="shared" si="26"/>
        <v/>
      </c>
      <c r="Q69" s="66">
        <f t="shared" si="27"/>
        <v>0</v>
      </c>
      <c r="R69" s="96">
        <f t="shared" si="28"/>
        <v>0</v>
      </c>
      <c r="S69" s="97" t="str">
        <f t="shared" si="29"/>
        <v/>
      </c>
      <c r="U69" s="60">
        <f t="shared" si="30"/>
        <v>6978.6718000000001</v>
      </c>
      <c r="V69" s="94">
        <f t="shared" si="31"/>
        <v>4655929.0755162081</v>
      </c>
      <c r="W69" s="95" t="str">
        <f t="shared" si="32"/>
        <v/>
      </c>
      <c r="X69" s="63">
        <f t="shared" si="33"/>
        <v>0</v>
      </c>
      <c r="Y69" s="67" t="str">
        <f t="shared" si="34"/>
        <v/>
      </c>
      <c r="Z69" s="91" t="str">
        <f t="shared" si="35"/>
        <v/>
      </c>
      <c r="AA69" s="66">
        <f t="shared" si="36"/>
        <v>4826274.0420911741</v>
      </c>
      <c r="AB69" s="96">
        <f t="shared" si="37"/>
        <v>170344.96657496598</v>
      </c>
      <c r="AC69" s="97">
        <f t="shared" si="38"/>
        <v>3.6586675572604088E-2</v>
      </c>
      <c r="AD69" s="67">
        <f t="shared" si="39"/>
        <v>0</v>
      </c>
      <c r="AE69" s="66">
        <v>1471801.127264868</v>
      </c>
      <c r="AG69" s="16"/>
      <c r="AH69" s="16"/>
    </row>
    <row r="70" spans="2:34" x14ac:dyDescent="0.25">
      <c r="B70" s="91">
        <v>2019</v>
      </c>
      <c r="C70" s="67" t="s">
        <v>287</v>
      </c>
      <c r="D70" s="91" t="s">
        <v>130</v>
      </c>
      <c r="E70" s="92">
        <v>33.26</v>
      </c>
      <c r="F70" s="92">
        <v>0.26</v>
      </c>
      <c r="G70" s="60">
        <f t="shared" si="20"/>
        <v>33.519999999999996</v>
      </c>
      <c r="H70" s="93">
        <v>0</v>
      </c>
      <c r="I70" s="93">
        <v>0</v>
      </c>
      <c r="J70" s="93">
        <v>0</v>
      </c>
      <c r="K70" s="60">
        <f t="shared" si="21"/>
        <v>33.519999999999996</v>
      </c>
      <c r="L70" s="94">
        <f t="shared" si="22"/>
        <v>0</v>
      </c>
      <c r="M70" s="95" t="str">
        <f t="shared" si="23"/>
        <v>Yes</v>
      </c>
      <c r="N70" s="63">
        <f t="shared" si="24"/>
        <v>16.480000000000004</v>
      </c>
      <c r="O70" s="67">
        <f t="shared" si="25"/>
        <v>0</v>
      </c>
      <c r="P70" s="91">
        <f t="shared" si="26"/>
        <v>50</v>
      </c>
      <c r="Q70" s="66">
        <f t="shared" si="27"/>
        <v>0</v>
      </c>
      <c r="R70" s="96">
        <f t="shared" si="28"/>
        <v>0</v>
      </c>
      <c r="S70" s="97" t="str">
        <f t="shared" si="29"/>
        <v/>
      </c>
      <c r="U70" s="60">
        <f t="shared" si="30"/>
        <v>33.519999999999996</v>
      </c>
      <c r="V70" s="94">
        <f t="shared" si="31"/>
        <v>22363.387630767113</v>
      </c>
      <c r="W70" s="95" t="str">
        <f t="shared" si="32"/>
        <v>Yes</v>
      </c>
      <c r="X70" s="63">
        <f t="shared" si="33"/>
        <v>16.480000000000004</v>
      </c>
      <c r="Y70" s="67">
        <f t="shared" si="34"/>
        <v>34578.743494508322</v>
      </c>
      <c r="Z70" s="91">
        <f t="shared" si="35"/>
        <v>50</v>
      </c>
      <c r="AA70" s="66">
        <f t="shared" si="36"/>
        <v>34578.743494508322</v>
      </c>
      <c r="AB70" s="96">
        <f t="shared" si="37"/>
        <v>12215.35586374121</v>
      </c>
      <c r="AC70" s="97">
        <f t="shared" si="38"/>
        <v>0.54622117478013754</v>
      </c>
      <c r="AD70" s="67">
        <f t="shared" si="39"/>
        <v>0</v>
      </c>
      <c r="AE70" s="66">
        <v>10583.999347161385</v>
      </c>
      <c r="AG70" s="16"/>
      <c r="AH70" s="16"/>
    </row>
    <row r="71" spans="2:34" x14ac:dyDescent="0.25">
      <c r="B71" s="91">
        <v>2229</v>
      </c>
      <c r="C71" s="67" t="s">
        <v>308</v>
      </c>
      <c r="D71" s="91" t="s">
        <v>99</v>
      </c>
      <c r="E71" s="92">
        <v>495.85610000000003</v>
      </c>
      <c r="F71" s="92">
        <v>14.5</v>
      </c>
      <c r="G71" s="60">
        <f t="shared" si="20"/>
        <v>510.35610000000003</v>
      </c>
      <c r="H71" s="93">
        <v>0</v>
      </c>
      <c r="I71" s="93">
        <v>0</v>
      </c>
      <c r="J71" s="93">
        <v>0</v>
      </c>
      <c r="K71" s="60">
        <f t="shared" si="21"/>
        <v>510.35610000000003</v>
      </c>
      <c r="L71" s="94">
        <f t="shared" si="22"/>
        <v>0</v>
      </c>
      <c r="M71" s="95" t="str">
        <f t="shared" si="23"/>
        <v/>
      </c>
      <c r="N71" s="63" t="str">
        <f t="shared" si="24"/>
        <v/>
      </c>
      <c r="O71" s="67" t="str">
        <f t="shared" si="25"/>
        <v/>
      </c>
      <c r="P71" s="91" t="str">
        <f t="shared" si="26"/>
        <v/>
      </c>
      <c r="Q71" s="66">
        <f t="shared" si="27"/>
        <v>0</v>
      </c>
      <c r="R71" s="96">
        <f t="shared" si="28"/>
        <v>0</v>
      </c>
      <c r="S71" s="97" t="str">
        <f t="shared" si="29"/>
        <v/>
      </c>
      <c r="U71" s="60">
        <f t="shared" si="30"/>
        <v>510.35610000000003</v>
      </c>
      <c r="V71" s="94">
        <f t="shared" si="31"/>
        <v>340491.9837120091</v>
      </c>
      <c r="W71" s="95" t="str">
        <f t="shared" si="32"/>
        <v/>
      </c>
      <c r="X71" s="63">
        <f t="shared" si="33"/>
        <v>0</v>
      </c>
      <c r="Y71" s="67" t="str">
        <f t="shared" si="34"/>
        <v/>
      </c>
      <c r="Z71" s="91" t="str">
        <f t="shared" si="35"/>
        <v/>
      </c>
      <c r="AA71" s="66">
        <f t="shared" si="36"/>
        <v>352949.4534551528</v>
      </c>
      <c r="AB71" s="96">
        <f t="shared" si="37"/>
        <v>12457.469743143709</v>
      </c>
      <c r="AC71" s="97">
        <f t="shared" si="38"/>
        <v>3.6586675572604199E-2</v>
      </c>
      <c r="AD71" s="67">
        <f t="shared" si="39"/>
        <v>0</v>
      </c>
      <c r="AE71" s="66">
        <v>106354.7356958637</v>
      </c>
      <c r="AG71" s="16"/>
      <c r="AH71" s="16"/>
    </row>
    <row r="72" spans="2:34" x14ac:dyDescent="0.25">
      <c r="B72" s="91">
        <v>2043</v>
      </c>
      <c r="C72" s="67" t="s">
        <v>289</v>
      </c>
      <c r="D72" s="91" t="s">
        <v>44</v>
      </c>
      <c r="E72" s="92">
        <v>4938.6525000000001</v>
      </c>
      <c r="F72" s="92">
        <v>161.18</v>
      </c>
      <c r="G72" s="60">
        <f t="shared" si="20"/>
        <v>5099.8325000000004</v>
      </c>
      <c r="H72" s="93">
        <v>-289.83157753851401</v>
      </c>
      <c r="I72" s="93">
        <v>0</v>
      </c>
      <c r="J72" s="93">
        <v>0</v>
      </c>
      <c r="K72" s="60">
        <f t="shared" si="21"/>
        <v>4810.000922461486</v>
      </c>
      <c r="L72" s="94">
        <f t="shared" si="22"/>
        <v>0</v>
      </c>
      <c r="M72" s="95" t="str">
        <f t="shared" si="23"/>
        <v/>
      </c>
      <c r="N72" s="63" t="str">
        <f t="shared" si="24"/>
        <v/>
      </c>
      <c r="O72" s="67" t="str">
        <f t="shared" si="25"/>
        <v/>
      </c>
      <c r="P72" s="91" t="str">
        <f t="shared" si="26"/>
        <v/>
      </c>
      <c r="Q72" s="66">
        <f t="shared" si="27"/>
        <v>0</v>
      </c>
      <c r="R72" s="96">
        <f t="shared" si="28"/>
        <v>0</v>
      </c>
      <c r="S72" s="97" t="str">
        <f t="shared" si="29"/>
        <v/>
      </c>
      <c r="U72" s="60">
        <f t="shared" si="30"/>
        <v>4810.000922461486</v>
      </c>
      <c r="V72" s="94">
        <f t="shared" si="31"/>
        <v>3209066.680589308</v>
      </c>
      <c r="W72" s="95" t="str">
        <f t="shared" si="32"/>
        <v/>
      </c>
      <c r="X72" s="63">
        <f t="shared" si="33"/>
        <v>0</v>
      </c>
      <c r="Y72" s="67" t="str">
        <f t="shared" si="34"/>
        <v/>
      </c>
      <c r="Z72" s="91" t="str">
        <f t="shared" si="35"/>
        <v/>
      </c>
      <c r="AA72" s="66">
        <f t="shared" si="36"/>
        <v>3326475.762122883</v>
      </c>
      <c r="AB72" s="96">
        <f t="shared" si="37"/>
        <v>117409.08153357496</v>
      </c>
      <c r="AC72" s="97">
        <f t="shared" si="38"/>
        <v>3.6586675572604227E-2</v>
      </c>
      <c r="AD72" s="67">
        <f t="shared" si="39"/>
        <v>0</v>
      </c>
      <c r="AE72" s="66">
        <v>1021411.9272550299</v>
      </c>
      <c r="AG72" s="16"/>
      <c r="AH72" s="16"/>
    </row>
    <row r="73" spans="2:34" x14ac:dyDescent="0.25">
      <c r="B73" s="91">
        <v>2203</v>
      </c>
      <c r="C73" s="67" t="s">
        <v>305</v>
      </c>
      <c r="D73" s="91" t="s">
        <v>132</v>
      </c>
      <c r="E73" s="92">
        <v>445.07060000000001</v>
      </c>
      <c r="F73" s="92">
        <v>9.25</v>
      </c>
      <c r="G73" s="60">
        <f t="shared" si="20"/>
        <v>454.32060000000001</v>
      </c>
      <c r="H73" s="93">
        <v>0</v>
      </c>
      <c r="I73" s="93">
        <v>0</v>
      </c>
      <c r="J73" s="93">
        <v>0</v>
      </c>
      <c r="K73" s="60">
        <f t="shared" si="21"/>
        <v>454.32060000000001</v>
      </c>
      <c r="L73" s="94">
        <f t="shared" si="22"/>
        <v>0</v>
      </c>
      <c r="M73" s="95" t="str">
        <f t="shared" si="23"/>
        <v/>
      </c>
      <c r="N73" s="63" t="str">
        <f t="shared" si="24"/>
        <v/>
      </c>
      <c r="O73" s="67" t="str">
        <f t="shared" si="25"/>
        <v/>
      </c>
      <c r="P73" s="91" t="str">
        <f t="shared" si="26"/>
        <v/>
      </c>
      <c r="Q73" s="66">
        <f t="shared" si="27"/>
        <v>0</v>
      </c>
      <c r="R73" s="96">
        <f t="shared" si="28"/>
        <v>0</v>
      </c>
      <c r="S73" s="97" t="str">
        <f t="shared" si="29"/>
        <v/>
      </c>
      <c r="U73" s="60">
        <f t="shared" si="30"/>
        <v>454.32060000000001</v>
      </c>
      <c r="V73" s="94">
        <f t="shared" si="31"/>
        <v>303107.0312184575</v>
      </c>
      <c r="W73" s="95" t="str">
        <f t="shared" si="32"/>
        <v/>
      </c>
      <c r="X73" s="63">
        <f t="shared" si="33"/>
        <v>0</v>
      </c>
      <c r="Y73" s="67" t="str">
        <f t="shared" si="34"/>
        <v/>
      </c>
      <c r="Z73" s="91" t="str">
        <f t="shared" si="35"/>
        <v/>
      </c>
      <c r="AA73" s="66">
        <f t="shared" si="36"/>
        <v>314196.70983342238</v>
      </c>
      <c r="AB73" s="96">
        <f t="shared" si="37"/>
        <v>11089.678614964883</v>
      </c>
      <c r="AC73" s="97">
        <f t="shared" si="38"/>
        <v>3.6586675572604088E-2</v>
      </c>
      <c r="AD73" s="67">
        <f t="shared" si="39"/>
        <v>0</v>
      </c>
      <c r="AE73" s="66">
        <v>92254.668261579209</v>
      </c>
      <c r="AG73" s="16"/>
      <c r="AH73" s="16"/>
    </row>
    <row r="74" spans="2:34" x14ac:dyDescent="0.25">
      <c r="B74" s="91">
        <v>2217</v>
      </c>
      <c r="C74" s="67" t="s">
        <v>306</v>
      </c>
      <c r="D74" s="91" t="s">
        <v>133</v>
      </c>
      <c r="E74" s="92">
        <v>522.20169999999996</v>
      </c>
      <c r="F74" s="92">
        <v>10.945</v>
      </c>
      <c r="G74" s="60">
        <f t="shared" si="20"/>
        <v>533.14670000000001</v>
      </c>
      <c r="H74" s="93">
        <v>0</v>
      </c>
      <c r="I74" s="93">
        <v>0</v>
      </c>
      <c r="J74" s="93">
        <v>0</v>
      </c>
      <c r="K74" s="60">
        <f t="shared" si="21"/>
        <v>533.14670000000001</v>
      </c>
      <c r="L74" s="94">
        <f t="shared" si="22"/>
        <v>0</v>
      </c>
      <c r="M74" s="95" t="str">
        <f t="shared" si="23"/>
        <v/>
      </c>
      <c r="N74" s="63" t="str">
        <f t="shared" si="24"/>
        <v/>
      </c>
      <c r="O74" s="67" t="str">
        <f t="shared" si="25"/>
        <v/>
      </c>
      <c r="P74" s="91" t="str">
        <f t="shared" si="26"/>
        <v/>
      </c>
      <c r="Q74" s="66">
        <f t="shared" si="27"/>
        <v>0</v>
      </c>
      <c r="R74" s="96">
        <f t="shared" si="28"/>
        <v>0</v>
      </c>
      <c r="S74" s="97" t="str">
        <f t="shared" si="29"/>
        <v/>
      </c>
      <c r="U74" s="60">
        <f t="shared" si="30"/>
        <v>533.14670000000001</v>
      </c>
      <c r="V74" s="94">
        <f t="shared" si="31"/>
        <v>355697.08580442442</v>
      </c>
      <c r="W74" s="95" t="str">
        <f t="shared" si="32"/>
        <v/>
      </c>
      <c r="X74" s="63">
        <f t="shared" si="33"/>
        <v>0</v>
      </c>
      <c r="Y74" s="67" t="str">
        <f t="shared" si="34"/>
        <v/>
      </c>
      <c r="Z74" s="91" t="str">
        <f t="shared" si="35"/>
        <v/>
      </c>
      <c r="AA74" s="66">
        <f t="shared" si="36"/>
        <v>368710.85968487163</v>
      </c>
      <c r="AB74" s="96">
        <f t="shared" si="37"/>
        <v>13013.773880447203</v>
      </c>
      <c r="AC74" s="97">
        <f t="shared" si="38"/>
        <v>3.6586675572604109E-2</v>
      </c>
      <c r="AD74" s="67">
        <f t="shared" si="39"/>
        <v>0</v>
      </c>
      <c r="AE74" s="66">
        <v>120230.48584798444</v>
      </c>
      <c r="AG74" s="16"/>
      <c r="AH74" s="16"/>
    </row>
    <row r="75" spans="2:34" x14ac:dyDescent="0.25">
      <c r="B75" s="91">
        <v>1998</v>
      </c>
      <c r="C75" s="67" t="s">
        <v>284</v>
      </c>
      <c r="D75" s="91" t="s">
        <v>134</v>
      </c>
      <c r="E75" s="92">
        <v>410.34</v>
      </c>
      <c r="F75" s="92">
        <v>5.75</v>
      </c>
      <c r="G75" s="60">
        <f t="shared" si="20"/>
        <v>416.09</v>
      </c>
      <c r="H75" s="93">
        <v>0</v>
      </c>
      <c r="I75" s="93">
        <v>0</v>
      </c>
      <c r="J75" s="93">
        <v>0</v>
      </c>
      <c r="K75" s="60">
        <f t="shared" si="21"/>
        <v>416.09</v>
      </c>
      <c r="L75" s="94">
        <f t="shared" si="22"/>
        <v>0</v>
      </c>
      <c r="M75" s="95" t="str">
        <f t="shared" si="23"/>
        <v/>
      </c>
      <c r="N75" s="63" t="str">
        <f t="shared" si="24"/>
        <v/>
      </c>
      <c r="O75" s="67" t="str">
        <f t="shared" si="25"/>
        <v/>
      </c>
      <c r="P75" s="91" t="str">
        <f t="shared" si="26"/>
        <v/>
      </c>
      <c r="Q75" s="66">
        <f t="shared" si="27"/>
        <v>0</v>
      </c>
      <c r="R75" s="96">
        <f t="shared" si="28"/>
        <v>0</v>
      </c>
      <c r="S75" s="97" t="str">
        <f t="shared" si="29"/>
        <v/>
      </c>
      <c r="U75" s="60">
        <f t="shared" si="30"/>
        <v>416.09</v>
      </c>
      <c r="V75" s="94">
        <f t="shared" si="31"/>
        <v>277600.89377344534</v>
      </c>
      <c r="W75" s="95" t="str">
        <f t="shared" si="32"/>
        <v/>
      </c>
      <c r="X75" s="63">
        <f t="shared" si="33"/>
        <v>0</v>
      </c>
      <c r="Y75" s="67" t="str">
        <f t="shared" si="34"/>
        <v/>
      </c>
      <c r="Z75" s="91" t="str">
        <f t="shared" si="35"/>
        <v/>
      </c>
      <c r="AA75" s="66">
        <f t="shared" si="36"/>
        <v>287757.38761259936</v>
      </c>
      <c r="AB75" s="96">
        <f t="shared" si="37"/>
        <v>10156.49383915402</v>
      </c>
      <c r="AC75" s="97">
        <f t="shared" si="38"/>
        <v>3.6586675572604248E-2</v>
      </c>
      <c r="AD75" s="67">
        <f t="shared" si="39"/>
        <v>0</v>
      </c>
      <c r="AE75" s="66">
        <v>87933.983376086224</v>
      </c>
      <c r="AG75" s="16"/>
      <c r="AH75" s="16"/>
    </row>
    <row r="76" spans="2:34" x14ac:dyDescent="0.25">
      <c r="B76" s="91">
        <v>2221</v>
      </c>
      <c r="C76" s="67" t="s">
        <v>307</v>
      </c>
      <c r="D76" s="91" t="s">
        <v>135</v>
      </c>
      <c r="E76" s="92">
        <v>571.93809999999996</v>
      </c>
      <c r="F76" s="92">
        <v>14.845000000000001</v>
      </c>
      <c r="G76" s="60">
        <f t="shared" si="20"/>
        <v>586.78309999999999</v>
      </c>
      <c r="H76" s="93">
        <v>0</v>
      </c>
      <c r="I76" s="93">
        <v>0</v>
      </c>
      <c r="J76" s="93">
        <v>0</v>
      </c>
      <c r="K76" s="60">
        <f t="shared" si="21"/>
        <v>586.78309999999999</v>
      </c>
      <c r="L76" s="94">
        <f t="shared" si="22"/>
        <v>0</v>
      </c>
      <c r="M76" s="95" t="str">
        <f t="shared" si="23"/>
        <v/>
      </c>
      <c r="N76" s="63" t="str">
        <f t="shared" si="24"/>
        <v/>
      </c>
      <c r="O76" s="67" t="str">
        <f t="shared" si="25"/>
        <v/>
      </c>
      <c r="P76" s="91" t="str">
        <f t="shared" si="26"/>
        <v/>
      </c>
      <c r="Q76" s="66">
        <f t="shared" si="27"/>
        <v>0</v>
      </c>
      <c r="R76" s="96">
        <f t="shared" si="28"/>
        <v>0</v>
      </c>
      <c r="S76" s="97" t="str">
        <f t="shared" si="29"/>
        <v/>
      </c>
      <c r="U76" s="60">
        <f t="shared" si="30"/>
        <v>586.78309999999999</v>
      </c>
      <c r="V76" s="94">
        <f t="shared" si="31"/>
        <v>391481.44154186104</v>
      </c>
      <c r="W76" s="95" t="str">
        <f t="shared" si="32"/>
        <v/>
      </c>
      <c r="X76" s="63">
        <f t="shared" si="33"/>
        <v>0</v>
      </c>
      <c r="Y76" s="67" t="str">
        <f t="shared" si="34"/>
        <v/>
      </c>
      <c r="Z76" s="91" t="str">
        <f t="shared" si="35"/>
        <v/>
      </c>
      <c r="AA76" s="66">
        <f t="shared" si="36"/>
        <v>405804.44603624853</v>
      </c>
      <c r="AB76" s="96">
        <f t="shared" si="37"/>
        <v>14323.004494387482</v>
      </c>
      <c r="AC76" s="97">
        <f t="shared" si="38"/>
        <v>3.6586675572604185E-2</v>
      </c>
      <c r="AD76" s="67">
        <f t="shared" si="39"/>
        <v>0</v>
      </c>
      <c r="AE76" s="66">
        <v>125954.60904691103</v>
      </c>
      <c r="AG76" s="16"/>
      <c r="AH76" s="16"/>
    </row>
    <row r="77" spans="2:34" x14ac:dyDescent="0.25">
      <c r="B77" s="6">
        <v>4505</v>
      </c>
      <c r="C77" s="6" t="s">
        <v>311</v>
      </c>
      <c r="D77" s="6" t="s">
        <v>328</v>
      </c>
      <c r="E77" s="92"/>
      <c r="F77" s="92"/>
      <c r="G77" s="60"/>
      <c r="H77" s="93"/>
      <c r="I77" s="93"/>
      <c r="J77" s="93"/>
      <c r="K77" s="60"/>
      <c r="L77" s="94"/>
      <c r="M77" s="95"/>
      <c r="N77" s="63"/>
      <c r="O77" s="67"/>
      <c r="P77" s="91"/>
      <c r="Q77" s="66"/>
      <c r="R77" s="96"/>
      <c r="S77" s="97"/>
      <c r="U77" s="60"/>
      <c r="V77" s="94"/>
      <c r="W77" s="95"/>
      <c r="X77" s="63"/>
      <c r="Y77" s="67"/>
      <c r="Z77" s="91"/>
      <c r="AA77" s="66"/>
      <c r="AB77" s="96"/>
      <c r="AC77" s="97"/>
      <c r="AD77" s="67"/>
      <c r="AE77" s="66">
        <v>7101.8635619452889</v>
      </c>
      <c r="AG77" s="16"/>
      <c r="AH77" s="16"/>
    </row>
    <row r="78" spans="2:34" x14ac:dyDescent="0.25">
      <c r="B78" s="91">
        <v>1930</v>
      </c>
      <c r="C78" s="67" t="s">
        <v>277</v>
      </c>
      <c r="D78" s="91" t="s">
        <v>69</v>
      </c>
      <c r="E78" s="92">
        <v>3409.415</v>
      </c>
      <c r="F78" s="92">
        <v>57.25</v>
      </c>
      <c r="G78" s="60">
        <f t="shared" ref="G78:G83" si="40">E78+F78</f>
        <v>3466.665</v>
      </c>
      <c r="H78" s="93">
        <v>-1106.8499497135099</v>
      </c>
      <c r="I78" s="93">
        <v>0</v>
      </c>
      <c r="J78" s="93">
        <v>0</v>
      </c>
      <c r="K78" s="60">
        <f t="shared" ref="K78:K83" si="41">$G78+$H78+$I78+$J78</f>
        <v>2359.8150502864901</v>
      </c>
      <c r="L78" s="94">
        <f t="shared" ref="L78:L83" si="42">K78*$D$16</f>
        <v>0</v>
      </c>
      <c r="M78" s="95" t="str">
        <f t="shared" ref="M78:M83" si="43">IF(K78=0,"",IF(K78&lt;$W$16,"Yes",""))</f>
        <v/>
      </c>
      <c r="N78" s="63" t="str">
        <f t="shared" ref="N78:N83" si="44">IF(K78=0,"",IF(K78&lt;$W$16,$W$16-K78,""))</f>
        <v/>
      </c>
      <c r="O78" s="67" t="str">
        <f t="shared" ref="O78:O83" si="45">IF(K78=0,"",IF(K78&lt;$M$16,(K78+N78)*$Q$16,""))</f>
        <v/>
      </c>
      <c r="P78" s="91" t="str">
        <f t="shared" ref="P78:P83" si="46">IF(K78=0,"",IF(K78&lt;$W$16,(K78+N78),""))</f>
        <v/>
      </c>
      <c r="Q78" s="66">
        <f t="shared" ref="Q78:Q83" si="47">MAX(O78,(K78*$Q$16))</f>
        <v>0</v>
      </c>
      <c r="R78" s="96">
        <f t="shared" ref="R78:R83" si="48">IF(Q78=0,0,(Q78-L78))</f>
        <v>0</v>
      </c>
      <c r="S78" s="97" t="str">
        <f t="shared" ref="S78:S83" si="49">IF(R78=0,"",(R78/L78))</f>
        <v/>
      </c>
      <c r="U78" s="60">
        <f t="shared" ref="U78:U83" si="50">$G78+$H78+$I78+$J78</f>
        <v>2359.8150502864901</v>
      </c>
      <c r="V78" s="94">
        <f t="shared" ref="V78:V83" si="51">U78*$E$16</f>
        <v>1574387.1929139311</v>
      </c>
      <c r="W78" s="95" t="str">
        <f t="shared" ref="W78:W83" si="52">IF(U78=0,"",IF(U78&lt;$W$16,"Yes",""))</f>
        <v/>
      </c>
      <c r="X78" s="63">
        <f t="shared" ref="X78:X83" si="53">IF(U78=0,0,IF(U78&lt;$W$16,$W$16-U78,0))</f>
        <v>0</v>
      </c>
      <c r="Y78" s="67" t="str">
        <f t="shared" ref="Y78:Y83" si="54">IF(U78=0,"",IF(U78&lt;$W$16,(U78+X78)*$AA$16,""))</f>
        <v/>
      </c>
      <c r="Z78" s="91" t="str">
        <f t="shared" ref="Z78:Z83" si="55">IF(U78=0,"",IF(U78&lt;$W$16,(U78+X78),""))</f>
        <v/>
      </c>
      <c r="AA78" s="66">
        <f t="shared" ref="AA78:AA83" si="56">MAX(Y78,(U78*$AA$16))</f>
        <v>1631988.7863667361</v>
      </c>
      <c r="AB78" s="96">
        <f t="shared" ref="AB78:AB83" si="57">IF(AA78=0,"",(AA78-V78))</f>
        <v>57601.593452804955</v>
      </c>
      <c r="AC78" s="97">
        <f t="shared" ref="AC78:AC83" si="58">IF(AB78="","",(AB78/V78))</f>
        <v>3.6586675572604158E-2</v>
      </c>
      <c r="AD78" s="67">
        <f t="shared" ref="AD78:AD83" si="59">IF(AA78=0,0,(U78+X78)/$AA$14)*$E$13</f>
        <v>0</v>
      </c>
      <c r="AE78" s="66">
        <v>483031.53722291841</v>
      </c>
      <c r="AG78" s="16"/>
      <c r="AH78" s="16"/>
    </row>
    <row r="79" spans="2:34" x14ac:dyDescent="0.25">
      <c r="B79" s="91">
        <v>2082</v>
      </c>
      <c r="C79" s="67" t="s">
        <v>294</v>
      </c>
      <c r="D79" s="91" t="s">
        <v>37</v>
      </c>
      <c r="E79" s="92">
        <v>19960.682100000002</v>
      </c>
      <c r="F79" s="92">
        <v>562.64</v>
      </c>
      <c r="G79" s="60">
        <f t="shared" si="40"/>
        <v>20523.322100000001</v>
      </c>
      <c r="H79" s="93">
        <v>0</v>
      </c>
      <c r="I79" s="93">
        <v>-228.32</v>
      </c>
      <c r="J79" s="93">
        <v>0</v>
      </c>
      <c r="K79" s="60">
        <f t="shared" si="41"/>
        <v>20295.002100000002</v>
      </c>
      <c r="L79" s="94">
        <f t="shared" si="42"/>
        <v>0</v>
      </c>
      <c r="M79" s="95" t="str">
        <f t="shared" si="43"/>
        <v/>
      </c>
      <c r="N79" s="63" t="str">
        <f t="shared" si="44"/>
        <v/>
      </c>
      <c r="O79" s="67" t="str">
        <f t="shared" si="45"/>
        <v/>
      </c>
      <c r="P79" s="91" t="str">
        <f t="shared" si="46"/>
        <v/>
      </c>
      <c r="Q79" s="66">
        <f t="shared" si="47"/>
        <v>0</v>
      </c>
      <c r="R79" s="96">
        <f t="shared" si="48"/>
        <v>0</v>
      </c>
      <c r="S79" s="97" t="str">
        <f t="shared" si="49"/>
        <v/>
      </c>
      <c r="U79" s="60">
        <f t="shared" si="50"/>
        <v>20295.002100000002</v>
      </c>
      <c r="V79" s="94">
        <f t="shared" si="51"/>
        <v>13540125.266394172</v>
      </c>
      <c r="W79" s="95" t="str">
        <f t="shared" si="52"/>
        <v/>
      </c>
      <c r="X79" s="63">
        <f t="shared" si="53"/>
        <v>0</v>
      </c>
      <c r="Y79" s="67" t="str">
        <f t="shared" si="54"/>
        <v/>
      </c>
      <c r="Z79" s="91" t="str">
        <f t="shared" si="55"/>
        <v/>
      </c>
      <c r="AA79" s="66">
        <f t="shared" si="56"/>
        <v>14035513.436728157</v>
      </c>
      <c r="AB79" s="96">
        <f t="shared" si="57"/>
        <v>495388.17033398524</v>
      </c>
      <c r="AC79" s="97">
        <f t="shared" si="58"/>
        <v>3.6586675572604248E-2</v>
      </c>
      <c r="AD79" s="67">
        <f t="shared" si="59"/>
        <v>0</v>
      </c>
      <c r="AE79" s="66">
        <v>4347341.6615767637</v>
      </c>
      <c r="AG79" s="16"/>
      <c r="AH79" s="16"/>
    </row>
    <row r="80" spans="2:34" x14ac:dyDescent="0.25">
      <c r="B80" s="91">
        <v>2193</v>
      </c>
      <c r="C80" s="67" t="s">
        <v>302</v>
      </c>
      <c r="D80" s="91" t="s">
        <v>85</v>
      </c>
      <c r="E80" s="92">
        <v>382.49900000000002</v>
      </c>
      <c r="F80" s="92">
        <v>18.122499999999999</v>
      </c>
      <c r="G80" s="60">
        <f t="shared" si="40"/>
        <v>400.62150000000003</v>
      </c>
      <c r="H80" s="93">
        <v>0</v>
      </c>
      <c r="I80" s="93">
        <v>0</v>
      </c>
      <c r="J80" s="93">
        <v>0</v>
      </c>
      <c r="K80" s="60">
        <f t="shared" si="41"/>
        <v>400.62150000000003</v>
      </c>
      <c r="L80" s="94">
        <f t="shared" si="42"/>
        <v>0</v>
      </c>
      <c r="M80" s="95" t="str">
        <f t="shared" si="43"/>
        <v/>
      </c>
      <c r="N80" s="63" t="str">
        <f t="shared" si="44"/>
        <v/>
      </c>
      <c r="O80" s="67" t="str">
        <f t="shared" si="45"/>
        <v/>
      </c>
      <c r="P80" s="91" t="str">
        <f t="shared" si="46"/>
        <v/>
      </c>
      <c r="Q80" s="66">
        <f t="shared" si="47"/>
        <v>0</v>
      </c>
      <c r="R80" s="96">
        <f t="shared" si="48"/>
        <v>0</v>
      </c>
      <c r="S80" s="97" t="str">
        <f t="shared" si="49"/>
        <v/>
      </c>
      <c r="U80" s="60">
        <f t="shared" si="50"/>
        <v>400.62150000000003</v>
      </c>
      <c r="V80" s="94">
        <f t="shared" si="51"/>
        <v>267280.84420403844</v>
      </c>
      <c r="W80" s="95" t="str">
        <f t="shared" si="52"/>
        <v/>
      </c>
      <c r="X80" s="63">
        <f t="shared" si="53"/>
        <v>0</v>
      </c>
      <c r="Y80" s="67" t="str">
        <f t="shared" si="54"/>
        <v/>
      </c>
      <c r="Z80" s="91" t="str">
        <f t="shared" si="55"/>
        <v/>
      </c>
      <c r="AA80" s="66">
        <f t="shared" si="56"/>
        <v>277059.76173770335</v>
      </c>
      <c r="AB80" s="96">
        <f t="shared" si="57"/>
        <v>9778.9175336649059</v>
      </c>
      <c r="AC80" s="97">
        <f t="shared" si="58"/>
        <v>3.6586675572604137E-2</v>
      </c>
      <c r="AD80" s="67">
        <f t="shared" si="59"/>
        <v>0</v>
      </c>
      <c r="AE80" s="66">
        <v>81713.936303749026</v>
      </c>
      <c r="AG80" s="16"/>
      <c r="AH80" s="16"/>
    </row>
    <row r="81" spans="2:34" x14ac:dyDescent="0.25">
      <c r="B81" s="91">
        <v>2084</v>
      </c>
      <c r="C81" s="67" t="s">
        <v>294</v>
      </c>
      <c r="D81" s="91" t="s">
        <v>142</v>
      </c>
      <c r="E81" s="92">
        <v>1752.0829000000001</v>
      </c>
      <c r="F81" s="92">
        <v>59.604999999999997</v>
      </c>
      <c r="G81" s="60">
        <f t="shared" si="40"/>
        <v>1811.6879000000001</v>
      </c>
      <c r="H81" s="93">
        <v>-74.486111111089997</v>
      </c>
      <c r="I81" s="93">
        <v>0</v>
      </c>
      <c r="J81" s="93">
        <v>0</v>
      </c>
      <c r="K81" s="60">
        <f t="shared" si="41"/>
        <v>1737.2017888889102</v>
      </c>
      <c r="L81" s="94">
        <f t="shared" si="42"/>
        <v>0</v>
      </c>
      <c r="M81" s="95" t="str">
        <f t="shared" si="43"/>
        <v/>
      </c>
      <c r="N81" s="63" t="str">
        <f t="shared" si="44"/>
        <v/>
      </c>
      <c r="O81" s="67" t="str">
        <f t="shared" si="45"/>
        <v/>
      </c>
      <c r="P81" s="91" t="str">
        <f t="shared" si="46"/>
        <v/>
      </c>
      <c r="Q81" s="66">
        <f t="shared" si="47"/>
        <v>0</v>
      </c>
      <c r="R81" s="96">
        <f t="shared" si="48"/>
        <v>0</v>
      </c>
      <c r="S81" s="97" t="str">
        <f t="shared" si="49"/>
        <v/>
      </c>
      <c r="U81" s="60">
        <f t="shared" si="50"/>
        <v>1737.2017888889102</v>
      </c>
      <c r="V81" s="94">
        <f t="shared" si="51"/>
        <v>1159001.1037525286</v>
      </c>
      <c r="W81" s="95" t="str">
        <f t="shared" si="52"/>
        <v/>
      </c>
      <c r="X81" s="63">
        <f t="shared" si="53"/>
        <v>0</v>
      </c>
      <c r="Y81" s="67" t="str">
        <f t="shared" si="54"/>
        <v/>
      </c>
      <c r="Z81" s="91" t="str">
        <f t="shared" si="55"/>
        <v/>
      </c>
      <c r="AA81" s="66">
        <f t="shared" si="56"/>
        <v>1201405.1011238126</v>
      </c>
      <c r="AB81" s="96">
        <f t="shared" si="57"/>
        <v>42403.997371284058</v>
      </c>
      <c r="AC81" s="97">
        <f t="shared" si="58"/>
        <v>3.6586675572604303E-2</v>
      </c>
      <c r="AD81" s="67">
        <f t="shared" si="59"/>
        <v>0</v>
      </c>
      <c r="AE81" s="66">
        <v>375862.60252703464</v>
      </c>
      <c r="AG81" s="16"/>
      <c r="AH81" s="16"/>
    </row>
    <row r="82" spans="2:34" x14ac:dyDescent="0.25">
      <c r="B82" s="91">
        <v>2241</v>
      </c>
      <c r="C82" s="67" t="s">
        <v>309</v>
      </c>
      <c r="D82" s="91" t="s">
        <v>107</v>
      </c>
      <c r="E82" s="92">
        <v>7555.6603999999998</v>
      </c>
      <c r="F82" s="92">
        <v>172.0675</v>
      </c>
      <c r="G82" s="60">
        <f t="shared" si="40"/>
        <v>7727.7278999999999</v>
      </c>
      <c r="H82" s="93">
        <v>0</v>
      </c>
      <c r="I82" s="93">
        <v>0</v>
      </c>
      <c r="J82" s="93">
        <v>0</v>
      </c>
      <c r="K82" s="60">
        <f t="shared" si="41"/>
        <v>7727.7278999999999</v>
      </c>
      <c r="L82" s="94">
        <f t="shared" si="42"/>
        <v>0</v>
      </c>
      <c r="M82" s="95" t="str">
        <f t="shared" si="43"/>
        <v/>
      </c>
      <c r="N82" s="63" t="str">
        <f t="shared" si="44"/>
        <v/>
      </c>
      <c r="O82" s="67" t="str">
        <f t="shared" si="45"/>
        <v/>
      </c>
      <c r="P82" s="91" t="str">
        <f t="shared" si="46"/>
        <v/>
      </c>
      <c r="Q82" s="66">
        <f t="shared" si="47"/>
        <v>0</v>
      </c>
      <c r="R82" s="96">
        <f t="shared" si="48"/>
        <v>0</v>
      </c>
      <c r="S82" s="97" t="str">
        <f t="shared" si="49"/>
        <v/>
      </c>
      <c r="U82" s="60">
        <f t="shared" si="50"/>
        <v>7727.7278999999999</v>
      </c>
      <c r="V82" s="94">
        <f t="shared" si="51"/>
        <v>5155673.4645821583</v>
      </c>
      <c r="W82" s="95" t="str">
        <f t="shared" si="52"/>
        <v/>
      </c>
      <c r="X82" s="63">
        <f t="shared" si="53"/>
        <v>0</v>
      </c>
      <c r="Y82" s="67" t="str">
        <f t="shared" si="54"/>
        <v/>
      </c>
      <c r="Z82" s="91" t="str">
        <f t="shared" si="55"/>
        <v/>
      </c>
      <c r="AA82" s="66">
        <f t="shared" si="56"/>
        <v>5344302.4169891095</v>
      </c>
      <c r="AB82" s="96">
        <f t="shared" si="57"/>
        <v>188628.95240695123</v>
      </c>
      <c r="AC82" s="97">
        <f t="shared" si="58"/>
        <v>3.6586675572604102E-2</v>
      </c>
      <c r="AD82" s="67">
        <f t="shared" si="59"/>
        <v>0</v>
      </c>
      <c r="AE82" s="66">
        <v>1631101.0707829837</v>
      </c>
      <c r="AG82" s="16"/>
      <c r="AH82" s="16"/>
    </row>
    <row r="83" spans="2:34" x14ac:dyDescent="0.25">
      <c r="B83" s="91">
        <v>2248</v>
      </c>
      <c r="C83" s="67" t="s">
        <v>310</v>
      </c>
      <c r="D83" s="91" t="s">
        <v>137</v>
      </c>
      <c r="E83" s="92">
        <v>855.52</v>
      </c>
      <c r="F83" s="92">
        <v>6.75</v>
      </c>
      <c r="G83" s="60">
        <f t="shared" si="40"/>
        <v>862.27</v>
      </c>
      <c r="H83" s="93">
        <v>-752.30553116767999</v>
      </c>
      <c r="I83" s="93">
        <v>0</v>
      </c>
      <c r="J83" s="93">
        <v>0</v>
      </c>
      <c r="K83" s="60">
        <f t="shared" si="41"/>
        <v>109.96446883231999</v>
      </c>
      <c r="L83" s="94">
        <f t="shared" si="42"/>
        <v>0</v>
      </c>
      <c r="M83" s="95" t="str">
        <f t="shared" si="43"/>
        <v/>
      </c>
      <c r="N83" s="63" t="str">
        <f t="shared" si="44"/>
        <v/>
      </c>
      <c r="O83" s="67" t="str">
        <f t="shared" si="45"/>
        <v/>
      </c>
      <c r="P83" s="91" t="str">
        <f t="shared" si="46"/>
        <v/>
      </c>
      <c r="Q83" s="66">
        <f t="shared" si="47"/>
        <v>0</v>
      </c>
      <c r="R83" s="96">
        <f t="shared" si="48"/>
        <v>0</v>
      </c>
      <c r="S83" s="97" t="str">
        <f t="shared" si="49"/>
        <v/>
      </c>
      <c r="U83" s="60">
        <f t="shared" si="50"/>
        <v>109.96446883231999</v>
      </c>
      <c r="V83" s="94">
        <f t="shared" si="51"/>
        <v>73364.500062905165</v>
      </c>
      <c r="W83" s="95" t="str">
        <f t="shared" si="52"/>
        <v/>
      </c>
      <c r="X83" s="63">
        <f t="shared" si="53"/>
        <v>0</v>
      </c>
      <c r="Y83" s="67" t="str">
        <f t="shared" si="54"/>
        <v/>
      </c>
      <c r="Z83" s="91" t="str">
        <f t="shared" si="55"/>
        <v/>
      </c>
      <c r="AA83" s="66">
        <f t="shared" si="56"/>
        <v>76048.663225252967</v>
      </c>
      <c r="AB83" s="96">
        <f t="shared" si="57"/>
        <v>2684.1631623478024</v>
      </c>
      <c r="AC83" s="97">
        <f t="shared" si="58"/>
        <v>3.6586675572604074E-2</v>
      </c>
      <c r="AD83" s="67">
        <f t="shared" si="59"/>
        <v>0</v>
      </c>
      <c r="AE83" s="66">
        <v>26506.378658985734</v>
      </c>
      <c r="AG83" s="16"/>
      <c r="AH83" s="16"/>
    </row>
    <row r="84" spans="2:34" x14ac:dyDescent="0.25">
      <c r="B84" s="6">
        <v>4040</v>
      </c>
      <c r="C84" s="6" t="s">
        <v>297</v>
      </c>
      <c r="D84" s="6" t="s">
        <v>324</v>
      </c>
      <c r="E84" s="92"/>
      <c r="F84" s="92"/>
      <c r="G84" s="60"/>
      <c r="H84" s="93"/>
      <c r="I84" s="93"/>
      <c r="J84" s="93"/>
      <c r="K84" s="60"/>
      <c r="L84" s="94"/>
      <c r="M84" s="95"/>
      <c r="N84" s="63"/>
      <c r="O84" s="67"/>
      <c r="P84" s="91"/>
      <c r="Q84" s="66"/>
      <c r="R84" s="96"/>
      <c r="S84" s="97"/>
      <c r="U84" s="60"/>
      <c r="V84" s="94"/>
      <c r="W84" s="95"/>
      <c r="X84" s="63"/>
      <c r="Y84" s="67"/>
      <c r="Z84" s="91"/>
      <c r="AA84" s="66"/>
      <c r="AB84" s="96"/>
      <c r="AC84" s="97"/>
      <c r="AD84" s="67"/>
      <c r="AE84" s="66">
        <v>88905.59451615563</v>
      </c>
      <c r="AG84" s="16"/>
      <c r="AH84" s="16"/>
    </row>
    <row r="85" spans="2:34" x14ac:dyDescent="0.25">
      <c r="B85" s="91">
        <v>2020</v>
      </c>
      <c r="C85" s="67" t="s">
        <v>287</v>
      </c>
      <c r="D85" s="91" t="s">
        <v>119</v>
      </c>
      <c r="E85" s="92">
        <v>486.46</v>
      </c>
      <c r="F85" s="92">
        <v>1</v>
      </c>
      <c r="G85" s="60">
        <f t="shared" ref="G85:G113" si="60">E85+F85</f>
        <v>487.46</v>
      </c>
      <c r="H85" s="93">
        <v>-432.52499999999998</v>
      </c>
      <c r="I85" s="93">
        <v>0</v>
      </c>
      <c r="J85" s="93">
        <v>0</v>
      </c>
      <c r="K85" s="60">
        <f t="shared" ref="K85:K113" si="61">$G85+$H85+$I85+$J85</f>
        <v>54.935000000000002</v>
      </c>
      <c r="L85" s="94">
        <f t="shared" ref="L85:L113" si="62">K85*$D$16</f>
        <v>0</v>
      </c>
      <c r="M85" s="95" t="str">
        <f t="shared" ref="M85:M113" si="63">IF(K85=0,"",IF(K85&lt;$W$16,"Yes",""))</f>
        <v/>
      </c>
      <c r="N85" s="63" t="str">
        <f t="shared" ref="N85:N113" si="64">IF(K85=0,"",IF(K85&lt;$W$16,$W$16-K85,""))</f>
        <v/>
      </c>
      <c r="O85" s="67" t="str">
        <f t="shared" ref="O85:O113" si="65">IF(K85=0,"",IF(K85&lt;$M$16,(K85+N85)*$Q$16,""))</f>
        <v/>
      </c>
      <c r="P85" s="91" t="str">
        <f t="shared" ref="P85:P113" si="66">IF(K85=0,"",IF(K85&lt;$W$16,(K85+N85),""))</f>
        <v/>
      </c>
      <c r="Q85" s="66">
        <f t="shared" ref="Q85:Q113" si="67">MAX(O85,(K85*$Q$16))</f>
        <v>0</v>
      </c>
      <c r="R85" s="96">
        <f t="shared" ref="R85:R113" si="68">IF(Q85=0,0,(Q85-L85))</f>
        <v>0</v>
      </c>
      <c r="S85" s="97" t="str">
        <f t="shared" ref="S85:S113" si="69">IF(R85=0,"",(R85/L85))</f>
        <v/>
      </c>
      <c r="U85" s="60">
        <f t="shared" ref="U85:U113" si="70">$G85+$H85+$I85+$J85</f>
        <v>54.935000000000002</v>
      </c>
      <c r="V85" s="94">
        <f t="shared" ref="V85:V113" si="71">U85*$E$16</f>
        <v>36650.736858478267</v>
      </c>
      <c r="W85" s="95" t="str">
        <f t="shared" ref="W85:W113" si="72">IF(U85=0,"",IF(U85&lt;$W$16,"Yes",""))</f>
        <v/>
      </c>
      <c r="X85" s="63">
        <f t="shared" ref="X85:X113" si="73">IF(U85=0,0,IF(U85&lt;$W$16,$W$16-U85,0))</f>
        <v>0</v>
      </c>
      <c r="Y85" s="67" t="str">
        <f t="shared" ref="Y85:Y113" si="74">IF(U85=0,"",IF(U85&lt;$W$16,(U85+X85)*$AA$16,""))</f>
        <v/>
      </c>
      <c r="Z85" s="91" t="str">
        <f t="shared" ref="Z85:Z113" si="75">IF(U85=0,"",IF(U85&lt;$W$16,(U85+X85),""))</f>
        <v/>
      </c>
      <c r="AA85" s="66">
        <f t="shared" ref="AA85:AA113" si="76">MAX(Y85,(U85*$AA$16))</f>
        <v>37991.665477416296</v>
      </c>
      <c r="AB85" s="96">
        <f t="shared" ref="AB85:AB113" si="77">IF(AA85=0,"",(AA85-V85))</f>
        <v>1340.9286189380291</v>
      </c>
      <c r="AC85" s="97">
        <f t="shared" ref="AC85:AC113" si="78">IF(AB85="","",(AB85/V85))</f>
        <v>3.6586675572604144E-2</v>
      </c>
      <c r="AD85" s="67">
        <f t="shared" ref="AD85:AD113" si="79">IF(AA85=0,0,(U85+X85)/$AA$14)*$E$13</f>
        <v>0</v>
      </c>
      <c r="AE85" s="66">
        <v>11444.478494085606</v>
      </c>
      <c r="AG85" s="16"/>
      <c r="AH85" s="16"/>
    </row>
    <row r="86" spans="2:34" x14ac:dyDescent="0.25">
      <c r="B86" s="91">
        <v>2245</v>
      </c>
      <c r="C86" s="67" t="s">
        <v>309</v>
      </c>
      <c r="D86" s="91" t="s">
        <v>138</v>
      </c>
      <c r="E86" s="92">
        <v>745.23040000000003</v>
      </c>
      <c r="F86" s="92">
        <v>17.25</v>
      </c>
      <c r="G86" s="60">
        <f t="shared" si="60"/>
        <v>762.48040000000003</v>
      </c>
      <c r="H86" s="93">
        <v>0</v>
      </c>
      <c r="I86" s="93">
        <v>0</v>
      </c>
      <c r="J86" s="93">
        <v>0</v>
      </c>
      <c r="K86" s="60">
        <f t="shared" si="61"/>
        <v>762.48040000000003</v>
      </c>
      <c r="L86" s="94">
        <f t="shared" si="62"/>
        <v>0</v>
      </c>
      <c r="M86" s="95" t="str">
        <f t="shared" si="63"/>
        <v/>
      </c>
      <c r="N86" s="63" t="str">
        <f t="shared" si="64"/>
        <v/>
      </c>
      <c r="O86" s="67" t="str">
        <f t="shared" si="65"/>
        <v/>
      </c>
      <c r="P86" s="91" t="str">
        <f t="shared" si="66"/>
        <v/>
      </c>
      <c r="Q86" s="66">
        <f t="shared" si="67"/>
        <v>0</v>
      </c>
      <c r="R86" s="96">
        <f t="shared" si="68"/>
        <v>0</v>
      </c>
      <c r="S86" s="97" t="str">
        <f t="shared" si="69"/>
        <v/>
      </c>
      <c r="U86" s="60">
        <f t="shared" si="70"/>
        <v>762.48040000000003</v>
      </c>
      <c r="V86" s="94">
        <f t="shared" si="71"/>
        <v>508700.61891594162</v>
      </c>
      <c r="W86" s="95" t="str">
        <f t="shared" si="72"/>
        <v/>
      </c>
      <c r="X86" s="63">
        <f t="shared" si="73"/>
        <v>0</v>
      </c>
      <c r="Y86" s="67" t="str">
        <f t="shared" si="74"/>
        <v/>
      </c>
      <c r="Z86" s="91" t="str">
        <f t="shared" si="75"/>
        <v/>
      </c>
      <c r="AA86" s="66">
        <f t="shared" si="76"/>
        <v>527312.28342380212</v>
      </c>
      <c r="AB86" s="96">
        <f t="shared" si="77"/>
        <v>18611.664507860492</v>
      </c>
      <c r="AC86" s="97">
        <f t="shared" si="78"/>
        <v>3.6586675572604144E-2</v>
      </c>
      <c r="AD86" s="67">
        <f t="shared" si="79"/>
        <v>0</v>
      </c>
      <c r="AE86" s="66">
        <v>160901.91649130321</v>
      </c>
      <c r="AG86" s="16"/>
      <c r="AH86" s="16"/>
    </row>
    <row r="87" spans="2:34" x14ac:dyDescent="0.25">
      <c r="B87" s="91">
        <v>2137</v>
      </c>
      <c r="C87" s="67" t="s">
        <v>299</v>
      </c>
      <c r="D87" s="91" t="s">
        <v>60</v>
      </c>
      <c r="E87" s="92">
        <v>1631.8616</v>
      </c>
      <c r="F87" s="92">
        <v>49.494999999999997</v>
      </c>
      <c r="G87" s="60">
        <f t="shared" si="60"/>
        <v>1681.3565999999998</v>
      </c>
      <c r="H87" s="93">
        <v>-301.952054794422</v>
      </c>
      <c r="I87" s="93">
        <v>0</v>
      </c>
      <c r="J87" s="93">
        <v>0</v>
      </c>
      <c r="K87" s="60">
        <f t="shared" si="61"/>
        <v>1379.404545205578</v>
      </c>
      <c r="L87" s="94">
        <f t="shared" si="62"/>
        <v>0</v>
      </c>
      <c r="M87" s="95" t="str">
        <f t="shared" si="63"/>
        <v/>
      </c>
      <c r="N87" s="63" t="str">
        <f t="shared" si="64"/>
        <v/>
      </c>
      <c r="O87" s="67" t="str">
        <f t="shared" si="65"/>
        <v/>
      </c>
      <c r="P87" s="91" t="str">
        <f t="shared" si="66"/>
        <v/>
      </c>
      <c r="Q87" s="66">
        <f t="shared" si="67"/>
        <v>0</v>
      </c>
      <c r="R87" s="96">
        <f t="shared" si="68"/>
        <v>0</v>
      </c>
      <c r="S87" s="97" t="str">
        <f t="shared" si="69"/>
        <v/>
      </c>
      <c r="U87" s="60">
        <f t="shared" si="70"/>
        <v>1379.404545205578</v>
      </c>
      <c r="V87" s="94">
        <f t="shared" si="71"/>
        <v>920291.12601653824</v>
      </c>
      <c r="W87" s="95" t="str">
        <f t="shared" si="72"/>
        <v/>
      </c>
      <c r="X87" s="63">
        <f t="shared" si="73"/>
        <v>0</v>
      </c>
      <c r="Y87" s="67" t="str">
        <f t="shared" si="74"/>
        <v/>
      </c>
      <c r="Z87" s="91" t="str">
        <f t="shared" si="75"/>
        <v/>
      </c>
      <c r="AA87" s="66">
        <f t="shared" si="76"/>
        <v>953961.51887645188</v>
      </c>
      <c r="AB87" s="96">
        <f t="shared" si="77"/>
        <v>33670.392859913642</v>
      </c>
      <c r="AC87" s="97">
        <f t="shared" si="78"/>
        <v>3.6586675572604144E-2</v>
      </c>
      <c r="AD87" s="67">
        <f t="shared" si="79"/>
        <v>0</v>
      </c>
      <c r="AE87" s="66">
        <v>302606.90833814291</v>
      </c>
      <c r="AG87" s="16"/>
      <c r="AH87" s="16"/>
    </row>
    <row r="88" spans="2:34" x14ac:dyDescent="0.25">
      <c r="B88" s="91">
        <v>1931</v>
      </c>
      <c r="C88" s="67" t="s">
        <v>277</v>
      </c>
      <c r="D88" s="91" t="s">
        <v>94</v>
      </c>
      <c r="E88" s="92">
        <v>2404.0812000000001</v>
      </c>
      <c r="F88" s="92">
        <v>62.25</v>
      </c>
      <c r="G88" s="60">
        <f t="shared" si="60"/>
        <v>2466.3312000000001</v>
      </c>
      <c r="H88" s="93">
        <v>0</v>
      </c>
      <c r="I88" s="93">
        <v>0</v>
      </c>
      <c r="J88" s="93">
        <v>0</v>
      </c>
      <c r="K88" s="60">
        <f t="shared" si="61"/>
        <v>2466.3312000000001</v>
      </c>
      <c r="L88" s="94">
        <f t="shared" si="62"/>
        <v>0</v>
      </c>
      <c r="M88" s="95" t="str">
        <f t="shared" si="63"/>
        <v/>
      </c>
      <c r="N88" s="63" t="str">
        <f t="shared" si="64"/>
        <v/>
      </c>
      <c r="O88" s="67" t="str">
        <f t="shared" si="65"/>
        <v/>
      </c>
      <c r="P88" s="91" t="str">
        <f t="shared" si="66"/>
        <v/>
      </c>
      <c r="Q88" s="66">
        <f t="shared" si="67"/>
        <v>0</v>
      </c>
      <c r="R88" s="96">
        <f t="shared" si="68"/>
        <v>0</v>
      </c>
      <c r="S88" s="97" t="str">
        <f t="shared" si="69"/>
        <v/>
      </c>
      <c r="U88" s="60">
        <f t="shared" si="70"/>
        <v>2466.3312000000001</v>
      </c>
      <c r="V88" s="94">
        <f t="shared" si="71"/>
        <v>1645451.0934204957</v>
      </c>
      <c r="W88" s="95" t="str">
        <f t="shared" si="72"/>
        <v/>
      </c>
      <c r="X88" s="63">
        <f t="shared" si="73"/>
        <v>0</v>
      </c>
      <c r="Y88" s="67" t="str">
        <f t="shared" si="74"/>
        <v/>
      </c>
      <c r="Z88" s="91" t="str">
        <f t="shared" si="75"/>
        <v/>
      </c>
      <c r="AA88" s="66">
        <f t="shared" si="76"/>
        <v>1705652.6787460584</v>
      </c>
      <c r="AB88" s="96">
        <f t="shared" si="77"/>
        <v>60201.585325562628</v>
      </c>
      <c r="AC88" s="97">
        <f t="shared" si="78"/>
        <v>3.6586675572604262E-2</v>
      </c>
      <c r="AD88" s="67">
        <f t="shared" si="79"/>
        <v>0</v>
      </c>
      <c r="AE88" s="66">
        <v>508626.8317630543</v>
      </c>
      <c r="AG88" s="16"/>
      <c r="AH88" s="16"/>
    </row>
    <row r="89" spans="2:34" x14ac:dyDescent="0.25">
      <c r="B89" s="91">
        <v>2000</v>
      </c>
      <c r="C89" s="67" t="s">
        <v>284</v>
      </c>
      <c r="D89" s="91" t="s">
        <v>72</v>
      </c>
      <c r="E89" s="92">
        <v>468.75459999999998</v>
      </c>
      <c r="F89" s="92">
        <v>11.24</v>
      </c>
      <c r="G89" s="60">
        <f t="shared" si="60"/>
        <v>479.99459999999999</v>
      </c>
      <c r="H89" s="93">
        <v>0</v>
      </c>
      <c r="I89" s="93">
        <v>0</v>
      </c>
      <c r="J89" s="93">
        <v>0</v>
      </c>
      <c r="K89" s="60">
        <f t="shared" si="61"/>
        <v>479.99459999999999</v>
      </c>
      <c r="L89" s="94">
        <f t="shared" si="62"/>
        <v>0</v>
      </c>
      <c r="M89" s="95" t="str">
        <f t="shared" si="63"/>
        <v/>
      </c>
      <c r="N89" s="63" t="str">
        <f t="shared" si="64"/>
        <v/>
      </c>
      <c r="O89" s="67" t="str">
        <f t="shared" si="65"/>
        <v/>
      </c>
      <c r="P89" s="91" t="str">
        <f t="shared" si="66"/>
        <v/>
      </c>
      <c r="Q89" s="66">
        <f t="shared" si="67"/>
        <v>0</v>
      </c>
      <c r="R89" s="96">
        <f t="shared" si="68"/>
        <v>0</v>
      </c>
      <c r="S89" s="97" t="str">
        <f t="shared" si="69"/>
        <v/>
      </c>
      <c r="U89" s="60">
        <f t="shared" si="70"/>
        <v>479.99459999999999</v>
      </c>
      <c r="V89" s="94">
        <f t="shared" si="71"/>
        <v>320235.83831966016</v>
      </c>
      <c r="W89" s="95" t="str">
        <f t="shared" si="72"/>
        <v/>
      </c>
      <c r="X89" s="63">
        <f t="shared" si="73"/>
        <v>0</v>
      </c>
      <c r="Y89" s="67" t="str">
        <f t="shared" si="74"/>
        <v/>
      </c>
      <c r="Z89" s="91" t="str">
        <f t="shared" si="75"/>
        <v/>
      </c>
      <c r="AA89" s="66">
        <f t="shared" si="76"/>
        <v>331952.2030429825</v>
      </c>
      <c r="AB89" s="96">
        <f t="shared" si="77"/>
        <v>11716.364723322331</v>
      </c>
      <c r="AC89" s="97">
        <f t="shared" si="78"/>
        <v>3.6586675572604178E-2</v>
      </c>
      <c r="AD89" s="67">
        <f t="shared" si="79"/>
        <v>0</v>
      </c>
      <c r="AE89" s="66">
        <v>102962.03470513111</v>
      </c>
      <c r="AG89" s="16"/>
      <c r="AH89" s="16"/>
    </row>
    <row r="90" spans="2:34" x14ac:dyDescent="0.25">
      <c r="B90" s="91">
        <v>1992</v>
      </c>
      <c r="C90" s="67" t="s">
        <v>284</v>
      </c>
      <c r="D90" s="91" t="s">
        <v>140</v>
      </c>
      <c r="E90" s="92">
        <v>950.58159999999998</v>
      </c>
      <c r="F90" s="92">
        <v>41.75</v>
      </c>
      <c r="G90" s="60">
        <f t="shared" si="60"/>
        <v>992.33159999999998</v>
      </c>
      <c r="H90" s="93">
        <v>0</v>
      </c>
      <c r="I90" s="93">
        <v>0</v>
      </c>
      <c r="J90" s="93">
        <v>0</v>
      </c>
      <c r="K90" s="60">
        <f t="shared" si="61"/>
        <v>992.33159999999998</v>
      </c>
      <c r="L90" s="94">
        <f t="shared" si="62"/>
        <v>0</v>
      </c>
      <c r="M90" s="95" t="str">
        <f t="shared" si="63"/>
        <v/>
      </c>
      <c r="N90" s="63" t="str">
        <f t="shared" si="64"/>
        <v/>
      </c>
      <c r="O90" s="67" t="str">
        <f t="shared" si="65"/>
        <v/>
      </c>
      <c r="P90" s="91" t="str">
        <f t="shared" si="66"/>
        <v/>
      </c>
      <c r="Q90" s="66">
        <f t="shared" si="67"/>
        <v>0</v>
      </c>
      <c r="R90" s="96">
        <f t="shared" si="68"/>
        <v>0</v>
      </c>
      <c r="S90" s="97" t="str">
        <f t="shared" si="69"/>
        <v/>
      </c>
      <c r="U90" s="60">
        <f t="shared" si="70"/>
        <v>992.33159999999998</v>
      </c>
      <c r="V90" s="94">
        <f t="shared" si="71"/>
        <v>662049.41017480136</v>
      </c>
      <c r="W90" s="95" t="str">
        <f t="shared" si="72"/>
        <v/>
      </c>
      <c r="X90" s="63">
        <f t="shared" si="73"/>
        <v>0</v>
      </c>
      <c r="Y90" s="67" t="str">
        <f t="shared" si="74"/>
        <v/>
      </c>
      <c r="Z90" s="91" t="str">
        <f t="shared" si="75"/>
        <v/>
      </c>
      <c r="AA90" s="66">
        <f t="shared" si="76"/>
        <v>686271.59715790069</v>
      </c>
      <c r="AB90" s="96">
        <f t="shared" si="77"/>
        <v>24222.186983099324</v>
      </c>
      <c r="AC90" s="97">
        <f t="shared" si="78"/>
        <v>3.6586675572604047E-2</v>
      </c>
      <c r="AD90" s="67">
        <f t="shared" si="79"/>
        <v>0</v>
      </c>
      <c r="AE90" s="66">
        <v>211614.98001923744</v>
      </c>
      <c r="AG90" s="16"/>
      <c r="AH90" s="16"/>
    </row>
    <row r="91" spans="2:34" x14ac:dyDescent="0.25">
      <c r="B91" s="91">
        <v>2054</v>
      </c>
      <c r="C91" s="67" t="s">
        <v>291</v>
      </c>
      <c r="D91" s="91" t="s">
        <v>185</v>
      </c>
      <c r="E91" s="92">
        <v>7131.8913000000002</v>
      </c>
      <c r="F91" s="92">
        <v>297.15249999999997</v>
      </c>
      <c r="G91" s="60">
        <f t="shared" si="60"/>
        <v>7429.0438000000004</v>
      </c>
      <c r="H91" s="93">
        <v>0</v>
      </c>
      <c r="I91" s="93">
        <v>0</v>
      </c>
      <c r="J91" s="93">
        <v>0</v>
      </c>
      <c r="K91" s="60">
        <f t="shared" si="61"/>
        <v>7429.0438000000004</v>
      </c>
      <c r="L91" s="94">
        <f t="shared" si="62"/>
        <v>0</v>
      </c>
      <c r="M91" s="95" t="str">
        <f t="shared" si="63"/>
        <v/>
      </c>
      <c r="N91" s="63" t="str">
        <f t="shared" si="64"/>
        <v/>
      </c>
      <c r="O91" s="67" t="str">
        <f t="shared" si="65"/>
        <v/>
      </c>
      <c r="P91" s="91" t="str">
        <f t="shared" si="66"/>
        <v/>
      </c>
      <c r="Q91" s="66">
        <f t="shared" si="67"/>
        <v>0</v>
      </c>
      <c r="R91" s="96">
        <f t="shared" si="68"/>
        <v>0</v>
      </c>
      <c r="S91" s="97" t="str">
        <f t="shared" si="69"/>
        <v/>
      </c>
      <c r="U91" s="60">
        <f t="shared" si="70"/>
        <v>7429.0438000000004</v>
      </c>
      <c r="V91" s="94">
        <f t="shared" si="71"/>
        <v>4956401.7370330291</v>
      </c>
      <c r="W91" s="95" t="str">
        <f t="shared" si="72"/>
        <v/>
      </c>
      <c r="X91" s="63">
        <f t="shared" si="73"/>
        <v>0</v>
      </c>
      <c r="Y91" s="67" t="str">
        <f t="shared" si="74"/>
        <v/>
      </c>
      <c r="Z91" s="91" t="str">
        <f t="shared" si="75"/>
        <v/>
      </c>
      <c r="AA91" s="66">
        <f t="shared" si="76"/>
        <v>5137739.9993933486</v>
      </c>
      <c r="AB91" s="96">
        <f t="shared" si="77"/>
        <v>181338.2623603195</v>
      </c>
      <c r="AC91" s="97">
        <f t="shared" si="78"/>
        <v>3.6586675572604227E-2</v>
      </c>
      <c r="AD91" s="67">
        <f t="shared" si="79"/>
        <v>0</v>
      </c>
      <c r="AE91" s="66">
        <v>1577569.7634128833</v>
      </c>
      <c r="AG91" s="16"/>
      <c r="AH91" s="16"/>
    </row>
    <row r="92" spans="2:34" x14ac:dyDescent="0.25">
      <c r="B92" s="91">
        <v>2100</v>
      </c>
      <c r="C92" s="67" t="s">
        <v>296</v>
      </c>
      <c r="D92" s="91" t="s">
        <v>50</v>
      </c>
      <c r="E92" s="92">
        <v>11167.707700000001</v>
      </c>
      <c r="F92" s="92">
        <v>323.26749999999998</v>
      </c>
      <c r="G92" s="60">
        <f t="shared" si="60"/>
        <v>11490.975200000001</v>
      </c>
      <c r="H92" s="93">
        <v>0</v>
      </c>
      <c r="I92" s="93">
        <v>0</v>
      </c>
      <c r="J92" s="93">
        <v>0</v>
      </c>
      <c r="K92" s="60">
        <f t="shared" si="61"/>
        <v>11490.975200000001</v>
      </c>
      <c r="L92" s="94">
        <f t="shared" si="62"/>
        <v>0</v>
      </c>
      <c r="M92" s="95" t="str">
        <f t="shared" si="63"/>
        <v/>
      </c>
      <c r="N92" s="63" t="str">
        <f t="shared" si="64"/>
        <v/>
      </c>
      <c r="O92" s="67" t="str">
        <f t="shared" si="65"/>
        <v/>
      </c>
      <c r="P92" s="91" t="str">
        <f t="shared" si="66"/>
        <v/>
      </c>
      <c r="Q92" s="66">
        <f t="shared" si="67"/>
        <v>0</v>
      </c>
      <c r="R92" s="96">
        <f t="shared" si="68"/>
        <v>0</v>
      </c>
      <c r="S92" s="97" t="str">
        <f t="shared" si="69"/>
        <v/>
      </c>
      <c r="U92" s="60">
        <f t="shared" si="70"/>
        <v>11490.975200000001</v>
      </c>
      <c r="V92" s="94">
        <f t="shared" si="71"/>
        <v>7666382.2390552415</v>
      </c>
      <c r="W92" s="95" t="str">
        <f t="shared" si="72"/>
        <v/>
      </c>
      <c r="X92" s="63">
        <f t="shared" si="73"/>
        <v>0</v>
      </c>
      <c r="Y92" s="67" t="str">
        <f t="shared" si="74"/>
        <v/>
      </c>
      <c r="Z92" s="91" t="str">
        <f t="shared" si="75"/>
        <v/>
      </c>
      <c r="AA92" s="66">
        <f t="shared" si="76"/>
        <v>7946869.6788511304</v>
      </c>
      <c r="AB92" s="96">
        <f t="shared" si="77"/>
        <v>280487.43979588896</v>
      </c>
      <c r="AC92" s="97">
        <f t="shared" si="78"/>
        <v>3.6586675572604185E-2</v>
      </c>
      <c r="AD92" s="67">
        <f t="shared" si="79"/>
        <v>0</v>
      </c>
      <c r="AE92" s="66">
        <v>2397156.3376114257</v>
      </c>
      <c r="AG92" s="16"/>
      <c r="AH92" s="16"/>
    </row>
    <row r="93" spans="2:34" x14ac:dyDescent="0.25">
      <c r="B93" s="91">
        <v>2183</v>
      </c>
      <c r="C93" s="67" t="s">
        <v>301</v>
      </c>
      <c r="D93" s="91" t="s">
        <v>48</v>
      </c>
      <c r="E93" s="92">
        <v>14402.207899999999</v>
      </c>
      <c r="F93" s="92">
        <v>420.97750000000002</v>
      </c>
      <c r="G93" s="60">
        <f t="shared" si="60"/>
        <v>14823.1854</v>
      </c>
      <c r="H93" s="93">
        <v>-519.93028809588975</v>
      </c>
      <c r="I93" s="93">
        <v>0</v>
      </c>
      <c r="J93" s="93">
        <v>0</v>
      </c>
      <c r="K93" s="60">
        <f t="shared" si="61"/>
        <v>14303.255111904111</v>
      </c>
      <c r="L93" s="94">
        <f t="shared" si="62"/>
        <v>0</v>
      </c>
      <c r="M93" s="95" t="str">
        <f t="shared" si="63"/>
        <v/>
      </c>
      <c r="N93" s="63" t="str">
        <f t="shared" si="64"/>
        <v/>
      </c>
      <c r="O93" s="67" t="str">
        <f t="shared" si="65"/>
        <v/>
      </c>
      <c r="P93" s="91" t="str">
        <f t="shared" si="66"/>
        <v/>
      </c>
      <c r="Q93" s="66">
        <f t="shared" si="67"/>
        <v>0</v>
      </c>
      <c r="R93" s="96">
        <f t="shared" si="68"/>
        <v>0</v>
      </c>
      <c r="S93" s="97" t="str">
        <f t="shared" si="69"/>
        <v/>
      </c>
      <c r="U93" s="60">
        <f t="shared" si="70"/>
        <v>14303.255111904111</v>
      </c>
      <c r="V93" s="94">
        <f t="shared" si="71"/>
        <v>9542638.3785579633</v>
      </c>
      <c r="W93" s="95" t="str">
        <f t="shared" si="72"/>
        <v/>
      </c>
      <c r="X93" s="63">
        <f t="shared" si="73"/>
        <v>0</v>
      </c>
      <c r="Y93" s="67" t="str">
        <f t="shared" si="74"/>
        <v/>
      </c>
      <c r="Z93" s="91" t="str">
        <f t="shared" si="75"/>
        <v/>
      </c>
      <c r="AA93" s="66">
        <f t="shared" si="76"/>
        <v>9891771.793020945</v>
      </c>
      <c r="AB93" s="96">
        <f t="shared" si="77"/>
        <v>349133.41446298175</v>
      </c>
      <c r="AC93" s="97">
        <f t="shared" si="78"/>
        <v>3.6586675572604171E-2</v>
      </c>
      <c r="AD93" s="67">
        <f t="shared" si="79"/>
        <v>0</v>
      </c>
      <c r="AE93" s="66">
        <v>2977716.155219553</v>
      </c>
      <c r="AG93" s="16"/>
      <c r="AH93" s="16"/>
    </row>
    <row r="94" spans="2:34" x14ac:dyDescent="0.25">
      <c r="B94" s="91">
        <v>2014</v>
      </c>
      <c r="C94" s="67" t="s">
        <v>287</v>
      </c>
      <c r="D94" s="91" t="s">
        <v>187</v>
      </c>
      <c r="E94" s="92">
        <v>1095.5255</v>
      </c>
      <c r="F94" s="92">
        <v>47.08</v>
      </c>
      <c r="G94" s="60">
        <f t="shared" si="60"/>
        <v>1142.6054999999999</v>
      </c>
      <c r="H94" s="93">
        <v>0</v>
      </c>
      <c r="I94" s="93">
        <v>0</v>
      </c>
      <c r="J94" s="93">
        <v>0</v>
      </c>
      <c r="K94" s="60">
        <f t="shared" si="61"/>
        <v>1142.6054999999999</v>
      </c>
      <c r="L94" s="94">
        <f t="shared" si="62"/>
        <v>0</v>
      </c>
      <c r="M94" s="95" t="str">
        <f t="shared" si="63"/>
        <v/>
      </c>
      <c r="N94" s="63" t="str">
        <f t="shared" si="64"/>
        <v/>
      </c>
      <c r="O94" s="67" t="str">
        <f t="shared" si="65"/>
        <v/>
      </c>
      <c r="P94" s="91" t="str">
        <f t="shared" si="66"/>
        <v/>
      </c>
      <c r="Q94" s="66">
        <f t="shared" si="67"/>
        <v>0</v>
      </c>
      <c r="R94" s="96">
        <f t="shared" si="68"/>
        <v>0</v>
      </c>
      <c r="S94" s="97" t="str">
        <f t="shared" si="69"/>
        <v/>
      </c>
      <c r="U94" s="60">
        <f t="shared" si="70"/>
        <v>1142.6054999999999</v>
      </c>
      <c r="V94" s="94">
        <f t="shared" si="71"/>
        <v>762306.9721225081</v>
      </c>
      <c r="W94" s="95" t="str">
        <f t="shared" si="72"/>
        <v/>
      </c>
      <c r="X94" s="63">
        <f t="shared" si="73"/>
        <v>0</v>
      </c>
      <c r="Y94" s="67" t="str">
        <f t="shared" si="74"/>
        <v/>
      </c>
      <c r="Z94" s="91" t="str">
        <f t="shared" si="75"/>
        <v/>
      </c>
      <c r="AA94" s="66">
        <f t="shared" si="76"/>
        <v>790197.24999828858</v>
      </c>
      <c r="AB94" s="96">
        <f t="shared" si="77"/>
        <v>27890.277875780477</v>
      </c>
      <c r="AC94" s="97">
        <f t="shared" si="78"/>
        <v>3.6586675572604255E-2</v>
      </c>
      <c r="AD94" s="67">
        <f t="shared" si="79"/>
        <v>0</v>
      </c>
      <c r="AE94" s="66">
        <v>239061.34362230025</v>
      </c>
      <c r="AG94" s="16"/>
      <c r="AH94" s="16"/>
    </row>
    <row r="95" spans="2:34" x14ac:dyDescent="0.25">
      <c r="B95" s="91">
        <v>2015</v>
      </c>
      <c r="C95" s="67" t="s">
        <v>287</v>
      </c>
      <c r="D95" s="91" t="s">
        <v>143</v>
      </c>
      <c r="E95" s="92">
        <v>465.08</v>
      </c>
      <c r="F95" s="92">
        <v>2.5</v>
      </c>
      <c r="G95" s="60">
        <f t="shared" si="60"/>
        <v>467.58</v>
      </c>
      <c r="H95" s="93">
        <v>-261.106129563259</v>
      </c>
      <c r="I95" s="93">
        <v>0</v>
      </c>
      <c r="J95" s="93">
        <v>0</v>
      </c>
      <c r="K95" s="60">
        <f t="shared" si="61"/>
        <v>206.47387043674098</v>
      </c>
      <c r="L95" s="94">
        <f t="shared" si="62"/>
        <v>0</v>
      </c>
      <c r="M95" s="95" t="str">
        <f t="shared" si="63"/>
        <v/>
      </c>
      <c r="N95" s="63" t="str">
        <f t="shared" si="64"/>
        <v/>
      </c>
      <c r="O95" s="67" t="str">
        <f t="shared" si="65"/>
        <v/>
      </c>
      <c r="P95" s="91" t="str">
        <f t="shared" si="66"/>
        <v/>
      </c>
      <c r="Q95" s="66">
        <f t="shared" si="67"/>
        <v>0</v>
      </c>
      <c r="R95" s="96">
        <f t="shared" si="68"/>
        <v>0</v>
      </c>
      <c r="S95" s="97" t="str">
        <f t="shared" si="69"/>
        <v/>
      </c>
      <c r="U95" s="60">
        <f t="shared" si="70"/>
        <v>206.47387043674098</v>
      </c>
      <c r="V95" s="94">
        <f t="shared" si="71"/>
        <v>137752.24344276925</v>
      </c>
      <c r="W95" s="95" t="str">
        <f t="shared" si="72"/>
        <v/>
      </c>
      <c r="X95" s="63">
        <f t="shared" si="73"/>
        <v>0</v>
      </c>
      <c r="Y95" s="67" t="str">
        <f t="shared" si="74"/>
        <v/>
      </c>
      <c r="Z95" s="91" t="str">
        <f t="shared" si="75"/>
        <v/>
      </c>
      <c r="AA95" s="66">
        <f t="shared" si="76"/>
        <v>142792.14008300824</v>
      </c>
      <c r="AB95" s="96">
        <f t="shared" si="77"/>
        <v>5039.8966402389924</v>
      </c>
      <c r="AC95" s="97">
        <f t="shared" si="78"/>
        <v>3.6586675572604199E-2</v>
      </c>
      <c r="AD95" s="67">
        <f t="shared" si="79"/>
        <v>0</v>
      </c>
      <c r="AE95" s="66">
        <v>54332.40031928075</v>
      </c>
      <c r="AG95" s="16"/>
      <c r="AH95" s="16"/>
    </row>
    <row r="96" spans="2:34" x14ac:dyDescent="0.25">
      <c r="B96" s="91">
        <v>2023</v>
      </c>
      <c r="C96" s="67" t="s">
        <v>287</v>
      </c>
      <c r="D96" s="91" t="s">
        <v>144</v>
      </c>
      <c r="E96" s="92">
        <v>136.345</v>
      </c>
      <c r="F96" s="92">
        <v>3.1549999999999998</v>
      </c>
      <c r="G96" s="60">
        <f t="shared" si="60"/>
        <v>139.5</v>
      </c>
      <c r="H96" s="93">
        <v>0</v>
      </c>
      <c r="I96" s="93">
        <v>0</v>
      </c>
      <c r="J96" s="93">
        <v>0</v>
      </c>
      <c r="K96" s="60">
        <f t="shared" si="61"/>
        <v>139.5</v>
      </c>
      <c r="L96" s="94">
        <f t="shared" si="62"/>
        <v>0</v>
      </c>
      <c r="M96" s="95" t="str">
        <f t="shared" si="63"/>
        <v/>
      </c>
      <c r="N96" s="63" t="str">
        <f t="shared" si="64"/>
        <v/>
      </c>
      <c r="O96" s="67" t="str">
        <f t="shared" si="65"/>
        <v/>
      </c>
      <c r="P96" s="91" t="str">
        <f t="shared" si="66"/>
        <v/>
      </c>
      <c r="Q96" s="66">
        <f t="shared" si="67"/>
        <v>0</v>
      </c>
      <c r="R96" s="96">
        <f t="shared" si="68"/>
        <v>0</v>
      </c>
      <c r="S96" s="97" t="str">
        <f t="shared" si="69"/>
        <v/>
      </c>
      <c r="U96" s="60">
        <f t="shared" si="70"/>
        <v>139.5</v>
      </c>
      <c r="V96" s="94">
        <f t="shared" si="71"/>
        <v>93069.587544511116</v>
      </c>
      <c r="W96" s="95" t="str">
        <f t="shared" si="72"/>
        <v/>
      </c>
      <c r="X96" s="63">
        <f t="shared" si="73"/>
        <v>0</v>
      </c>
      <c r="Y96" s="67" t="str">
        <f t="shared" si="74"/>
        <v/>
      </c>
      <c r="Z96" s="91" t="str">
        <f t="shared" si="75"/>
        <v/>
      </c>
      <c r="AA96" s="66">
        <f t="shared" si="76"/>
        <v>96474.694349678233</v>
      </c>
      <c r="AB96" s="96">
        <f t="shared" si="77"/>
        <v>3405.1068051671173</v>
      </c>
      <c r="AC96" s="97">
        <f t="shared" si="78"/>
        <v>3.6586675572604248E-2</v>
      </c>
      <c r="AD96" s="67">
        <f t="shared" si="79"/>
        <v>0</v>
      </c>
      <c r="AE96" s="66">
        <v>39295.475404089972</v>
      </c>
      <c r="AG96" s="16"/>
      <c r="AH96" s="16"/>
    </row>
    <row r="97" spans="2:34" x14ac:dyDescent="0.25">
      <c r="B97" s="91">
        <v>2114</v>
      </c>
      <c r="C97" s="67" t="s">
        <v>297</v>
      </c>
      <c r="D97" s="91" t="s">
        <v>145</v>
      </c>
      <c r="E97" s="92">
        <v>227.7765</v>
      </c>
      <c r="F97" s="92">
        <v>4.25</v>
      </c>
      <c r="G97" s="60">
        <f t="shared" si="60"/>
        <v>232.0265</v>
      </c>
      <c r="H97" s="93">
        <v>0</v>
      </c>
      <c r="I97" s="93">
        <v>0</v>
      </c>
      <c r="J97" s="93">
        <v>0</v>
      </c>
      <c r="K97" s="60">
        <f t="shared" si="61"/>
        <v>232.0265</v>
      </c>
      <c r="L97" s="94">
        <f t="shared" si="62"/>
        <v>0</v>
      </c>
      <c r="M97" s="95" t="str">
        <f t="shared" si="63"/>
        <v/>
      </c>
      <c r="N97" s="63" t="str">
        <f t="shared" si="64"/>
        <v/>
      </c>
      <c r="O97" s="67" t="str">
        <f t="shared" si="65"/>
        <v/>
      </c>
      <c r="P97" s="91" t="str">
        <f t="shared" si="66"/>
        <v/>
      </c>
      <c r="Q97" s="66">
        <f t="shared" si="67"/>
        <v>0</v>
      </c>
      <c r="R97" s="96">
        <f t="shared" si="68"/>
        <v>0</v>
      </c>
      <c r="S97" s="97" t="str">
        <f t="shared" si="69"/>
        <v/>
      </c>
      <c r="U97" s="60">
        <f t="shared" si="70"/>
        <v>232.0265</v>
      </c>
      <c r="V97" s="94">
        <f t="shared" si="71"/>
        <v>154800.07637560222</v>
      </c>
      <c r="W97" s="95" t="str">
        <f t="shared" si="72"/>
        <v/>
      </c>
      <c r="X97" s="63">
        <f t="shared" si="73"/>
        <v>0</v>
      </c>
      <c r="Y97" s="67" t="str">
        <f t="shared" si="74"/>
        <v/>
      </c>
      <c r="Z97" s="91" t="str">
        <f t="shared" si="75"/>
        <v/>
      </c>
      <c r="AA97" s="66">
        <f t="shared" si="76"/>
        <v>160463.6965485707</v>
      </c>
      <c r="AB97" s="96">
        <f t="shared" si="77"/>
        <v>5663.6201729684835</v>
      </c>
      <c r="AC97" s="97">
        <f t="shared" si="78"/>
        <v>3.6586675572604026E-2</v>
      </c>
      <c r="AD97" s="67">
        <f t="shared" si="79"/>
        <v>0</v>
      </c>
      <c r="AE97" s="66">
        <v>52347.719891105909</v>
      </c>
      <c r="AG97" s="16"/>
      <c r="AH97" s="16"/>
    </row>
    <row r="98" spans="2:34" x14ac:dyDescent="0.25">
      <c r="B98" s="91">
        <v>2099</v>
      </c>
      <c r="C98" s="67" t="s">
        <v>296</v>
      </c>
      <c r="D98" s="91" t="s">
        <v>146</v>
      </c>
      <c r="E98" s="92">
        <v>1044.6908000000001</v>
      </c>
      <c r="F98" s="92">
        <v>35.134999999999998</v>
      </c>
      <c r="G98" s="60">
        <f t="shared" si="60"/>
        <v>1079.8258000000001</v>
      </c>
      <c r="H98" s="93">
        <v>0</v>
      </c>
      <c r="I98" s="93">
        <v>0</v>
      </c>
      <c r="J98" s="93">
        <v>0</v>
      </c>
      <c r="K98" s="60">
        <f t="shared" si="61"/>
        <v>1079.8258000000001</v>
      </c>
      <c r="L98" s="94">
        <f t="shared" si="62"/>
        <v>0</v>
      </c>
      <c r="M98" s="95" t="str">
        <f t="shared" si="63"/>
        <v/>
      </c>
      <c r="N98" s="63" t="str">
        <f t="shared" si="64"/>
        <v/>
      </c>
      <c r="O98" s="67" t="str">
        <f t="shared" si="65"/>
        <v/>
      </c>
      <c r="P98" s="91" t="str">
        <f t="shared" si="66"/>
        <v/>
      </c>
      <c r="Q98" s="66">
        <f t="shared" si="67"/>
        <v>0</v>
      </c>
      <c r="R98" s="96">
        <f t="shared" si="68"/>
        <v>0</v>
      </c>
      <c r="S98" s="97" t="str">
        <f t="shared" si="69"/>
        <v/>
      </c>
      <c r="U98" s="60">
        <f t="shared" si="70"/>
        <v>1079.8258000000001</v>
      </c>
      <c r="V98" s="94">
        <f t="shared" si="71"/>
        <v>720422.5220496183</v>
      </c>
      <c r="W98" s="95" t="str">
        <f t="shared" si="72"/>
        <v/>
      </c>
      <c r="X98" s="63">
        <f t="shared" si="73"/>
        <v>0</v>
      </c>
      <c r="Y98" s="67" t="str">
        <f t="shared" si="74"/>
        <v/>
      </c>
      <c r="Z98" s="91" t="str">
        <f t="shared" si="75"/>
        <v/>
      </c>
      <c r="AA98" s="66">
        <f t="shared" si="76"/>
        <v>746780.38713904505</v>
      </c>
      <c r="AB98" s="96">
        <f t="shared" si="77"/>
        <v>26357.865089426748</v>
      </c>
      <c r="AC98" s="97">
        <f t="shared" si="78"/>
        <v>3.6586675572604296E-2</v>
      </c>
      <c r="AD98" s="67">
        <f t="shared" si="79"/>
        <v>0</v>
      </c>
      <c r="AE98" s="66">
        <v>224674.40746971034</v>
      </c>
      <c r="AG98" s="16"/>
      <c r="AH98" s="16"/>
    </row>
    <row r="99" spans="2:34" x14ac:dyDescent="0.25">
      <c r="B99" s="91">
        <v>2201</v>
      </c>
      <c r="C99" s="67" t="s">
        <v>305</v>
      </c>
      <c r="D99" s="91" t="s">
        <v>190</v>
      </c>
      <c r="E99" s="92">
        <v>331.8365</v>
      </c>
      <c r="F99" s="92">
        <v>2.25</v>
      </c>
      <c r="G99" s="60">
        <f t="shared" si="60"/>
        <v>334.0865</v>
      </c>
      <c r="H99" s="93">
        <v>0</v>
      </c>
      <c r="I99" s="93">
        <v>0</v>
      </c>
      <c r="J99" s="93">
        <v>0</v>
      </c>
      <c r="K99" s="60">
        <f t="shared" si="61"/>
        <v>334.0865</v>
      </c>
      <c r="L99" s="94">
        <f t="shared" si="62"/>
        <v>0</v>
      </c>
      <c r="M99" s="95" t="str">
        <f t="shared" si="63"/>
        <v/>
      </c>
      <c r="N99" s="63" t="str">
        <f t="shared" si="64"/>
        <v/>
      </c>
      <c r="O99" s="67" t="str">
        <f t="shared" si="65"/>
        <v/>
      </c>
      <c r="P99" s="91" t="str">
        <f t="shared" si="66"/>
        <v/>
      </c>
      <c r="Q99" s="66">
        <f t="shared" si="67"/>
        <v>0</v>
      </c>
      <c r="R99" s="96">
        <f t="shared" si="68"/>
        <v>0</v>
      </c>
      <c r="S99" s="97" t="str">
        <f t="shared" si="69"/>
        <v/>
      </c>
      <c r="U99" s="60">
        <f t="shared" si="70"/>
        <v>334.0865</v>
      </c>
      <c r="V99" s="94">
        <f t="shared" si="71"/>
        <v>222890.98752107035</v>
      </c>
      <c r="W99" s="95" t="str">
        <f t="shared" si="72"/>
        <v/>
      </c>
      <c r="X99" s="63">
        <f t="shared" si="73"/>
        <v>0</v>
      </c>
      <c r="Y99" s="67" t="str">
        <f t="shared" si="74"/>
        <v/>
      </c>
      <c r="Z99" s="91" t="str">
        <f t="shared" si="75"/>
        <v/>
      </c>
      <c r="AA99" s="66">
        <f t="shared" si="76"/>
        <v>231045.82776956112</v>
      </c>
      <c r="AB99" s="96">
        <f t="shared" si="77"/>
        <v>8154.840248490771</v>
      </c>
      <c r="AC99" s="97">
        <f t="shared" si="78"/>
        <v>3.6586675572604192E-2</v>
      </c>
      <c r="AD99" s="67">
        <f t="shared" si="79"/>
        <v>0</v>
      </c>
      <c r="AE99" s="66">
        <v>69804.481550343931</v>
      </c>
      <c r="AG99" s="16"/>
      <c r="AH99" s="16"/>
    </row>
    <row r="100" spans="2:34" x14ac:dyDescent="0.25">
      <c r="B100" s="91">
        <v>2206</v>
      </c>
      <c r="C100" s="67" t="s">
        <v>305</v>
      </c>
      <c r="D100" s="91" t="s">
        <v>148</v>
      </c>
      <c r="E100" s="92">
        <v>7060.0300999999999</v>
      </c>
      <c r="F100" s="92">
        <v>217.5</v>
      </c>
      <c r="G100" s="60">
        <f t="shared" si="60"/>
        <v>7277.5300999999999</v>
      </c>
      <c r="H100" s="93">
        <v>0</v>
      </c>
      <c r="I100" s="93">
        <v>0</v>
      </c>
      <c r="J100" s="93">
        <v>0</v>
      </c>
      <c r="K100" s="60">
        <f t="shared" si="61"/>
        <v>7277.5300999999999</v>
      </c>
      <c r="L100" s="94">
        <f t="shared" si="62"/>
        <v>0</v>
      </c>
      <c r="M100" s="95" t="str">
        <f t="shared" si="63"/>
        <v/>
      </c>
      <c r="N100" s="63" t="str">
        <f t="shared" si="64"/>
        <v/>
      </c>
      <c r="O100" s="67" t="str">
        <f t="shared" si="65"/>
        <v/>
      </c>
      <c r="P100" s="91" t="str">
        <f t="shared" si="66"/>
        <v/>
      </c>
      <c r="Q100" s="66">
        <f t="shared" si="67"/>
        <v>0</v>
      </c>
      <c r="R100" s="96">
        <f t="shared" si="68"/>
        <v>0</v>
      </c>
      <c r="S100" s="97" t="str">
        <f t="shared" si="69"/>
        <v/>
      </c>
      <c r="U100" s="60">
        <f t="shared" si="70"/>
        <v>7277.5300999999999</v>
      </c>
      <c r="V100" s="94">
        <f t="shared" si="71"/>
        <v>4855317.0232958049</v>
      </c>
      <c r="W100" s="95" t="str">
        <f t="shared" si="72"/>
        <v/>
      </c>
      <c r="X100" s="63">
        <f t="shared" si="73"/>
        <v>0</v>
      </c>
      <c r="Y100" s="67" t="str">
        <f t="shared" si="74"/>
        <v/>
      </c>
      <c r="Z100" s="91" t="str">
        <f t="shared" si="75"/>
        <v/>
      </c>
      <c r="AA100" s="66">
        <f t="shared" si="76"/>
        <v>5032956.9320292706</v>
      </c>
      <c r="AB100" s="96">
        <f t="shared" si="77"/>
        <v>177639.90873346571</v>
      </c>
      <c r="AC100" s="97">
        <f t="shared" si="78"/>
        <v>3.6586675572604151E-2</v>
      </c>
      <c r="AD100" s="67">
        <f t="shared" si="79"/>
        <v>0</v>
      </c>
      <c r="AE100" s="66">
        <v>1551696.372624797</v>
      </c>
      <c r="AG100" s="16"/>
      <c r="AH100" s="16"/>
    </row>
    <row r="101" spans="2:34" x14ac:dyDescent="0.25">
      <c r="B101" s="91">
        <v>2239</v>
      </c>
      <c r="C101" s="67" t="s">
        <v>309</v>
      </c>
      <c r="D101" s="91" t="s">
        <v>45</v>
      </c>
      <c r="E101" s="92">
        <v>24965.1021</v>
      </c>
      <c r="F101" s="92">
        <v>435.89499999999998</v>
      </c>
      <c r="G101" s="60">
        <f t="shared" si="60"/>
        <v>25400.997100000001</v>
      </c>
      <c r="H101" s="93">
        <v>0</v>
      </c>
      <c r="I101" s="93">
        <v>0</v>
      </c>
      <c r="J101" s="93">
        <v>0</v>
      </c>
      <c r="K101" s="60">
        <f t="shared" si="61"/>
        <v>25400.997100000001</v>
      </c>
      <c r="L101" s="94">
        <f t="shared" si="62"/>
        <v>0</v>
      </c>
      <c r="M101" s="95" t="str">
        <f t="shared" si="63"/>
        <v/>
      </c>
      <c r="N101" s="63" t="str">
        <f t="shared" si="64"/>
        <v/>
      </c>
      <c r="O101" s="67" t="str">
        <f t="shared" si="65"/>
        <v/>
      </c>
      <c r="P101" s="91" t="str">
        <f t="shared" si="66"/>
        <v/>
      </c>
      <c r="Q101" s="66">
        <f t="shared" si="67"/>
        <v>0</v>
      </c>
      <c r="R101" s="96">
        <f t="shared" si="68"/>
        <v>0</v>
      </c>
      <c r="S101" s="97" t="str">
        <f t="shared" si="69"/>
        <v/>
      </c>
      <c r="U101" s="60">
        <f t="shared" si="70"/>
        <v>25400.997100000001</v>
      </c>
      <c r="V101" s="94">
        <f t="shared" si="71"/>
        <v>16946668.984346401</v>
      </c>
      <c r="W101" s="95" t="str">
        <f t="shared" si="72"/>
        <v/>
      </c>
      <c r="X101" s="63">
        <f t="shared" si="73"/>
        <v>0</v>
      </c>
      <c r="Y101" s="67" t="str">
        <f t="shared" si="74"/>
        <v/>
      </c>
      <c r="Z101" s="91" t="str">
        <f t="shared" si="75"/>
        <v/>
      </c>
      <c r="AA101" s="66">
        <f t="shared" si="76"/>
        <v>17566691.264512997</v>
      </c>
      <c r="AB101" s="96">
        <f t="shared" si="77"/>
        <v>620022.28016659617</v>
      </c>
      <c r="AC101" s="97">
        <f t="shared" si="78"/>
        <v>3.6586675572604227E-2</v>
      </c>
      <c r="AD101" s="67">
        <f t="shared" si="79"/>
        <v>0</v>
      </c>
      <c r="AE101" s="66">
        <v>5356178.6113020293</v>
      </c>
      <c r="AG101" s="16"/>
      <c r="AH101" s="16"/>
    </row>
    <row r="102" spans="2:34" x14ac:dyDescent="0.25">
      <c r="B102" s="91">
        <v>2024</v>
      </c>
      <c r="C102" s="67" t="s">
        <v>288</v>
      </c>
      <c r="D102" s="91" t="s">
        <v>149</v>
      </c>
      <c r="E102" s="92">
        <v>4995.0757000000003</v>
      </c>
      <c r="F102" s="92">
        <v>132.48500000000001</v>
      </c>
      <c r="G102" s="60">
        <f t="shared" si="60"/>
        <v>5127.5607</v>
      </c>
      <c r="H102" s="93">
        <v>0</v>
      </c>
      <c r="I102" s="93">
        <v>0</v>
      </c>
      <c r="J102" s="93">
        <v>0</v>
      </c>
      <c r="K102" s="60">
        <f t="shared" si="61"/>
        <v>5127.5607</v>
      </c>
      <c r="L102" s="94">
        <f t="shared" si="62"/>
        <v>0</v>
      </c>
      <c r="M102" s="95" t="str">
        <f t="shared" si="63"/>
        <v/>
      </c>
      <c r="N102" s="63" t="str">
        <f t="shared" si="64"/>
        <v/>
      </c>
      <c r="O102" s="67" t="str">
        <f t="shared" si="65"/>
        <v/>
      </c>
      <c r="P102" s="91" t="str">
        <f t="shared" si="66"/>
        <v/>
      </c>
      <c r="Q102" s="66">
        <f t="shared" si="67"/>
        <v>0</v>
      </c>
      <c r="R102" s="96">
        <f t="shared" si="68"/>
        <v>0</v>
      </c>
      <c r="S102" s="97" t="str">
        <f t="shared" si="69"/>
        <v/>
      </c>
      <c r="U102" s="60">
        <f t="shared" si="70"/>
        <v>5127.5607</v>
      </c>
      <c r="V102" s="94">
        <f t="shared" si="71"/>
        <v>3420931.6090211091</v>
      </c>
      <c r="W102" s="95" t="str">
        <f t="shared" si="72"/>
        <v/>
      </c>
      <c r="X102" s="63">
        <f t="shared" si="73"/>
        <v>0</v>
      </c>
      <c r="Y102" s="67" t="str">
        <f t="shared" si="74"/>
        <v/>
      </c>
      <c r="Z102" s="91" t="str">
        <f t="shared" si="75"/>
        <v/>
      </c>
      <c r="AA102" s="66">
        <f t="shared" si="76"/>
        <v>3546092.1239564312</v>
      </c>
      <c r="AB102" s="96">
        <f t="shared" si="77"/>
        <v>125160.51493532211</v>
      </c>
      <c r="AC102" s="97">
        <f t="shared" si="78"/>
        <v>3.6586675572604171E-2</v>
      </c>
      <c r="AD102" s="67">
        <f t="shared" si="79"/>
        <v>0</v>
      </c>
      <c r="AE102" s="66">
        <v>1088974.1241422717</v>
      </c>
      <c r="AG102" s="16"/>
      <c r="AH102" s="16"/>
    </row>
    <row r="103" spans="2:34" x14ac:dyDescent="0.25">
      <c r="B103" s="91">
        <v>1895</v>
      </c>
      <c r="C103" s="67" t="s">
        <v>275</v>
      </c>
      <c r="D103" s="91" t="s">
        <v>150</v>
      </c>
      <c r="E103" s="92">
        <v>202.91</v>
      </c>
      <c r="F103" s="92">
        <v>3.75</v>
      </c>
      <c r="G103" s="60">
        <f t="shared" si="60"/>
        <v>206.66</v>
      </c>
      <c r="H103" s="93">
        <v>0</v>
      </c>
      <c r="I103" s="93">
        <v>0</v>
      </c>
      <c r="J103" s="93">
        <v>0</v>
      </c>
      <c r="K103" s="60">
        <f t="shared" si="61"/>
        <v>206.66</v>
      </c>
      <c r="L103" s="94">
        <f t="shared" si="62"/>
        <v>0</v>
      </c>
      <c r="M103" s="95" t="str">
        <f t="shared" si="63"/>
        <v/>
      </c>
      <c r="N103" s="63" t="str">
        <f t="shared" si="64"/>
        <v/>
      </c>
      <c r="O103" s="67" t="str">
        <f t="shared" si="65"/>
        <v/>
      </c>
      <c r="P103" s="91" t="str">
        <f t="shared" si="66"/>
        <v/>
      </c>
      <c r="Q103" s="66">
        <f t="shared" si="67"/>
        <v>0</v>
      </c>
      <c r="R103" s="96">
        <f t="shared" si="68"/>
        <v>0</v>
      </c>
      <c r="S103" s="97" t="str">
        <f t="shared" si="69"/>
        <v/>
      </c>
      <c r="U103" s="60">
        <f t="shared" si="70"/>
        <v>206.66</v>
      </c>
      <c r="V103" s="94">
        <f t="shared" si="71"/>
        <v>137876.42266629869</v>
      </c>
      <c r="W103" s="95" t="str">
        <f t="shared" si="72"/>
        <v/>
      </c>
      <c r="X103" s="63">
        <f t="shared" si="73"/>
        <v>0</v>
      </c>
      <c r="Y103" s="67" t="str">
        <f t="shared" si="74"/>
        <v/>
      </c>
      <c r="Z103" s="91" t="str">
        <f t="shared" si="75"/>
        <v/>
      </c>
      <c r="AA103" s="66">
        <f t="shared" si="76"/>
        <v>142920.8626115018</v>
      </c>
      <c r="AB103" s="96">
        <f t="shared" si="77"/>
        <v>5044.4399452031066</v>
      </c>
      <c r="AC103" s="97">
        <f t="shared" si="78"/>
        <v>3.6586675572604088E-2</v>
      </c>
      <c r="AD103" s="67">
        <f t="shared" si="79"/>
        <v>0</v>
      </c>
      <c r="AE103" s="66">
        <v>46834.197111189133</v>
      </c>
      <c r="AG103" s="16"/>
      <c r="AH103" s="16"/>
    </row>
    <row r="104" spans="2:34" x14ac:dyDescent="0.25">
      <c r="B104" s="91">
        <v>2215</v>
      </c>
      <c r="C104" s="67" t="s">
        <v>306</v>
      </c>
      <c r="D104" s="91" t="s">
        <v>151</v>
      </c>
      <c r="E104" s="92">
        <v>441.14299999999997</v>
      </c>
      <c r="F104" s="92">
        <v>5</v>
      </c>
      <c r="G104" s="60">
        <f t="shared" si="60"/>
        <v>446.14299999999997</v>
      </c>
      <c r="H104" s="93">
        <v>0</v>
      </c>
      <c r="I104" s="93">
        <v>0</v>
      </c>
      <c r="J104" s="93">
        <v>0</v>
      </c>
      <c r="K104" s="60">
        <f t="shared" si="61"/>
        <v>446.14299999999997</v>
      </c>
      <c r="L104" s="94">
        <f t="shared" si="62"/>
        <v>0</v>
      </c>
      <c r="M104" s="95" t="str">
        <f t="shared" si="63"/>
        <v/>
      </c>
      <c r="N104" s="63" t="str">
        <f t="shared" si="64"/>
        <v/>
      </c>
      <c r="O104" s="67" t="str">
        <f t="shared" si="65"/>
        <v/>
      </c>
      <c r="P104" s="91" t="str">
        <f t="shared" si="66"/>
        <v/>
      </c>
      <c r="Q104" s="66">
        <f t="shared" si="67"/>
        <v>0</v>
      </c>
      <c r="R104" s="96">
        <f t="shared" si="68"/>
        <v>0</v>
      </c>
      <c r="S104" s="97" t="str">
        <f t="shared" si="69"/>
        <v/>
      </c>
      <c r="U104" s="60">
        <f t="shared" si="70"/>
        <v>446.14299999999997</v>
      </c>
      <c r="V104" s="94">
        <f t="shared" si="71"/>
        <v>297651.21860839298</v>
      </c>
      <c r="W104" s="95" t="str">
        <f t="shared" si="72"/>
        <v/>
      </c>
      <c r="X104" s="63">
        <f t="shared" si="73"/>
        <v>0</v>
      </c>
      <c r="Y104" s="67" t="str">
        <f t="shared" si="74"/>
        <v/>
      </c>
      <c r="Z104" s="91" t="str">
        <f t="shared" si="75"/>
        <v/>
      </c>
      <c r="AA104" s="66">
        <f t="shared" si="76"/>
        <v>308541.28717740852</v>
      </c>
      <c r="AB104" s="96">
        <f t="shared" si="77"/>
        <v>10890.068569015537</v>
      </c>
      <c r="AC104" s="97">
        <f t="shared" si="78"/>
        <v>3.6586675572604109E-2</v>
      </c>
      <c r="AD104" s="67">
        <f t="shared" si="79"/>
        <v>0</v>
      </c>
      <c r="AE104" s="66">
        <v>94131.211345830932</v>
      </c>
      <c r="AG104" s="16"/>
      <c r="AH104" s="16"/>
    </row>
    <row r="105" spans="2:34" x14ac:dyDescent="0.25">
      <c r="B105" s="91">
        <v>3997</v>
      </c>
      <c r="C105" s="67" t="s">
        <v>300</v>
      </c>
      <c r="D105" s="91" t="s">
        <v>152</v>
      </c>
      <c r="E105" s="92">
        <v>335.86500000000001</v>
      </c>
      <c r="F105" s="92">
        <v>2</v>
      </c>
      <c r="G105" s="60">
        <f t="shared" si="60"/>
        <v>337.86500000000001</v>
      </c>
      <c r="H105" s="93">
        <v>0</v>
      </c>
      <c r="I105" s="93">
        <v>0</v>
      </c>
      <c r="J105" s="93">
        <v>0</v>
      </c>
      <c r="K105" s="60">
        <f t="shared" si="61"/>
        <v>337.86500000000001</v>
      </c>
      <c r="L105" s="94">
        <f t="shared" si="62"/>
        <v>0</v>
      </c>
      <c r="M105" s="95" t="str">
        <f t="shared" si="63"/>
        <v/>
      </c>
      <c r="N105" s="63" t="str">
        <f t="shared" si="64"/>
        <v/>
      </c>
      <c r="O105" s="67" t="str">
        <f t="shared" si="65"/>
        <v/>
      </c>
      <c r="P105" s="91" t="str">
        <f t="shared" si="66"/>
        <v/>
      </c>
      <c r="Q105" s="66">
        <f t="shared" si="67"/>
        <v>0</v>
      </c>
      <c r="R105" s="96">
        <f t="shared" si="68"/>
        <v>0</v>
      </c>
      <c r="S105" s="97" t="str">
        <f t="shared" si="69"/>
        <v/>
      </c>
      <c r="U105" s="60">
        <f t="shared" si="70"/>
        <v>337.86500000000001</v>
      </c>
      <c r="V105" s="94">
        <f t="shared" si="71"/>
        <v>225411.87237079747</v>
      </c>
      <c r="W105" s="95" t="str">
        <f t="shared" si="72"/>
        <v/>
      </c>
      <c r="X105" s="63">
        <f t="shared" si="73"/>
        <v>0</v>
      </c>
      <c r="Y105" s="67" t="str">
        <f t="shared" si="74"/>
        <v/>
      </c>
      <c r="Z105" s="91" t="str">
        <f t="shared" si="75"/>
        <v/>
      </c>
      <c r="AA105" s="66">
        <f t="shared" si="76"/>
        <v>233658.94341544111</v>
      </c>
      <c r="AB105" s="96">
        <f t="shared" si="77"/>
        <v>8247.0710446436424</v>
      </c>
      <c r="AC105" s="97">
        <f t="shared" si="78"/>
        <v>3.6586675572604248E-2</v>
      </c>
      <c r="AD105" s="67">
        <f t="shared" si="79"/>
        <v>0</v>
      </c>
      <c r="AE105" s="66">
        <v>72303.06744422701</v>
      </c>
      <c r="AG105" s="16"/>
      <c r="AH105" s="16"/>
    </row>
    <row r="106" spans="2:34" x14ac:dyDescent="0.25">
      <c r="B106" s="91">
        <v>2053</v>
      </c>
      <c r="C106" s="67" t="s">
        <v>290</v>
      </c>
      <c r="D106" s="91" t="s">
        <v>52</v>
      </c>
      <c r="E106" s="92">
        <v>3892.6179000000002</v>
      </c>
      <c r="F106" s="92">
        <v>186.46250000000001</v>
      </c>
      <c r="G106" s="60">
        <f t="shared" si="60"/>
        <v>4079.0804000000003</v>
      </c>
      <c r="H106" s="93">
        <v>0</v>
      </c>
      <c r="I106" s="93">
        <v>0</v>
      </c>
      <c r="J106" s="93">
        <v>0</v>
      </c>
      <c r="K106" s="60">
        <f t="shared" si="61"/>
        <v>4079.0804000000003</v>
      </c>
      <c r="L106" s="94">
        <f t="shared" si="62"/>
        <v>0</v>
      </c>
      <c r="M106" s="95" t="str">
        <f t="shared" si="63"/>
        <v/>
      </c>
      <c r="N106" s="63" t="str">
        <f t="shared" si="64"/>
        <v/>
      </c>
      <c r="O106" s="67" t="str">
        <f t="shared" si="65"/>
        <v/>
      </c>
      <c r="P106" s="91" t="str">
        <f t="shared" si="66"/>
        <v/>
      </c>
      <c r="Q106" s="66">
        <f t="shared" si="67"/>
        <v>0</v>
      </c>
      <c r="R106" s="96">
        <f t="shared" si="68"/>
        <v>0</v>
      </c>
      <c r="S106" s="97" t="str">
        <f t="shared" si="69"/>
        <v/>
      </c>
      <c r="U106" s="60">
        <f t="shared" si="70"/>
        <v>4079.0804000000003</v>
      </c>
      <c r="V106" s="94">
        <f t="shared" si="71"/>
        <v>2721421.7232179171</v>
      </c>
      <c r="W106" s="95" t="str">
        <f t="shared" si="72"/>
        <v/>
      </c>
      <c r="X106" s="63">
        <f t="shared" si="73"/>
        <v>0</v>
      </c>
      <c r="Y106" s="67" t="str">
        <f t="shared" si="74"/>
        <v/>
      </c>
      <c r="Z106" s="91" t="str">
        <f t="shared" si="75"/>
        <v/>
      </c>
      <c r="AA106" s="66">
        <f t="shared" si="76"/>
        <v>2820989.4969015284</v>
      </c>
      <c r="AB106" s="96">
        <f t="shared" si="77"/>
        <v>99567.773683611304</v>
      </c>
      <c r="AC106" s="97">
        <f t="shared" si="78"/>
        <v>3.6586675572604165E-2</v>
      </c>
      <c r="AD106" s="67">
        <f t="shared" si="79"/>
        <v>0</v>
      </c>
      <c r="AE106" s="66">
        <v>841922.26320484001</v>
      </c>
      <c r="AG106" s="16"/>
      <c r="AH106" s="16"/>
    </row>
    <row r="107" spans="2:34" x14ac:dyDescent="0.25">
      <c r="B107" s="91">
        <v>2140</v>
      </c>
      <c r="C107" s="67" t="s">
        <v>299</v>
      </c>
      <c r="D107" s="91" t="s">
        <v>108</v>
      </c>
      <c r="E107" s="92">
        <v>1101.5389</v>
      </c>
      <c r="F107" s="92">
        <v>30.204999999999998</v>
      </c>
      <c r="G107" s="60">
        <f t="shared" si="60"/>
        <v>1131.7438999999999</v>
      </c>
      <c r="H107" s="93">
        <v>0</v>
      </c>
      <c r="I107" s="93">
        <v>0</v>
      </c>
      <c r="J107" s="93">
        <v>0</v>
      </c>
      <c r="K107" s="60">
        <f t="shared" si="61"/>
        <v>1131.7438999999999</v>
      </c>
      <c r="L107" s="94">
        <f t="shared" si="62"/>
        <v>0</v>
      </c>
      <c r="M107" s="95" t="str">
        <f t="shared" si="63"/>
        <v/>
      </c>
      <c r="N107" s="63" t="str">
        <f t="shared" si="64"/>
        <v/>
      </c>
      <c r="O107" s="67" t="str">
        <f t="shared" si="65"/>
        <v/>
      </c>
      <c r="P107" s="91" t="str">
        <f t="shared" si="66"/>
        <v/>
      </c>
      <c r="Q107" s="66">
        <f t="shared" si="67"/>
        <v>0</v>
      </c>
      <c r="R107" s="96">
        <f t="shared" si="68"/>
        <v>0</v>
      </c>
      <c r="S107" s="97" t="str">
        <f t="shared" si="69"/>
        <v/>
      </c>
      <c r="U107" s="60">
        <f t="shared" si="70"/>
        <v>1131.7438999999999</v>
      </c>
      <c r="V107" s="94">
        <f t="shared" si="71"/>
        <v>755060.48730477726</v>
      </c>
      <c r="W107" s="95" t="str">
        <f t="shared" si="72"/>
        <v/>
      </c>
      <c r="X107" s="63">
        <f t="shared" si="73"/>
        <v>0</v>
      </c>
      <c r="Y107" s="67" t="str">
        <f t="shared" si="74"/>
        <v/>
      </c>
      <c r="Z107" s="91" t="str">
        <f t="shared" si="75"/>
        <v/>
      </c>
      <c r="AA107" s="66">
        <f t="shared" si="76"/>
        <v>782685.64039148961</v>
      </c>
      <c r="AB107" s="96">
        <f t="shared" si="77"/>
        <v>27625.153086712351</v>
      </c>
      <c r="AC107" s="97">
        <f t="shared" si="78"/>
        <v>3.6586675572604241E-2</v>
      </c>
      <c r="AD107" s="67">
        <f t="shared" si="79"/>
        <v>0</v>
      </c>
      <c r="AE107" s="66">
        <v>235109.99797802579</v>
      </c>
      <c r="AG107" s="16"/>
      <c r="AH107" s="16"/>
    </row>
    <row r="108" spans="2:34" x14ac:dyDescent="0.25">
      <c r="B108" s="91">
        <v>1934</v>
      </c>
      <c r="C108" s="67" t="s">
        <v>278</v>
      </c>
      <c r="D108" s="91" t="s">
        <v>154</v>
      </c>
      <c r="E108" s="92">
        <v>300.48390000000001</v>
      </c>
      <c r="F108" s="92">
        <v>11.9125</v>
      </c>
      <c r="G108" s="60">
        <f t="shared" si="60"/>
        <v>312.39640000000003</v>
      </c>
      <c r="H108" s="93">
        <v>0</v>
      </c>
      <c r="I108" s="93">
        <v>0</v>
      </c>
      <c r="J108" s="93">
        <v>0</v>
      </c>
      <c r="K108" s="60">
        <f t="shared" si="61"/>
        <v>312.39640000000003</v>
      </c>
      <c r="L108" s="94">
        <f t="shared" si="62"/>
        <v>0</v>
      </c>
      <c r="M108" s="95" t="str">
        <f t="shared" si="63"/>
        <v/>
      </c>
      <c r="N108" s="63" t="str">
        <f t="shared" si="64"/>
        <v/>
      </c>
      <c r="O108" s="67" t="str">
        <f t="shared" si="65"/>
        <v/>
      </c>
      <c r="P108" s="91" t="str">
        <f t="shared" si="66"/>
        <v/>
      </c>
      <c r="Q108" s="66">
        <f t="shared" si="67"/>
        <v>0</v>
      </c>
      <c r="R108" s="96">
        <f t="shared" si="68"/>
        <v>0</v>
      </c>
      <c r="S108" s="97" t="str">
        <f t="shared" si="69"/>
        <v/>
      </c>
      <c r="U108" s="60">
        <f t="shared" si="70"/>
        <v>312.39640000000003</v>
      </c>
      <c r="V108" s="94">
        <f t="shared" si="71"/>
        <v>208420.10106372842</v>
      </c>
      <c r="W108" s="95" t="str">
        <f t="shared" si="72"/>
        <v/>
      </c>
      <c r="X108" s="63">
        <f t="shared" si="73"/>
        <v>0</v>
      </c>
      <c r="Y108" s="67" t="str">
        <f t="shared" si="74"/>
        <v/>
      </c>
      <c r="Z108" s="91" t="str">
        <f t="shared" si="75"/>
        <v/>
      </c>
      <c r="AA108" s="66">
        <f t="shared" si="76"/>
        <v>216045.49968415644</v>
      </c>
      <c r="AB108" s="96">
        <f t="shared" si="77"/>
        <v>7625.3986204280227</v>
      </c>
      <c r="AC108" s="97">
        <f t="shared" si="78"/>
        <v>3.6586675572604255E-2</v>
      </c>
      <c r="AD108" s="67">
        <f t="shared" si="79"/>
        <v>0</v>
      </c>
      <c r="AE108" s="66">
        <v>66419.887903111274</v>
      </c>
      <c r="AG108" s="16"/>
      <c r="AH108" s="16"/>
    </row>
    <row r="109" spans="2:34" x14ac:dyDescent="0.25">
      <c r="B109" s="91">
        <v>2008</v>
      </c>
      <c r="C109" s="67" t="s">
        <v>286</v>
      </c>
      <c r="D109" s="91" t="s">
        <v>155</v>
      </c>
      <c r="E109" s="92">
        <v>831.02070000000003</v>
      </c>
      <c r="F109" s="92">
        <v>27.977499999999999</v>
      </c>
      <c r="G109" s="60">
        <f t="shared" si="60"/>
        <v>858.9982</v>
      </c>
      <c r="H109" s="93">
        <v>0</v>
      </c>
      <c r="I109" s="93">
        <v>0</v>
      </c>
      <c r="J109" s="93">
        <v>0</v>
      </c>
      <c r="K109" s="60">
        <f t="shared" si="61"/>
        <v>858.9982</v>
      </c>
      <c r="L109" s="94">
        <f t="shared" si="62"/>
        <v>0</v>
      </c>
      <c r="M109" s="95" t="str">
        <f t="shared" si="63"/>
        <v/>
      </c>
      <c r="N109" s="63" t="str">
        <f t="shared" si="64"/>
        <v/>
      </c>
      <c r="O109" s="67" t="str">
        <f t="shared" si="65"/>
        <v/>
      </c>
      <c r="P109" s="91" t="str">
        <f t="shared" si="66"/>
        <v/>
      </c>
      <c r="Q109" s="66">
        <f t="shared" si="67"/>
        <v>0</v>
      </c>
      <c r="R109" s="96">
        <f t="shared" si="68"/>
        <v>0</v>
      </c>
      <c r="S109" s="97" t="str">
        <f t="shared" si="69"/>
        <v/>
      </c>
      <c r="U109" s="60">
        <f t="shared" si="70"/>
        <v>858.9982</v>
      </c>
      <c r="V109" s="94">
        <f t="shared" si="71"/>
        <v>573093.96541560907</v>
      </c>
      <c r="W109" s="95" t="str">
        <f t="shared" si="72"/>
        <v/>
      </c>
      <c r="X109" s="63">
        <f t="shared" si="73"/>
        <v>0</v>
      </c>
      <c r="Y109" s="67" t="str">
        <f t="shared" si="74"/>
        <v/>
      </c>
      <c r="Z109" s="91" t="str">
        <f t="shared" si="75"/>
        <v/>
      </c>
      <c r="AA109" s="66">
        <f t="shared" si="76"/>
        <v>594061.56840088719</v>
      </c>
      <c r="AB109" s="96">
        <f t="shared" si="77"/>
        <v>20967.602985278121</v>
      </c>
      <c r="AC109" s="97">
        <f t="shared" si="78"/>
        <v>3.6586675572604165E-2</v>
      </c>
      <c r="AD109" s="67">
        <f t="shared" si="79"/>
        <v>0</v>
      </c>
      <c r="AE109" s="66">
        <v>175351.89094400487</v>
      </c>
      <c r="AG109" s="16"/>
      <c r="AH109" s="16"/>
    </row>
    <row r="110" spans="2:34" x14ac:dyDescent="0.25">
      <c r="B110" s="91">
        <v>2107</v>
      </c>
      <c r="C110" s="67" t="s">
        <v>297</v>
      </c>
      <c r="D110" s="91" t="s">
        <v>156</v>
      </c>
      <c r="E110" s="92">
        <v>167.92750000000001</v>
      </c>
      <c r="F110" s="92">
        <v>3.35</v>
      </c>
      <c r="G110" s="60">
        <f t="shared" si="60"/>
        <v>171.2775</v>
      </c>
      <c r="H110" s="93">
        <v>0</v>
      </c>
      <c r="I110" s="93">
        <v>0</v>
      </c>
      <c r="J110" s="93">
        <v>0</v>
      </c>
      <c r="K110" s="60">
        <f t="shared" si="61"/>
        <v>171.2775</v>
      </c>
      <c r="L110" s="94">
        <f t="shared" si="62"/>
        <v>0</v>
      </c>
      <c r="M110" s="95" t="str">
        <f t="shared" si="63"/>
        <v/>
      </c>
      <c r="N110" s="63" t="str">
        <f t="shared" si="64"/>
        <v/>
      </c>
      <c r="O110" s="67" t="str">
        <f t="shared" si="65"/>
        <v/>
      </c>
      <c r="P110" s="91" t="str">
        <f t="shared" si="66"/>
        <v/>
      </c>
      <c r="Q110" s="66">
        <f t="shared" si="67"/>
        <v>0</v>
      </c>
      <c r="R110" s="96">
        <f t="shared" si="68"/>
        <v>0</v>
      </c>
      <c r="S110" s="97" t="str">
        <f t="shared" si="69"/>
        <v/>
      </c>
      <c r="U110" s="60">
        <f t="shared" si="70"/>
        <v>171.2775</v>
      </c>
      <c r="V110" s="94">
        <f t="shared" si="71"/>
        <v>114270.43928784948</v>
      </c>
      <c r="W110" s="95" t="str">
        <f t="shared" si="72"/>
        <v/>
      </c>
      <c r="X110" s="63">
        <f t="shared" si="73"/>
        <v>0</v>
      </c>
      <c r="Y110" s="67" t="str">
        <f t="shared" si="74"/>
        <v/>
      </c>
      <c r="Z110" s="91" t="str">
        <f t="shared" si="75"/>
        <v/>
      </c>
      <c r="AA110" s="66">
        <f t="shared" si="76"/>
        <v>118451.214777613</v>
      </c>
      <c r="AB110" s="96">
        <f t="shared" si="77"/>
        <v>4180.7754897635168</v>
      </c>
      <c r="AC110" s="97">
        <f t="shared" si="78"/>
        <v>3.6586675572604227E-2</v>
      </c>
      <c r="AD110" s="67">
        <f t="shared" si="79"/>
        <v>0</v>
      </c>
      <c r="AE110" s="66">
        <v>36711.66013556398</v>
      </c>
      <c r="AG110" s="16"/>
      <c r="AH110" s="16"/>
    </row>
    <row r="111" spans="2:34" x14ac:dyDescent="0.25">
      <c r="B111" s="91">
        <v>2219</v>
      </c>
      <c r="C111" s="67" t="s">
        <v>307</v>
      </c>
      <c r="D111" s="91" t="s">
        <v>157</v>
      </c>
      <c r="E111" s="92">
        <v>430.54</v>
      </c>
      <c r="F111" s="92">
        <v>8.75</v>
      </c>
      <c r="G111" s="60">
        <f t="shared" si="60"/>
        <v>439.29</v>
      </c>
      <c r="H111" s="93">
        <v>0</v>
      </c>
      <c r="I111" s="93">
        <v>0</v>
      </c>
      <c r="J111" s="93">
        <v>0</v>
      </c>
      <c r="K111" s="60">
        <f t="shared" si="61"/>
        <v>439.29</v>
      </c>
      <c r="L111" s="94">
        <f t="shared" si="62"/>
        <v>0</v>
      </c>
      <c r="M111" s="95" t="str">
        <f t="shared" si="63"/>
        <v/>
      </c>
      <c r="N111" s="63" t="str">
        <f t="shared" si="64"/>
        <v/>
      </c>
      <c r="O111" s="67" t="str">
        <f t="shared" si="65"/>
        <v/>
      </c>
      <c r="P111" s="91" t="str">
        <f t="shared" si="66"/>
        <v/>
      </c>
      <c r="Q111" s="66">
        <f t="shared" si="67"/>
        <v>0</v>
      </c>
      <c r="R111" s="96">
        <f t="shared" si="68"/>
        <v>0</v>
      </c>
      <c r="S111" s="97" t="str">
        <f t="shared" si="69"/>
        <v/>
      </c>
      <c r="U111" s="60">
        <f t="shared" si="70"/>
        <v>439.29</v>
      </c>
      <c r="V111" s="94">
        <f t="shared" si="71"/>
        <v>293079.13342242502</v>
      </c>
      <c r="W111" s="95" t="str">
        <f t="shared" si="72"/>
        <v/>
      </c>
      <c r="X111" s="63">
        <f t="shared" si="73"/>
        <v>0</v>
      </c>
      <c r="Y111" s="67" t="str">
        <f t="shared" si="74"/>
        <v/>
      </c>
      <c r="Z111" s="91" t="str">
        <f t="shared" si="75"/>
        <v/>
      </c>
      <c r="AA111" s="66">
        <f t="shared" si="76"/>
        <v>303801.92459405126</v>
      </c>
      <c r="AB111" s="96">
        <f t="shared" si="77"/>
        <v>10722.791171626246</v>
      </c>
      <c r="AC111" s="97">
        <f t="shared" si="78"/>
        <v>3.6586675572604206E-2</v>
      </c>
      <c r="AD111" s="67">
        <f t="shared" si="79"/>
        <v>0</v>
      </c>
      <c r="AE111" s="66">
        <v>94529.931769237199</v>
      </c>
      <c r="AG111" s="16"/>
      <c r="AH111" s="16"/>
    </row>
    <row r="112" spans="2:34" x14ac:dyDescent="0.25">
      <c r="B112" s="91">
        <v>2091</v>
      </c>
      <c r="C112" s="67" t="s">
        <v>294</v>
      </c>
      <c r="D112" s="91" t="s">
        <v>158</v>
      </c>
      <c r="E112" s="92">
        <v>1968.0389</v>
      </c>
      <c r="F112" s="92">
        <v>56.822499999999998</v>
      </c>
      <c r="G112" s="60">
        <f t="shared" si="60"/>
        <v>2024.8614</v>
      </c>
      <c r="H112" s="93">
        <v>0</v>
      </c>
      <c r="I112" s="93">
        <v>0</v>
      </c>
      <c r="J112" s="93">
        <v>0</v>
      </c>
      <c r="K112" s="60">
        <f t="shared" si="61"/>
        <v>2024.8614</v>
      </c>
      <c r="L112" s="94">
        <f t="shared" si="62"/>
        <v>0</v>
      </c>
      <c r="M112" s="95" t="str">
        <f t="shared" si="63"/>
        <v/>
      </c>
      <c r="N112" s="63" t="str">
        <f t="shared" si="64"/>
        <v/>
      </c>
      <c r="O112" s="67" t="str">
        <f t="shared" si="65"/>
        <v/>
      </c>
      <c r="P112" s="91" t="str">
        <f t="shared" si="66"/>
        <v/>
      </c>
      <c r="Q112" s="66">
        <f t="shared" si="67"/>
        <v>0</v>
      </c>
      <c r="R112" s="96">
        <f t="shared" si="68"/>
        <v>0</v>
      </c>
      <c r="S112" s="97" t="str">
        <f t="shared" si="69"/>
        <v/>
      </c>
      <c r="U112" s="60">
        <f t="shared" si="70"/>
        <v>2024.8614</v>
      </c>
      <c r="V112" s="94">
        <f t="shared" si="71"/>
        <v>1350917.6726365688</v>
      </c>
      <c r="W112" s="95" t="str">
        <f t="shared" si="72"/>
        <v/>
      </c>
      <c r="X112" s="63">
        <f t="shared" si="73"/>
        <v>0</v>
      </c>
      <c r="Y112" s="67" t="str">
        <f t="shared" si="74"/>
        <v/>
      </c>
      <c r="Z112" s="91" t="str">
        <f t="shared" si="75"/>
        <v/>
      </c>
      <c r="AA112" s="66">
        <f t="shared" si="76"/>
        <v>1400343.2592506204</v>
      </c>
      <c r="AB112" s="96">
        <f t="shared" si="77"/>
        <v>49425.586614051601</v>
      </c>
      <c r="AC112" s="97">
        <f t="shared" si="78"/>
        <v>3.6586675572604151E-2</v>
      </c>
      <c r="AD112" s="67">
        <f t="shared" si="79"/>
        <v>0</v>
      </c>
      <c r="AE112" s="66">
        <v>432491.63684319926</v>
      </c>
      <c r="AG112" s="16"/>
      <c r="AH112" s="16"/>
    </row>
    <row r="113" spans="2:34" x14ac:dyDescent="0.25">
      <c r="B113" s="91">
        <v>2109</v>
      </c>
      <c r="C113" s="67" t="s">
        <v>297</v>
      </c>
      <c r="D113" s="91" t="s">
        <v>159</v>
      </c>
      <c r="E113" s="92">
        <v>28.79</v>
      </c>
      <c r="F113" s="92">
        <v>0.25</v>
      </c>
      <c r="G113" s="60">
        <f t="shared" si="60"/>
        <v>29.04</v>
      </c>
      <c r="H113" s="93">
        <v>0</v>
      </c>
      <c r="I113" s="93">
        <v>0</v>
      </c>
      <c r="J113" s="93">
        <v>0</v>
      </c>
      <c r="K113" s="60">
        <f t="shared" si="61"/>
        <v>29.04</v>
      </c>
      <c r="L113" s="94">
        <f t="shared" si="62"/>
        <v>0</v>
      </c>
      <c r="M113" s="95" t="str">
        <f t="shared" si="63"/>
        <v>Yes</v>
      </c>
      <c r="N113" s="63">
        <f t="shared" si="64"/>
        <v>20.96</v>
      </c>
      <c r="O113" s="67">
        <f t="shared" si="65"/>
        <v>0</v>
      </c>
      <c r="P113" s="91">
        <f t="shared" si="66"/>
        <v>50</v>
      </c>
      <c r="Q113" s="66">
        <f t="shared" si="67"/>
        <v>0</v>
      </c>
      <c r="R113" s="96">
        <f t="shared" si="68"/>
        <v>0</v>
      </c>
      <c r="S113" s="97" t="str">
        <f t="shared" si="69"/>
        <v/>
      </c>
      <c r="U113" s="60">
        <f t="shared" si="70"/>
        <v>29.04</v>
      </c>
      <c r="V113" s="94">
        <f t="shared" si="71"/>
        <v>19374.486181308981</v>
      </c>
      <c r="W113" s="95" t="str">
        <f t="shared" si="72"/>
        <v>Yes</v>
      </c>
      <c r="X113" s="63">
        <f t="shared" si="73"/>
        <v>20.96</v>
      </c>
      <c r="Y113" s="67">
        <f t="shared" si="74"/>
        <v>34578.743494508322</v>
      </c>
      <c r="Z113" s="91">
        <f t="shared" si="75"/>
        <v>50</v>
      </c>
      <c r="AA113" s="66">
        <f t="shared" si="76"/>
        <v>34578.743494508322</v>
      </c>
      <c r="AB113" s="96">
        <f t="shared" si="77"/>
        <v>15204.257313199341</v>
      </c>
      <c r="AC113" s="97">
        <f t="shared" si="78"/>
        <v>0.78475667281784445</v>
      </c>
      <c r="AD113" s="67">
        <f t="shared" si="79"/>
        <v>0</v>
      </c>
      <c r="AE113" s="66">
        <v>10583.999347161385</v>
      </c>
      <c r="AG113" s="16"/>
      <c r="AH113" s="16"/>
    </row>
    <row r="114" spans="2:34" x14ac:dyDescent="0.25">
      <c r="B114" s="6">
        <v>5218</v>
      </c>
      <c r="C114" s="6" t="s">
        <v>301</v>
      </c>
      <c r="D114" s="6" t="s">
        <v>325</v>
      </c>
      <c r="E114" s="92"/>
      <c r="F114" s="92"/>
      <c r="G114" s="60"/>
      <c r="H114" s="93"/>
      <c r="I114" s="93"/>
      <c r="J114" s="93"/>
      <c r="K114" s="60"/>
      <c r="L114" s="94"/>
      <c r="M114" s="95"/>
      <c r="N114" s="63"/>
      <c r="O114" s="67"/>
      <c r="P114" s="91"/>
      <c r="Q114" s="66"/>
      <c r="R114" s="96"/>
      <c r="S114" s="97"/>
      <c r="U114" s="60"/>
      <c r="V114" s="94"/>
      <c r="W114" s="95"/>
      <c r="X114" s="63"/>
      <c r="Y114" s="67"/>
      <c r="Z114" s="91"/>
      <c r="AA114" s="66"/>
      <c r="AB114" s="96"/>
      <c r="AC114" s="97"/>
      <c r="AD114" s="67"/>
      <c r="AE114" s="66">
        <v>46009.174362077894</v>
      </c>
      <c r="AG114" s="16"/>
      <c r="AH114" s="16"/>
    </row>
    <row r="115" spans="2:34" x14ac:dyDescent="0.25">
      <c r="B115" s="6">
        <v>5205</v>
      </c>
      <c r="C115" s="6" t="s">
        <v>289</v>
      </c>
      <c r="D115" s="6" t="s">
        <v>317</v>
      </c>
      <c r="E115" s="92"/>
      <c r="F115" s="92"/>
      <c r="G115" s="60"/>
      <c r="H115" s="93"/>
      <c r="I115" s="93"/>
      <c r="J115" s="93"/>
      <c r="K115" s="60"/>
      <c r="L115" s="94"/>
      <c r="M115" s="95"/>
      <c r="N115" s="63"/>
      <c r="O115" s="67"/>
      <c r="P115" s="91"/>
      <c r="Q115" s="66"/>
      <c r="R115" s="96"/>
      <c r="S115" s="97"/>
      <c r="U115" s="60"/>
      <c r="V115" s="94"/>
      <c r="W115" s="95"/>
      <c r="X115" s="63"/>
      <c r="Y115" s="67"/>
      <c r="Z115" s="91"/>
      <c r="AA115" s="66"/>
      <c r="AB115" s="96"/>
      <c r="AC115" s="97"/>
      <c r="AD115" s="67"/>
      <c r="AE115" s="66">
        <v>121963.12887711215</v>
      </c>
      <c r="AG115" s="16"/>
      <c r="AH115" s="16"/>
    </row>
    <row r="116" spans="2:34" x14ac:dyDescent="0.25">
      <c r="B116" s="91">
        <v>2057</v>
      </c>
      <c r="C116" s="67" t="s">
        <v>292</v>
      </c>
      <c r="D116" s="91" t="s">
        <v>43</v>
      </c>
      <c r="E116" s="92">
        <v>8310.6592999999993</v>
      </c>
      <c r="F116" s="92">
        <v>336.75749999999999</v>
      </c>
      <c r="G116" s="60">
        <f t="shared" ref="G116:G122" si="80">E116+F116</f>
        <v>8647.4167999999991</v>
      </c>
      <c r="H116" s="93">
        <v>0</v>
      </c>
      <c r="I116" s="93">
        <v>0</v>
      </c>
      <c r="J116" s="93">
        <v>0</v>
      </c>
      <c r="K116" s="60">
        <f t="shared" ref="K116:K122" si="81">$G116+$H116+$I116+$J116</f>
        <v>8647.4167999999991</v>
      </c>
      <c r="L116" s="94">
        <f t="shared" ref="L116:L122" si="82">K116*$D$16</f>
        <v>0</v>
      </c>
      <c r="M116" s="95" t="str">
        <f t="shared" ref="M116:M122" si="83">IF(K116=0,"",IF(K116&lt;$W$16,"Yes",""))</f>
        <v/>
      </c>
      <c r="N116" s="63" t="str">
        <f t="shared" ref="N116:N122" si="84">IF(K116=0,"",IF(K116&lt;$W$16,$W$16-K116,""))</f>
        <v/>
      </c>
      <c r="O116" s="67" t="str">
        <f t="shared" ref="O116:O122" si="85">IF(K116=0,"",IF(K116&lt;$M$16,(K116+N116)*$Q$16,""))</f>
        <v/>
      </c>
      <c r="P116" s="91" t="str">
        <f t="shared" ref="P116:P122" si="86">IF(K116=0,"",IF(K116&lt;$W$16,(K116+N116),""))</f>
        <v/>
      </c>
      <c r="Q116" s="66">
        <f t="shared" ref="Q116:Q122" si="87">MAX(O116,(K116*$Q$16))</f>
        <v>0</v>
      </c>
      <c r="R116" s="96">
        <f t="shared" ref="R116:R122" si="88">IF(Q116=0,0,(Q116-L116))</f>
        <v>0</v>
      </c>
      <c r="S116" s="97" t="str">
        <f t="shared" ref="S116:S122" si="89">IF(R116=0,"",(R116/L116))</f>
        <v/>
      </c>
      <c r="U116" s="60">
        <f t="shared" ref="U116:U122" si="90">$G116+$H116+$I116+$J116</f>
        <v>8647.4167999999991</v>
      </c>
      <c r="V116" s="94">
        <f t="shared" ref="V116:V122" si="91">U116*$E$16</f>
        <v>5769258.1713367458</v>
      </c>
      <c r="W116" s="95" t="str">
        <f t="shared" ref="W116:W122" si="92">IF(U116=0,"",IF(U116&lt;$W$16,"Yes",""))</f>
        <v/>
      </c>
      <c r="X116" s="63">
        <f t="shared" ref="X116:X122" si="93">IF(U116=0,0,IF(U116&lt;$W$16,$W$16-U116,0))</f>
        <v>0</v>
      </c>
      <c r="Y116" s="67" t="str">
        <f t="shared" ref="Y116:Y122" si="94">IF(U116=0,"",IF(U116&lt;$W$16,(U116+X116)*$AA$16,""))</f>
        <v/>
      </c>
      <c r="Z116" s="91" t="str">
        <f t="shared" ref="Z116:Z122" si="95">IF(U116=0,"",IF(U116&lt;$W$16,(U116+X116),""))</f>
        <v/>
      </c>
      <c r="AA116" s="66">
        <f t="shared" ref="AA116:AA122" si="96">MAX(Y116,(U116*$AA$16))</f>
        <v>5980336.1483460395</v>
      </c>
      <c r="AB116" s="96">
        <f t="shared" ref="AB116:AB122" si="97">IF(AA116=0,"",(AA116-V116))</f>
        <v>211077.97700929362</v>
      </c>
      <c r="AC116" s="97">
        <f t="shared" ref="AC116:AC122" si="98">IF(AB116="","",(AB116/V116))</f>
        <v>3.6586675572604255E-2</v>
      </c>
      <c r="AD116" s="67">
        <f t="shared" ref="AD116:AD122" si="99">IF(AA116=0,0,(U116+X116)/$AA$14)*$E$13</f>
        <v>0</v>
      </c>
      <c r="AE116" s="66">
        <v>1869706.9425773781</v>
      </c>
      <c r="AG116" s="16"/>
      <c r="AH116" s="16"/>
    </row>
    <row r="117" spans="2:34" x14ac:dyDescent="0.25">
      <c r="B117" s="91">
        <v>2056</v>
      </c>
      <c r="C117" s="67" t="s">
        <v>292</v>
      </c>
      <c r="D117" s="91" t="s">
        <v>64</v>
      </c>
      <c r="E117" s="92">
        <v>3627.3724000000002</v>
      </c>
      <c r="F117" s="92">
        <v>216.23500000000001</v>
      </c>
      <c r="G117" s="60">
        <f t="shared" si="80"/>
        <v>3843.6074000000003</v>
      </c>
      <c r="H117" s="93">
        <v>0</v>
      </c>
      <c r="I117" s="93">
        <v>0</v>
      </c>
      <c r="J117" s="93">
        <v>0</v>
      </c>
      <c r="K117" s="60">
        <f t="shared" si="81"/>
        <v>3843.6074000000003</v>
      </c>
      <c r="L117" s="94">
        <f t="shared" si="82"/>
        <v>0</v>
      </c>
      <c r="M117" s="95" t="str">
        <f t="shared" si="83"/>
        <v/>
      </c>
      <c r="N117" s="63" t="str">
        <f t="shared" si="84"/>
        <v/>
      </c>
      <c r="O117" s="67" t="str">
        <f t="shared" si="85"/>
        <v/>
      </c>
      <c r="P117" s="91" t="str">
        <f t="shared" si="86"/>
        <v/>
      </c>
      <c r="Q117" s="66">
        <f t="shared" si="87"/>
        <v>0</v>
      </c>
      <c r="R117" s="96">
        <f t="shared" si="88"/>
        <v>0</v>
      </c>
      <c r="S117" s="97" t="str">
        <f t="shared" si="89"/>
        <v/>
      </c>
      <c r="U117" s="60">
        <f t="shared" si="90"/>
        <v>3843.6074000000003</v>
      </c>
      <c r="V117" s="94">
        <f t="shared" si="91"/>
        <v>2564322.2609392889</v>
      </c>
      <c r="W117" s="95" t="str">
        <f t="shared" si="92"/>
        <v/>
      </c>
      <c r="X117" s="63">
        <f t="shared" si="93"/>
        <v>0</v>
      </c>
      <c r="Y117" s="67" t="str">
        <f t="shared" si="94"/>
        <v/>
      </c>
      <c r="Z117" s="91" t="str">
        <f t="shared" si="95"/>
        <v/>
      </c>
      <c r="AA117" s="66">
        <f t="shared" si="96"/>
        <v>2658142.2875638814</v>
      </c>
      <c r="AB117" s="96">
        <f t="shared" si="97"/>
        <v>93820.026624592487</v>
      </c>
      <c r="AC117" s="97">
        <f t="shared" si="98"/>
        <v>3.6586675572604137E-2</v>
      </c>
      <c r="AD117" s="67">
        <f t="shared" si="99"/>
        <v>0</v>
      </c>
      <c r="AE117" s="66">
        <v>793415.41317282279</v>
      </c>
      <c r="AG117" s="16"/>
      <c r="AH117" s="16"/>
    </row>
    <row r="118" spans="2:34" x14ac:dyDescent="0.25">
      <c r="B118" s="91">
        <v>2262</v>
      </c>
      <c r="C118" s="67" t="s">
        <v>278</v>
      </c>
      <c r="D118" s="91" t="s">
        <v>83</v>
      </c>
      <c r="E118" s="92">
        <v>659.83450000000005</v>
      </c>
      <c r="F118" s="92">
        <v>13.435</v>
      </c>
      <c r="G118" s="60">
        <f t="shared" si="80"/>
        <v>673.26949999999999</v>
      </c>
      <c r="H118" s="93">
        <v>0</v>
      </c>
      <c r="I118" s="93">
        <v>0</v>
      </c>
      <c r="J118" s="93">
        <v>0</v>
      </c>
      <c r="K118" s="60">
        <f t="shared" si="81"/>
        <v>673.26949999999999</v>
      </c>
      <c r="L118" s="94">
        <f t="shared" si="82"/>
        <v>0</v>
      </c>
      <c r="M118" s="95" t="str">
        <f t="shared" si="83"/>
        <v/>
      </c>
      <c r="N118" s="63" t="str">
        <f t="shared" si="84"/>
        <v/>
      </c>
      <c r="O118" s="67" t="str">
        <f t="shared" si="85"/>
        <v/>
      </c>
      <c r="P118" s="91" t="str">
        <f t="shared" si="86"/>
        <v/>
      </c>
      <c r="Q118" s="66">
        <f t="shared" si="87"/>
        <v>0</v>
      </c>
      <c r="R118" s="96">
        <f t="shared" si="88"/>
        <v>0</v>
      </c>
      <c r="S118" s="97" t="str">
        <f t="shared" si="89"/>
        <v/>
      </c>
      <c r="U118" s="60">
        <f t="shared" si="90"/>
        <v>673.26949999999999</v>
      </c>
      <c r="V118" s="94">
        <f t="shared" si="91"/>
        <v>449182.18402365036</v>
      </c>
      <c r="W118" s="95" t="str">
        <f t="shared" si="92"/>
        <v/>
      </c>
      <c r="X118" s="63">
        <f t="shared" si="93"/>
        <v>0</v>
      </c>
      <c r="Y118" s="67" t="str">
        <f t="shared" si="94"/>
        <v/>
      </c>
      <c r="Z118" s="91" t="str">
        <f t="shared" si="95"/>
        <v/>
      </c>
      <c r="AA118" s="66">
        <f t="shared" si="96"/>
        <v>465616.26686351746</v>
      </c>
      <c r="AB118" s="96">
        <f t="shared" si="97"/>
        <v>16434.0828398671</v>
      </c>
      <c r="AC118" s="97">
        <f t="shared" si="98"/>
        <v>3.6586675572604213E-2</v>
      </c>
      <c r="AD118" s="67">
        <f t="shared" si="99"/>
        <v>0</v>
      </c>
      <c r="AE118" s="66">
        <v>144449.38585812255</v>
      </c>
      <c r="AG118" s="16"/>
      <c r="AH118" s="16"/>
    </row>
    <row r="119" spans="2:34" x14ac:dyDescent="0.25">
      <c r="B119" s="91">
        <v>2212</v>
      </c>
      <c r="C119" s="67" t="s">
        <v>306</v>
      </c>
      <c r="D119" s="91" t="s">
        <v>65</v>
      </c>
      <c r="E119" s="92">
        <v>2726.3222000000001</v>
      </c>
      <c r="F119" s="92">
        <v>96.885000000000005</v>
      </c>
      <c r="G119" s="60">
        <f t="shared" si="80"/>
        <v>2823.2072000000003</v>
      </c>
      <c r="H119" s="93">
        <v>0</v>
      </c>
      <c r="I119" s="93">
        <v>0</v>
      </c>
      <c r="J119" s="93">
        <v>0</v>
      </c>
      <c r="K119" s="60">
        <f t="shared" si="81"/>
        <v>2823.2072000000003</v>
      </c>
      <c r="L119" s="94">
        <f t="shared" si="82"/>
        <v>0</v>
      </c>
      <c r="M119" s="95" t="str">
        <f t="shared" si="83"/>
        <v/>
      </c>
      <c r="N119" s="63" t="str">
        <f t="shared" si="84"/>
        <v/>
      </c>
      <c r="O119" s="67" t="str">
        <f t="shared" si="85"/>
        <v/>
      </c>
      <c r="P119" s="91" t="str">
        <f t="shared" si="86"/>
        <v/>
      </c>
      <c r="Q119" s="66">
        <f t="shared" si="87"/>
        <v>0</v>
      </c>
      <c r="R119" s="96">
        <f t="shared" si="88"/>
        <v>0</v>
      </c>
      <c r="S119" s="97" t="str">
        <f t="shared" si="89"/>
        <v/>
      </c>
      <c r="U119" s="60">
        <f t="shared" si="90"/>
        <v>2823.2072000000003</v>
      </c>
      <c r="V119" s="94">
        <f t="shared" si="91"/>
        <v>1883546.4491519292</v>
      </c>
      <c r="W119" s="95" t="str">
        <f t="shared" si="92"/>
        <v/>
      </c>
      <c r="X119" s="63">
        <f t="shared" si="93"/>
        <v>0</v>
      </c>
      <c r="Y119" s="67" t="str">
        <f t="shared" si="94"/>
        <v/>
      </c>
      <c r="Z119" s="91" t="str">
        <f t="shared" si="95"/>
        <v/>
      </c>
      <c r="AA119" s="66">
        <f t="shared" si="96"/>
        <v>1952459.1520129815</v>
      </c>
      <c r="AB119" s="96">
        <f t="shared" si="97"/>
        <v>68912.702861052239</v>
      </c>
      <c r="AC119" s="97">
        <f t="shared" si="98"/>
        <v>3.6586675572604185E-2</v>
      </c>
      <c r="AD119" s="67">
        <f t="shared" si="99"/>
        <v>0</v>
      </c>
      <c r="AE119" s="66">
        <v>596609.48036813887</v>
      </c>
      <c r="AG119" s="16"/>
      <c r="AH119" s="16"/>
    </row>
    <row r="120" spans="2:34" x14ac:dyDescent="0.25">
      <c r="B120" s="91">
        <v>2059</v>
      </c>
      <c r="C120" s="67" t="s">
        <v>293</v>
      </c>
      <c r="D120" s="91" t="s">
        <v>161</v>
      </c>
      <c r="E120" s="92">
        <v>1009.4764</v>
      </c>
      <c r="F120" s="92">
        <v>40.75</v>
      </c>
      <c r="G120" s="60">
        <f t="shared" si="80"/>
        <v>1050.2264</v>
      </c>
      <c r="H120" s="93">
        <v>0</v>
      </c>
      <c r="I120" s="93">
        <v>0</v>
      </c>
      <c r="J120" s="93">
        <v>0</v>
      </c>
      <c r="K120" s="60">
        <f t="shared" si="81"/>
        <v>1050.2264</v>
      </c>
      <c r="L120" s="94">
        <f t="shared" si="82"/>
        <v>0</v>
      </c>
      <c r="M120" s="95" t="str">
        <f t="shared" si="83"/>
        <v/>
      </c>
      <c r="N120" s="63" t="str">
        <f t="shared" si="84"/>
        <v/>
      </c>
      <c r="O120" s="67" t="str">
        <f t="shared" si="85"/>
        <v/>
      </c>
      <c r="P120" s="91" t="str">
        <f t="shared" si="86"/>
        <v/>
      </c>
      <c r="Q120" s="66">
        <f t="shared" si="87"/>
        <v>0</v>
      </c>
      <c r="R120" s="96">
        <f t="shared" si="88"/>
        <v>0</v>
      </c>
      <c r="S120" s="97" t="str">
        <f t="shared" si="89"/>
        <v/>
      </c>
      <c r="U120" s="60">
        <f t="shared" si="90"/>
        <v>1050.2264</v>
      </c>
      <c r="V120" s="94">
        <f t="shared" si="91"/>
        <v>700674.82348642836</v>
      </c>
      <c r="W120" s="95" t="str">
        <f t="shared" si="92"/>
        <v/>
      </c>
      <c r="X120" s="63">
        <f t="shared" si="93"/>
        <v>0</v>
      </c>
      <c r="Y120" s="67" t="str">
        <f t="shared" si="94"/>
        <v/>
      </c>
      <c r="Z120" s="91" t="str">
        <f t="shared" si="95"/>
        <v/>
      </c>
      <c r="AA120" s="66">
        <f t="shared" si="96"/>
        <v>726310.185935218</v>
      </c>
      <c r="AB120" s="96">
        <f t="shared" si="97"/>
        <v>25635.362448789645</v>
      </c>
      <c r="AC120" s="97">
        <f t="shared" si="98"/>
        <v>3.6586675572604165E-2</v>
      </c>
      <c r="AD120" s="67">
        <f t="shared" si="99"/>
        <v>0</v>
      </c>
      <c r="AE120" s="66">
        <v>218456.30785325298</v>
      </c>
      <c r="AG120" s="16"/>
      <c r="AH120" s="16"/>
    </row>
    <row r="121" spans="2:34" x14ac:dyDescent="0.25">
      <c r="B121" s="91">
        <v>1923</v>
      </c>
      <c r="C121" s="67" t="s">
        <v>277</v>
      </c>
      <c r="D121" s="91" t="s">
        <v>162</v>
      </c>
      <c r="E121" s="92">
        <v>7884.0649999999996</v>
      </c>
      <c r="F121" s="92">
        <v>69.63</v>
      </c>
      <c r="G121" s="60">
        <f t="shared" si="80"/>
        <v>7953.6949999999997</v>
      </c>
      <c r="H121" s="93">
        <v>0</v>
      </c>
      <c r="I121" s="93">
        <v>0</v>
      </c>
      <c r="J121" s="93">
        <v>0</v>
      </c>
      <c r="K121" s="60">
        <f t="shared" si="81"/>
        <v>7953.6949999999997</v>
      </c>
      <c r="L121" s="94">
        <f t="shared" si="82"/>
        <v>0</v>
      </c>
      <c r="M121" s="95" t="str">
        <f t="shared" si="83"/>
        <v/>
      </c>
      <c r="N121" s="63" t="str">
        <f t="shared" si="84"/>
        <v/>
      </c>
      <c r="O121" s="67" t="str">
        <f t="shared" si="85"/>
        <v/>
      </c>
      <c r="P121" s="91" t="str">
        <f t="shared" si="86"/>
        <v/>
      </c>
      <c r="Q121" s="66">
        <f t="shared" si="87"/>
        <v>0</v>
      </c>
      <c r="R121" s="96">
        <f t="shared" si="88"/>
        <v>0</v>
      </c>
      <c r="S121" s="97" t="str">
        <f t="shared" si="89"/>
        <v/>
      </c>
      <c r="U121" s="60">
        <f t="shared" si="90"/>
        <v>7953.6949999999997</v>
      </c>
      <c r="V121" s="94">
        <f t="shared" si="91"/>
        <v>5306430.9183142679</v>
      </c>
      <c r="W121" s="95" t="str">
        <f t="shared" si="92"/>
        <v/>
      </c>
      <c r="X121" s="63">
        <f t="shared" si="93"/>
        <v>0</v>
      </c>
      <c r="Y121" s="67" t="str">
        <f t="shared" si="94"/>
        <v/>
      </c>
      <c r="Z121" s="91" t="str">
        <f t="shared" si="95"/>
        <v/>
      </c>
      <c r="AA121" s="66">
        <f t="shared" si="96"/>
        <v>5500575.5847710678</v>
      </c>
      <c r="AB121" s="96">
        <f t="shared" si="97"/>
        <v>194144.66645679995</v>
      </c>
      <c r="AC121" s="97">
        <f t="shared" si="98"/>
        <v>3.6586675572604137E-2</v>
      </c>
      <c r="AD121" s="67">
        <f t="shared" si="99"/>
        <v>0</v>
      </c>
      <c r="AE121" s="66">
        <v>1684723.9720834342</v>
      </c>
      <c r="AG121" s="16"/>
      <c r="AH121" s="16"/>
    </row>
    <row r="122" spans="2:34" x14ac:dyDescent="0.25">
      <c r="B122" s="91">
        <v>2101</v>
      </c>
      <c r="C122" s="67" t="s">
        <v>296</v>
      </c>
      <c r="D122" s="91" t="s">
        <v>163</v>
      </c>
      <c r="E122" s="92">
        <v>4937.8348999999998</v>
      </c>
      <c r="F122" s="92">
        <v>179.785</v>
      </c>
      <c r="G122" s="60">
        <f t="shared" si="80"/>
        <v>5117.6198999999997</v>
      </c>
      <c r="H122" s="93">
        <v>0</v>
      </c>
      <c r="I122" s="93">
        <v>0</v>
      </c>
      <c r="J122" s="93">
        <v>0</v>
      </c>
      <c r="K122" s="60">
        <f t="shared" si="81"/>
        <v>5117.6198999999997</v>
      </c>
      <c r="L122" s="94">
        <f t="shared" si="82"/>
        <v>0</v>
      </c>
      <c r="M122" s="95" t="str">
        <f t="shared" si="83"/>
        <v/>
      </c>
      <c r="N122" s="63" t="str">
        <f t="shared" si="84"/>
        <v/>
      </c>
      <c r="O122" s="67" t="str">
        <f t="shared" si="85"/>
        <v/>
      </c>
      <c r="P122" s="91" t="str">
        <f t="shared" si="86"/>
        <v/>
      </c>
      <c r="Q122" s="66">
        <f t="shared" si="87"/>
        <v>0</v>
      </c>
      <c r="R122" s="96">
        <f t="shared" si="88"/>
        <v>0</v>
      </c>
      <c r="S122" s="97" t="str">
        <f t="shared" si="89"/>
        <v/>
      </c>
      <c r="U122" s="60">
        <f t="shared" si="90"/>
        <v>5117.6198999999997</v>
      </c>
      <c r="V122" s="94">
        <f t="shared" si="91"/>
        <v>3414299.4501977218</v>
      </c>
      <c r="W122" s="95" t="str">
        <f t="shared" si="92"/>
        <v/>
      </c>
      <c r="X122" s="63">
        <f t="shared" si="93"/>
        <v>0</v>
      </c>
      <c r="Y122" s="67" t="str">
        <f t="shared" si="94"/>
        <v/>
      </c>
      <c r="Z122" s="91" t="str">
        <f t="shared" si="95"/>
        <v/>
      </c>
      <c r="AA122" s="66">
        <f t="shared" si="96"/>
        <v>3539217.3164898269</v>
      </c>
      <c r="AB122" s="96">
        <f t="shared" si="97"/>
        <v>124917.86629210506</v>
      </c>
      <c r="AC122" s="97">
        <f t="shared" si="98"/>
        <v>3.6586675572604234E-2</v>
      </c>
      <c r="AD122" s="67">
        <f t="shared" si="99"/>
        <v>0</v>
      </c>
      <c r="AE122" s="66">
        <v>1079043.6444188002</v>
      </c>
      <c r="AG122" s="16"/>
      <c r="AH122" s="16"/>
    </row>
    <row r="123" spans="2:34" x14ac:dyDescent="0.25">
      <c r="B123" s="6">
        <v>3240</v>
      </c>
      <c r="C123" s="6" t="s">
        <v>295</v>
      </c>
      <c r="D123" s="6" t="s">
        <v>321</v>
      </c>
      <c r="E123" s="92"/>
      <c r="F123" s="92"/>
      <c r="G123" s="60"/>
      <c r="H123" s="93"/>
      <c r="I123" s="93"/>
      <c r="J123" s="93"/>
      <c r="K123" s="60"/>
      <c r="L123" s="94"/>
      <c r="M123" s="95"/>
      <c r="N123" s="63"/>
      <c r="O123" s="67"/>
      <c r="P123" s="91"/>
      <c r="Q123" s="66"/>
      <c r="R123" s="96"/>
      <c r="S123" s="97"/>
      <c r="U123" s="60"/>
      <c r="V123" s="94"/>
      <c r="W123" s="95"/>
      <c r="X123" s="63"/>
      <c r="Y123" s="67"/>
      <c r="Z123" s="91"/>
      <c r="AA123" s="66"/>
      <c r="AB123" s="96"/>
      <c r="AC123" s="97"/>
      <c r="AD123" s="67"/>
      <c r="AE123" s="66">
        <v>10240.548568345997</v>
      </c>
      <c r="AG123" s="16"/>
      <c r="AH123" s="16"/>
    </row>
    <row r="124" spans="2:34" x14ac:dyDescent="0.25">
      <c r="B124" s="91">
        <v>2097</v>
      </c>
      <c r="C124" s="67" t="s">
        <v>295</v>
      </c>
      <c r="D124" s="91" t="s">
        <v>36</v>
      </c>
      <c r="E124" s="92">
        <v>7010.1048000000001</v>
      </c>
      <c r="F124" s="92">
        <v>303.83499999999998</v>
      </c>
      <c r="G124" s="60">
        <f t="shared" ref="G124:G143" si="100">E124+F124</f>
        <v>7313.9398000000001</v>
      </c>
      <c r="H124" s="93">
        <v>0</v>
      </c>
      <c r="I124" s="93">
        <v>-249.51499999999999</v>
      </c>
      <c r="J124" s="93">
        <v>0</v>
      </c>
      <c r="K124" s="60">
        <f t="shared" ref="K124:K143" si="101">$G124+$H124+$I124+$J124</f>
        <v>7064.4247999999998</v>
      </c>
      <c r="L124" s="94">
        <f t="shared" ref="L124:L143" si="102">K124*$D$16</f>
        <v>0</v>
      </c>
      <c r="M124" s="95" t="str">
        <f t="shared" ref="M124:M143" si="103">IF(K124=0,"",IF(K124&lt;$W$16,"Yes",""))</f>
        <v/>
      </c>
      <c r="N124" s="63" t="str">
        <f t="shared" ref="N124:N143" si="104">IF(K124=0,"",IF(K124&lt;$W$16,$W$16-K124,""))</f>
        <v/>
      </c>
      <c r="O124" s="67" t="str">
        <f t="shared" ref="O124:O143" si="105">IF(K124=0,"",IF(K124&lt;$M$16,(K124+N124)*$Q$16,""))</f>
        <v/>
      </c>
      <c r="P124" s="91" t="str">
        <f t="shared" ref="P124:P143" si="106">IF(K124=0,"",IF(K124&lt;$W$16,(K124+N124),""))</f>
        <v/>
      </c>
      <c r="Q124" s="66">
        <f t="shared" ref="Q124:Q143" si="107">MAX(O124,(K124*$Q$16))</f>
        <v>0</v>
      </c>
      <c r="R124" s="96">
        <f t="shared" ref="R124:R143" si="108">IF(Q124=0,0,(Q124-L124))</f>
        <v>0</v>
      </c>
      <c r="S124" s="97" t="str">
        <f t="shared" ref="S124:S143" si="109">IF(R124=0,"",(R124/L124))</f>
        <v/>
      </c>
      <c r="U124" s="60">
        <f t="shared" ref="U124:U143" si="110">$G124+$H124+$I124+$J124</f>
        <v>7064.4247999999998</v>
      </c>
      <c r="V124" s="94">
        <f t="shared" ref="V124:V143" si="111">U124*$E$16</f>
        <v>4713140.5188187482</v>
      </c>
      <c r="W124" s="95" t="str">
        <f t="shared" ref="W124:W143" si="112">IF(U124=0,"",IF(U124&lt;$W$16,"Yes",""))</f>
        <v/>
      </c>
      <c r="X124" s="63">
        <f t="shared" ref="X124:X143" si="113">IF(U124=0,0,IF(U124&lt;$W$16,$W$16-U124,0))</f>
        <v>0</v>
      </c>
      <c r="Y124" s="67" t="str">
        <f t="shared" ref="Y124:Y143" si="114">IF(U124=0,"",IF(U124&lt;$W$16,(U124+X124)*$AA$16,""))</f>
        <v/>
      </c>
      <c r="Z124" s="91" t="str">
        <f t="shared" ref="Z124:Z143" si="115">IF(U124=0,"",IF(U124&lt;$W$16,(U124+X124),""))</f>
        <v/>
      </c>
      <c r="AA124" s="66">
        <f t="shared" ref="AA124:AA143" si="116">MAX(Y124,(U124*$AA$16))</f>
        <v>4885578.661908865</v>
      </c>
      <c r="AB124" s="96">
        <f t="shared" ref="AB124:AB143" si="117">IF(AA124=0,"",(AA124-V124))</f>
        <v>172438.14309011679</v>
      </c>
      <c r="AC124" s="97">
        <f t="shared" ref="AC124:AC143" si="118">IF(AB124="","",(AB124/V124))</f>
        <v>3.6586675572604158E-2</v>
      </c>
      <c r="AD124" s="67">
        <f t="shared" ref="AD124:AD143" si="119">IF(AA124=0,0,(U124+X124)/$AA$14)*$E$13</f>
        <v>0</v>
      </c>
      <c r="AE124" s="66">
        <v>1467371.6812020836</v>
      </c>
      <c r="AG124" s="16"/>
      <c r="AH124" s="16"/>
    </row>
    <row r="125" spans="2:34" x14ac:dyDescent="0.25">
      <c r="B125" s="91">
        <v>2012</v>
      </c>
      <c r="C125" s="67" t="s">
        <v>286</v>
      </c>
      <c r="D125" s="91" t="s">
        <v>164</v>
      </c>
      <c r="E125" s="92">
        <v>115.2817</v>
      </c>
      <c r="F125" s="92">
        <v>2.5175000000000001</v>
      </c>
      <c r="G125" s="60">
        <f t="shared" si="100"/>
        <v>117.7992</v>
      </c>
      <c r="H125" s="93">
        <v>0</v>
      </c>
      <c r="I125" s="93">
        <v>0</v>
      </c>
      <c r="J125" s="93">
        <v>0</v>
      </c>
      <c r="K125" s="60">
        <f t="shared" si="101"/>
        <v>117.7992</v>
      </c>
      <c r="L125" s="94">
        <f t="shared" si="102"/>
        <v>0</v>
      </c>
      <c r="M125" s="95" t="str">
        <f t="shared" si="103"/>
        <v/>
      </c>
      <c r="N125" s="63" t="str">
        <f t="shared" si="104"/>
        <v/>
      </c>
      <c r="O125" s="67" t="str">
        <f t="shared" si="105"/>
        <v/>
      </c>
      <c r="P125" s="91" t="str">
        <f t="shared" si="106"/>
        <v/>
      </c>
      <c r="Q125" s="66">
        <f t="shared" si="107"/>
        <v>0</v>
      </c>
      <c r="R125" s="96">
        <f t="shared" si="108"/>
        <v>0</v>
      </c>
      <c r="S125" s="97" t="str">
        <f t="shared" si="109"/>
        <v/>
      </c>
      <c r="U125" s="60">
        <f t="shared" si="110"/>
        <v>117.7992</v>
      </c>
      <c r="V125" s="94">
        <f t="shared" si="111"/>
        <v>78591.562416296583</v>
      </c>
      <c r="W125" s="95" t="str">
        <f t="shared" si="112"/>
        <v/>
      </c>
      <c r="X125" s="63">
        <f t="shared" si="113"/>
        <v>0</v>
      </c>
      <c r="Y125" s="67" t="str">
        <f t="shared" si="114"/>
        <v/>
      </c>
      <c r="Z125" s="91" t="str">
        <f t="shared" si="115"/>
        <v/>
      </c>
      <c r="AA125" s="66">
        <f t="shared" si="116"/>
        <v>81466.966413165705</v>
      </c>
      <c r="AB125" s="96">
        <f t="shared" si="117"/>
        <v>2875.4039968691213</v>
      </c>
      <c r="AC125" s="97">
        <f t="shared" si="118"/>
        <v>3.6586675572604262E-2</v>
      </c>
      <c r="AD125" s="67">
        <f t="shared" si="119"/>
        <v>0</v>
      </c>
      <c r="AE125" s="66">
        <v>26923.577539309132</v>
      </c>
      <c r="AG125" s="16"/>
      <c r="AH125" s="16"/>
    </row>
    <row r="126" spans="2:34" x14ac:dyDescent="0.25">
      <c r="B126" s="91">
        <v>2092</v>
      </c>
      <c r="C126" s="67" t="s">
        <v>294</v>
      </c>
      <c r="D126" s="91" t="s">
        <v>165</v>
      </c>
      <c r="E126" s="92">
        <v>1157.7850000000001</v>
      </c>
      <c r="F126" s="92">
        <v>9.25</v>
      </c>
      <c r="G126" s="60">
        <f t="shared" si="100"/>
        <v>1167.0350000000001</v>
      </c>
      <c r="H126" s="93">
        <v>0</v>
      </c>
      <c r="I126" s="93">
        <v>0</v>
      </c>
      <c r="J126" s="93">
        <v>0</v>
      </c>
      <c r="K126" s="60">
        <f t="shared" si="101"/>
        <v>1167.0350000000001</v>
      </c>
      <c r="L126" s="94">
        <f t="shared" si="102"/>
        <v>0</v>
      </c>
      <c r="M126" s="95" t="str">
        <f t="shared" si="103"/>
        <v/>
      </c>
      <c r="N126" s="63" t="str">
        <f t="shared" si="104"/>
        <v/>
      </c>
      <c r="O126" s="67" t="str">
        <f t="shared" si="105"/>
        <v/>
      </c>
      <c r="P126" s="91" t="str">
        <f t="shared" si="106"/>
        <v/>
      </c>
      <c r="Q126" s="66">
        <f t="shared" si="107"/>
        <v>0</v>
      </c>
      <c r="R126" s="96">
        <f t="shared" si="108"/>
        <v>0</v>
      </c>
      <c r="S126" s="97" t="str">
        <f t="shared" si="109"/>
        <v/>
      </c>
      <c r="U126" s="60">
        <f t="shared" si="110"/>
        <v>1167.0350000000001</v>
      </c>
      <c r="V126" s="94">
        <f t="shared" si="111"/>
        <v>778605.49175633362</v>
      </c>
      <c r="W126" s="95" t="str">
        <f t="shared" si="112"/>
        <v/>
      </c>
      <c r="X126" s="63">
        <f t="shared" si="113"/>
        <v>0</v>
      </c>
      <c r="Y126" s="67" t="str">
        <f t="shared" si="114"/>
        <v/>
      </c>
      <c r="Z126" s="91" t="str">
        <f t="shared" si="115"/>
        <v/>
      </c>
      <c r="AA126" s="66">
        <f t="shared" si="116"/>
        <v>807092.07828227046</v>
      </c>
      <c r="AB126" s="96">
        <f t="shared" si="117"/>
        <v>28486.586525936844</v>
      </c>
      <c r="AC126" s="97">
        <f t="shared" si="118"/>
        <v>3.6586675572604088E-2</v>
      </c>
      <c r="AD126" s="67">
        <f t="shared" si="119"/>
        <v>0</v>
      </c>
      <c r="AE126" s="66">
        <v>233801.60397872975</v>
      </c>
      <c r="AG126" s="16"/>
      <c r="AH126" s="16"/>
    </row>
    <row r="127" spans="2:34" x14ac:dyDescent="0.25">
      <c r="B127" s="91">
        <v>2112</v>
      </c>
      <c r="C127" s="67" t="s">
        <v>297</v>
      </c>
      <c r="D127" s="91" t="s">
        <v>298</v>
      </c>
      <c r="E127" s="92">
        <v>3.25</v>
      </c>
      <c r="F127" s="92">
        <v>0.25</v>
      </c>
      <c r="G127" s="60">
        <f t="shared" si="100"/>
        <v>3.5</v>
      </c>
      <c r="H127" s="93">
        <v>0</v>
      </c>
      <c r="I127" s="93">
        <v>0</v>
      </c>
      <c r="J127" s="93">
        <v>0</v>
      </c>
      <c r="K127" s="60">
        <f t="shared" si="101"/>
        <v>3.5</v>
      </c>
      <c r="L127" s="94">
        <f t="shared" si="102"/>
        <v>0</v>
      </c>
      <c r="M127" s="95" t="str">
        <f t="shared" si="103"/>
        <v>Yes</v>
      </c>
      <c r="N127" s="63">
        <f t="shared" si="104"/>
        <v>46.5</v>
      </c>
      <c r="O127" s="67">
        <f t="shared" si="105"/>
        <v>0</v>
      </c>
      <c r="P127" s="91">
        <f t="shared" si="106"/>
        <v>50</v>
      </c>
      <c r="Q127" s="66">
        <f t="shared" si="107"/>
        <v>0</v>
      </c>
      <c r="R127" s="96">
        <f t="shared" si="108"/>
        <v>0</v>
      </c>
      <c r="S127" s="97" t="str">
        <f t="shared" si="109"/>
        <v/>
      </c>
      <c r="U127" s="60">
        <f t="shared" si="110"/>
        <v>3.5</v>
      </c>
      <c r="V127" s="94">
        <f t="shared" si="111"/>
        <v>2335.0792573891677</v>
      </c>
      <c r="W127" s="95" t="str">
        <f t="shared" si="112"/>
        <v>Yes</v>
      </c>
      <c r="X127" s="63">
        <f t="shared" si="113"/>
        <v>46.5</v>
      </c>
      <c r="Y127" s="67">
        <f t="shared" si="114"/>
        <v>34578.743494508322</v>
      </c>
      <c r="Z127" s="91">
        <f t="shared" si="115"/>
        <v>50</v>
      </c>
      <c r="AA127" s="66">
        <f t="shared" si="116"/>
        <v>34578.743494508322</v>
      </c>
      <c r="AB127" s="96">
        <f t="shared" si="117"/>
        <v>32243.664237119156</v>
      </c>
      <c r="AC127" s="97">
        <f t="shared" si="118"/>
        <v>13.808381079608631</v>
      </c>
      <c r="AD127" s="67">
        <f t="shared" si="119"/>
        <v>0</v>
      </c>
      <c r="AE127" s="66">
        <v>10583.999347161385</v>
      </c>
      <c r="AG127" s="16"/>
      <c r="AH127" s="16"/>
    </row>
    <row r="128" spans="2:34" x14ac:dyDescent="0.25">
      <c r="B128" s="91">
        <v>2085</v>
      </c>
      <c r="C128" s="67" t="s">
        <v>294</v>
      </c>
      <c r="D128" s="91" t="s">
        <v>166</v>
      </c>
      <c r="E128" s="92">
        <v>300.36200000000002</v>
      </c>
      <c r="F128" s="92">
        <v>7.7149999999999999</v>
      </c>
      <c r="G128" s="60">
        <f t="shared" si="100"/>
        <v>308.077</v>
      </c>
      <c r="H128" s="93">
        <v>0</v>
      </c>
      <c r="I128" s="93">
        <v>0</v>
      </c>
      <c r="J128" s="93">
        <v>0</v>
      </c>
      <c r="K128" s="60">
        <f t="shared" si="101"/>
        <v>308.077</v>
      </c>
      <c r="L128" s="94">
        <f t="shared" si="102"/>
        <v>0</v>
      </c>
      <c r="M128" s="95" t="str">
        <f t="shared" si="103"/>
        <v/>
      </c>
      <c r="N128" s="63" t="str">
        <f t="shared" si="104"/>
        <v/>
      </c>
      <c r="O128" s="67" t="str">
        <f t="shared" si="105"/>
        <v/>
      </c>
      <c r="P128" s="91" t="str">
        <f t="shared" si="106"/>
        <v/>
      </c>
      <c r="Q128" s="66">
        <f t="shared" si="107"/>
        <v>0</v>
      </c>
      <c r="R128" s="96">
        <f t="shared" si="108"/>
        <v>0</v>
      </c>
      <c r="S128" s="97" t="str">
        <f t="shared" si="109"/>
        <v/>
      </c>
      <c r="U128" s="60">
        <f t="shared" si="110"/>
        <v>308.077</v>
      </c>
      <c r="V128" s="94">
        <f t="shared" si="111"/>
        <v>205538.34639390933</v>
      </c>
      <c r="W128" s="95" t="str">
        <f t="shared" si="112"/>
        <v/>
      </c>
      <c r="X128" s="63">
        <f t="shared" si="113"/>
        <v>0</v>
      </c>
      <c r="Y128" s="67" t="str">
        <f t="shared" si="114"/>
        <v/>
      </c>
      <c r="Z128" s="91" t="str">
        <f t="shared" si="115"/>
        <v/>
      </c>
      <c r="AA128" s="66">
        <f t="shared" si="116"/>
        <v>213058.31119115281</v>
      </c>
      <c r="AB128" s="96">
        <f t="shared" si="117"/>
        <v>7519.9647972434759</v>
      </c>
      <c r="AC128" s="97">
        <f t="shared" si="118"/>
        <v>3.6586675572604067E-2</v>
      </c>
      <c r="AD128" s="67">
        <f t="shared" si="119"/>
        <v>0</v>
      </c>
      <c r="AE128" s="66">
        <v>65898.287247284461</v>
      </c>
      <c r="AG128" s="16"/>
      <c r="AH128" s="16"/>
    </row>
    <row r="129" spans="2:34" x14ac:dyDescent="0.25">
      <c r="B129" s="91">
        <v>2094</v>
      </c>
      <c r="C129" s="67" t="s">
        <v>294</v>
      </c>
      <c r="D129" s="91" t="s">
        <v>167</v>
      </c>
      <c r="E129" s="92">
        <v>737.9</v>
      </c>
      <c r="F129" s="92">
        <v>6.75</v>
      </c>
      <c r="G129" s="60">
        <f t="shared" si="100"/>
        <v>744.65</v>
      </c>
      <c r="H129" s="93">
        <v>-301.69354838708199</v>
      </c>
      <c r="I129" s="93">
        <v>0</v>
      </c>
      <c r="J129" s="93">
        <v>0</v>
      </c>
      <c r="K129" s="60">
        <f t="shared" si="101"/>
        <v>442.95645161291799</v>
      </c>
      <c r="L129" s="94">
        <f t="shared" si="102"/>
        <v>0</v>
      </c>
      <c r="M129" s="95" t="str">
        <f t="shared" si="103"/>
        <v/>
      </c>
      <c r="N129" s="63" t="str">
        <f t="shared" si="104"/>
        <v/>
      </c>
      <c r="O129" s="67" t="str">
        <f t="shared" si="105"/>
        <v/>
      </c>
      <c r="P129" s="91" t="str">
        <f t="shared" si="106"/>
        <v/>
      </c>
      <c r="Q129" s="66">
        <f t="shared" si="107"/>
        <v>0</v>
      </c>
      <c r="R129" s="96">
        <f t="shared" si="108"/>
        <v>0</v>
      </c>
      <c r="S129" s="97" t="str">
        <f t="shared" si="109"/>
        <v/>
      </c>
      <c r="U129" s="60">
        <f t="shared" si="110"/>
        <v>442.95645161291799</v>
      </c>
      <c r="V129" s="94">
        <f t="shared" si="111"/>
        <v>295525.2634537238</v>
      </c>
      <c r="W129" s="95" t="str">
        <f t="shared" si="112"/>
        <v/>
      </c>
      <c r="X129" s="63">
        <f t="shared" si="113"/>
        <v>0</v>
      </c>
      <c r="Y129" s="67" t="str">
        <f t="shared" si="114"/>
        <v/>
      </c>
      <c r="Z129" s="91" t="str">
        <f t="shared" si="115"/>
        <v/>
      </c>
      <c r="AA129" s="66">
        <f t="shared" si="116"/>
        <v>306337.55039121356</v>
      </c>
      <c r="AB129" s="96">
        <f t="shared" si="117"/>
        <v>10812.286937489756</v>
      </c>
      <c r="AC129" s="97">
        <f t="shared" si="118"/>
        <v>3.658667557260413E-2</v>
      </c>
      <c r="AD129" s="67">
        <f t="shared" si="119"/>
        <v>0</v>
      </c>
      <c r="AE129" s="66">
        <v>103742.24480101325</v>
      </c>
      <c r="AG129" s="16"/>
      <c r="AH129" s="16"/>
    </row>
    <row r="130" spans="2:34" x14ac:dyDescent="0.25">
      <c r="B130" s="91">
        <v>2090</v>
      </c>
      <c r="C130" s="67" t="s">
        <v>294</v>
      </c>
      <c r="D130" s="91" t="s">
        <v>121</v>
      </c>
      <c r="E130" s="92">
        <v>358.702</v>
      </c>
      <c r="F130" s="92">
        <v>10.210000000000001</v>
      </c>
      <c r="G130" s="60">
        <f t="shared" si="100"/>
        <v>368.91199999999998</v>
      </c>
      <c r="H130" s="93">
        <v>0</v>
      </c>
      <c r="I130" s="93">
        <v>0</v>
      </c>
      <c r="J130" s="93">
        <v>0</v>
      </c>
      <c r="K130" s="60">
        <f t="shared" si="101"/>
        <v>368.91199999999998</v>
      </c>
      <c r="L130" s="94">
        <f t="shared" si="102"/>
        <v>0</v>
      </c>
      <c r="M130" s="95" t="str">
        <f t="shared" si="103"/>
        <v/>
      </c>
      <c r="N130" s="63" t="str">
        <f t="shared" si="104"/>
        <v/>
      </c>
      <c r="O130" s="67" t="str">
        <f t="shared" si="105"/>
        <v/>
      </c>
      <c r="P130" s="91" t="str">
        <f t="shared" si="106"/>
        <v/>
      </c>
      <c r="Q130" s="66">
        <f t="shared" si="107"/>
        <v>0</v>
      </c>
      <c r="R130" s="96">
        <f t="shared" si="108"/>
        <v>0</v>
      </c>
      <c r="S130" s="97" t="str">
        <f t="shared" si="109"/>
        <v/>
      </c>
      <c r="U130" s="60">
        <f t="shared" si="110"/>
        <v>368.91199999999998</v>
      </c>
      <c r="V130" s="94">
        <f t="shared" si="111"/>
        <v>246125.35971484359</v>
      </c>
      <c r="W130" s="95" t="str">
        <f t="shared" si="112"/>
        <v/>
      </c>
      <c r="X130" s="63">
        <f t="shared" si="113"/>
        <v>0</v>
      </c>
      <c r="Y130" s="67" t="str">
        <f t="shared" si="114"/>
        <v/>
      </c>
      <c r="Z130" s="91" t="str">
        <f t="shared" si="115"/>
        <v/>
      </c>
      <c r="AA130" s="66">
        <f t="shared" si="116"/>
        <v>255130.26840092108</v>
      </c>
      <c r="AB130" s="96">
        <f t="shared" si="117"/>
        <v>9004.9086860774842</v>
      </c>
      <c r="AC130" s="97">
        <f t="shared" si="118"/>
        <v>3.6586675572604178E-2</v>
      </c>
      <c r="AD130" s="67">
        <f t="shared" si="119"/>
        <v>0</v>
      </c>
      <c r="AE130" s="66">
        <v>86135.613711012644</v>
      </c>
      <c r="AG130" s="16"/>
      <c r="AH130" s="16"/>
    </row>
    <row r="131" spans="2:34" x14ac:dyDescent="0.25">
      <c r="B131" s="91">
        <v>2256</v>
      </c>
      <c r="C131" s="67" t="s">
        <v>311</v>
      </c>
      <c r="D131" s="91" t="s">
        <v>169</v>
      </c>
      <c r="E131" s="92">
        <v>8101.1907000000001</v>
      </c>
      <c r="F131" s="92">
        <v>186.5</v>
      </c>
      <c r="G131" s="60">
        <f t="shared" si="100"/>
        <v>8287.6906999999992</v>
      </c>
      <c r="H131" s="93">
        <v>0</v>
      </c>
      <c r="I131" s="93">
        <v>0</v>
      </c>
      <c r="J131" s="93">
        <v>0</v>
      </c>
      <c r="K131" s="60">
        <f t="shared" si="101"/>
        <v>8287.6906999999992</v>
      </c>
      <c r="L131" s="94">
        <f t="shared" si="102"/>
        <v>0</v>
      </c>
      <c r="M131" s="95" t="str">
        <f t="shared" si="103"/>
        <v/>
      </c>
      <c r="N131" s="63" t="str">
        <f t="shared" si="104"/>
        <v/>
      </c>
      <c r="O131" s="67" t="str">
        <f t="shared" si="105"/>
        <v/>
      </c>
      <c r="P131" s="91" t="str">
        <f t="shared" si="106"/>
        <v/>
      </c>
      <c r="Q131" s="66">
        <f t="shared" si="107"/>
        <v>0</v>
      </c>
      <c r="R131" s="96">
        <f t="shared" si="108"/>
        <v>0</v>
      </c>
      <c r="S131" s="97" t="str">
        <f t="shared" si="109"/>
        <v/>
      </c>
      <c r="U131" s="60">
        <f t="shared" si="110"/>
        <v>8287.6906999999992</v>
      </c>
      <c r="V131" s="94">
        <f t="shared" si="111"/>
        <v>5529261.327207746</v>
      </c>
      <c r="W131" s="95" t="str">
        <f t="shared" si="112"/>
        <v/>
      </c>
      <c r="X131" s="63">
        <f t="shared" si="113"/>
        <v>0</v>
      </c>
      <c r="Y131" s="67" t="str">
        <f t="shared" si="114"/>
        <v/>
      </c>
      <c r="Z131" s="91" t="str">
        <f t="shared" si="115"/>
        <v/>
      </c>
      <c r="AA131" s="66">
        <f t="shared" si="116"/>
        <v>5731558.6175424419</v>
      </c>
      <c r="AB131" s="96">
        <f t="shared" si="117"/>
        <v>202297.29033469595</v>
      </c>
      <c r="AC131" s="97">
        <f t="shared" si="118"/>
        <v>3.658667557260406E-2</v>
      </c>
      <c r="AD131" s="67">
        <f t="shared" si="119"/>
        <v>0</v>
      </c>
      <c r="AE131" s="66">
        <v>1712217.3286435986</v>
      </c>
      <c r="AG131" s="16"/>
      <c r="AH131" s="16"/>
    </row>
    <row r="132" spans="2:34" x14ac:dyDescent="0.25">
      <c r="B132" s="91">
        <v>2048</v>
      </c>
      <c r="C132" s="67" t="s">
        <v>289</v>
      </c>
      <c r="D132" s="91" t="s">
        <v>78</v>
      </c>
      <c r="E132" s="92">
        <v>17055.120299999999</v>
      </c>
      <c r="F132" s="92">
        <v>666.82500000000005</v>
      </c>
      <c r="G132" s="60">
        <f t="shared" si="100"/>
        <v>17721.945299999999</v>
      </c>
      <c r="H132" s="93">
        <v>0</v>
      </c>
      <c r="I132" s="93">
        <v>-515.67499999999995</v>
      </c>
      <c r="J132" s="93">
        <v>0</v>
      </c>
      <c r="K132" s="60">
        <f t="shared" si="101"/>
        <v>17206.2703</v>
      </c>
      <c r="L132" s="94">
        <f t="shared" si="102"/>
        <v>0</v>
      </c>
      <c r="M132" s="95" t="str">
        <f t="shared" si="103"/>
        <v/>
      </c>
      <c r="N132" s="63" t="str">
        <f t="shared" si="104"/>
        <v/>
      </c>
      <c r="O132" s="67" t="str">
        <f t="shared" si="105"/>
        <v/>
      </c>
      <c r="P132" s="91" t="str">
        <f t="shared" si="106"/>
        <v/>
      </c>
      <c r="Q132" s="66">
        <f t="shared" si="107"/>
        <v>0</v>
      </c>
      <c r="R132" s="96">
        <f t="shared" si="108"/>
        <v>0</v>
      </c>
      <c r="S132" s="97" t="str">
        <f t="shared" si="109"/>
        <v/>
      </c>
      <c r="U132" s="60">
        <f t="shared" si="110"/>
        <v>17206.2703</v>
      </c>
      <c r="V132" s="94">
        <f t="shared" si="111"/>
        <v>11479429.96416037</v>
      </c>
      <c r="W132" s="95" t="str">
        <f t="shared" si="112"/>
        <v/>
      </c>
      <c r="X132" s="63">
        <f t="shared" si="113"/>
        <v>0</v>
      </c>
      <c r="Y132" s="67" t="str">
        <f t="shared" si="114"/>
        <v/>
      </c>
      <c r="Z132" s="91" t="str">
        <f t="shared" si="115"/>
        <v/>
      </c>
      <c r="AA132" s="66">
        <f t="shared" si="116"/>
        <v>11899424.144017536</v>
      </c>
      <c r="AB132" s="96">
        <f t="shared" si="117"/>
        <v>419994.17985716648</v>
      </c>
      <c r="AC132" s="97">
        <f t="shared" si="118"/>
        <v>3.6586675572604165E-2</v>
      </c>
      <c r="AD132" s="67">
        <f t="shared" si="119"/>
        <v>0</v>
      </c>
      <c r="AE132" s="66">
        <v>3675477.9348904323</v>
      </c>
      <c r="AG132" s="16"/>
      <c r="AH132" s="16"/>
    </row>
    <row r="133" spans="2:34" x14ac:dyDescent="0.25">
      <c r="B133" s="91">
        <v>2205</v>
      </c>
      <c r="C133" s="67" t="s">
        <v>305</v>
      </c>
      <c r="D133" s="91" t="s">
        <v>93</v>
      </c>
      <c r="E133" s="92">
        <v>2189.7939000000001</v>
      </c>
      <c r="F133" s="92">
        <v>99.245000000000005</v>
      </c>
      <c r="G133" s="60">
        <f t="shared" si="100"/>
        <v>2289.0389</v>
      </c>
      <c r="H133" s="93">
        <v>0</v>
      </c>
      <c r="I133" s="93">
        <v>0</v>
      </c>
      <c r="J133" s="93">
        <v>0</v>
      </c>
      <c r="K133" s="60">
        <f t="shared" si="101"/>
        <v>2289.0389</v>
      </c>
      <c r="L133" s="94">
        <f t="shared" si="102"/>
        <v>0</v>
      </c>
      <c r="M133" s="95" t="str">
        <f t="shared" si="103"/>
        <v/>
      </c>
      <c r="N133" s="63" t="str">
        <f t="shared" si="104"/>
        <v/>
      </c>
      <c r="O133" s="67" t="str">
        <f t="shared" si="105"/>
        <v/>
      </c>
      <c r="P133" s="91" t="str">
        <f t="shared" si="106"/>
        <v/>
      </c>
      <c r="Q133" s="66">
        <f t="shared" si="107"/>
        <v>0</v>
      </c>
      <c r="R133" s="96">
        <f t="shared" si="108"/>
        <v>0</v>
      </c>
      <c r="S133" s="97" t="str">
        <f t="shared" si="109"/>
        <v/>
      </c>
      <c r="U133" s="60">
        <f t="shared" si="110"/>
        <v>2289.0389</v>
      </c>
      <c r="V133" s="94">
        <f t="shared" si="111"/>
        <v>1527167.7870705479</v>
      </c>
      <c r="W133" s="95" t="str">
        <f t="shared" si="112"/>
        <v/>
      </c>
      <c r="X133" s="63">
        <f t="shared" si="113"/>
        <v>0</v>
      </c>
      <c r="Y133" s="67" t="str">
        <f t="shared" si="114"/>
        <v/>
      </c>
      <c r="Z133" s="91" t="str">
        <f t="shared" si="115"/>
        <v/>
      </c>
      <c r="AA133" s="66">
        <f t="shared" si="116"/>
        <v>1583041.7794410298</v>
      </c>
      <c r="AB133" s="96">
        <f t="shared" si="117"/>
        <v>55873.992370481836</v>
      </c>
      <c r="AC133" s="97">
        <f t="shared" si="118"/>
        <v>3.6586675572604074E-2</v>
      </c>
      <c r="AD133" s="67">
        <f t="shared" si="119"/>
        <v>0</v>
      </c>
      <c r="AE133" s="66">
        <v>482022.23479606991</v>
      </c>
      <c r="AG133" s="16"/>
      <c r="AH133" s="16"/>
    </row>
    <row r="134" spans="2:34" x14ac:dyDescent="0.25">
      <c r="B134" s="91">
        <v>2249</v>
      </c>
      <c r="C134" s="67" t="s">
        <v>310</v>
      </c>
      <c r="D134" s="91" t="s">
        <v>96</v>
      </c>
      <c r="E134" s="92">
        <v>617.76779999999997</v>
      </c>
      <c r="F134" s="92">
        <v>3</v>
      </c>
      <c r="G134" s="60">
        <f t="shared" si="100"/>
        <v>620.76779999999997</v>
      </c>
      <c r="H134" s="93">
        <v>-438.01084709362101</v>
      </c>
      <c r="I134" s="93">
        <v>0</v>
      </c>
      <c r="J134" s="93">
        <v>0</v>
      </c>
      <c r="K134" s="60">
        <f t="shared" si="101"/>
        <v>182.75695290637896</v>
      </c>
      <c r="L134" s="94">
        <f t="shared" si="102"/>
        <v>0</v>
      </c>
      <c r="M134" s="95" t="str">
        <f t="shared" si="103"/>
        <v/>
      </c>
      <c r="N134" s="63" t="str">
        <f t="shared" si="104"/>
        <v/>
      </c>
      <c r="O134" s="67" t="str">
        <f t="shared" si="105"/>
        <v/>
      </c>
      <c r="P134" s="91" t="str">
        <f t="shared" si="106"/>
        <v/>
      </c>
      <c r="Q134" s="66">
        <f t="shared" si="107"/>
        <v>0</v>
      </c>
      <c r="R134" s="96">
        <f t="shared" si="108"/>
        <v>0</v>
      </c>
      <c r="S134" s="97" t="str">
        <f t="shared" si="109"/>
        <v/>
      </c>
      <c r="U134" s="60">
        <f t="shared" si="110"/>
        <v>182.75695290637896</v>
      </c>
      <c r="V134" s="94">
        <f t="shared" si="111"/>
        <v>121929.13425009557</v>
      </c>
      <c r="W134" s="95" t="str">
        <f t="shared" si="112"/>
        <v/>
      </c>
      <c r="X134" s="63">
        <f t="shared" si="113"/>
        <v>0</v>
      </c>
      <c r="Y134" s="67" t="str">
        <f t="shared" si="114"/>
        <v/>
      </c>
      <c r="Z134" s="91" t="str">
        <f t="shared" si="115"/>
        <v/>
      </c>
      <c r="AA134" s="66">
        <f t="shared" si="116"/>
        <v>126390.11592775231</v>
      </c>
      <c r="AB134" s="96">
        <f t="shared" si="117"/>
        <v>4460.9816776567459</v>
      </c>
      <c r="AC134" s="97">
        <f t="shared" si="118"/>
        <v>3.6586675572604171E-2</v>
      </c>
      <c r="AD134" s="67">
        <f t="shared" si="119"/>
        <v>0</v>
      </c>
      <c r="AE134" s="66">
        <v>51188.349556162757</v>
      </c>
      <c r="AG134" s="16"/>
      <c r="AH134" s="16"/>
    </row>
    <row r="135" spans="2:34" x14ac:dyDescent="0.25">
      <c r="B135" s="91">
        <v>1925</v>
      </c>
      <c r="C135" s="67" t="s">
        <v>277</v>
      </c>
      <c r="D135" s="91" t="s">
        <v>193</v>
      </c>
      <c r="E135" s="92">
        <v>3211.7141999999999</v>
      </c>
      <c r="F135" s="92">
        <v>66.03</v>
      </c>
      <c r="G135" s="60">
        <f t="shared" si="100"/>
        <v>3277.7442000000001</v>
      </c>
      <c r="H135" s="93">
        <v>0</v>
      </c>
      <c r="I135" s="93">
        <v>0</v>
      </c>
      <c r="J135" s="93">
        <v>0</v>
      </c>
      <c r="K135" s="60">
        <f t="shared" si="101"/>
        <v>3277.7442000000001</v>
      </c>
      <c r="L135" s="94">
        <f t="shared" si="102"/>
        <v>0</v>
      </c>
      <c r="M135" s="95" t="str">
        <f t="shared" si="103"/>
        <v/>
      </c>
      <c r="N135" s="63" t="str">
        <f t="shared" si="104"/>
        <v/>
      </c>
      <c r="O135" s="67" t="str">
        <f t="shared" si="105"/>
        <v/>
      </c>
      <c r="P135" s="91" t="str">
        <f t="shared" si="106"/>
        <v/>
      </c>
      <c r="Q135" s="66">
        <f t="shared" si="107"/>
        <v>0</v>
      </c>
      <c r="R135" s="96">
        <f t="shared" si="108"/>
        <v>0</v>
      </c>
      <c r="S135" s="97" t="str">
        <f t="shared" si="109"/>
        <v/>
      </c>
      <c r="U135" s="60">
        <f t="shared" si="110"/>
        <v>3277.7442000000001</v>
      </c>
      <c r="V135" s="94">
        <f t="shared" si="111"/>
        <v>2186797.8549850434</v>
      </c>
      <c r="W135" s="95" t="str">
        <f t="shared" si="112"/>
        <v/>
      </c>
      <c r="X135" s="63">
        <f t="shared" si="113"/>
        <v>0</v>
      </c>
      <c r="Y135" s="67" t="str">
        <f t="shared" si="114"/>
        <v/>
      </c>
      <c r="Z135" s="91" t="str">
        <f t="shared" si="115"/>
        <v/>
      </c>
      <c r="AA135" s="66">
        <f t="shared" si="116"/>
        <v>2266805.5186482482</v>
      </c>
      <c r="AB135" s="96">
        <f t="shared" si="117"/>
        <v>80007.663663204759</v>
      </c>
      <c r="AC135" s="97">
        <f t="shared" si="118"/>
        <v>3.6586675572604296E-2</v>
      </c>
      <c r="AD135" s="67">
        <f t="shared" si="119"/>
        <v>0</v>
      </c>
      <c r="AE135" s="66">
        <v>700497.82669613359</v>
      </c>
      <c r="AG135" s="16"/>
      <c r="AH135" s="16"/>
    </row>
    <row r="136" spans="2:34" x14ac:dyDescent="0.25">
      <c r="B136" s="91">
        <v>1898</v>
      </c>
      <c r="C136" s="67" t="s">
        <v>276</v>
      </c>
      <c r="D136" s="91" t="s">
        <v>172</v>
      </c>
      <c r="E136" s="92">
        <v>592.02369999999996</v>
      </c>
      <c r="F136" s="92">
        <v>19.487500000000001</v>
      </c>
      <c r="G136" s="60">
        <f t="shared" si="100"/>
        <v>611.51119999999992</v>
      </c>
      <c r="H136" s="93">
        <v>0</v>
      </c>
      <c r="I136" s="93">
        <v>0</v>
      </c>
      <c r="J136" s="93">
        <v>0</v>
      </c>
      <c r="K136" s="60">
        <f t="shared" si="101"/>
        <v>611.51119999999992</v>
      </c>
      <c r="L136" s="94">
        <f t="shared" si="102"/>
        <v>0</v>
      </c>
      <c r="M136" s="95" t="str">
        <f t="shared" si="103"/>
        <v/>
      </c>
      <c r="N136" s="63" t="str">
        <f t="shared" si="104"/>
        <v/>
      </c>
      <c r="O136" s="67" t="str">
        <f t="shared" si="105"/>
        <v/>
      </c>
      <c r="P136" s="91" t="str">
        <f t="shared" si="106"/>
        <v/>
      </c>
      <c r="Q136" s="66">
        <f t="shared" si="107"/>
        <v>0</v>
      </c>
      <c r="R136" s="96">
        <f t="shared" si="108"/>
        <v>0</v>
      </c>
      <c r="S136" s="97" t="str">
        <f t="shared" si="109"/>
        <v/>
      </c>
      <c r="U136" s="60">
        <f t="shared" si="110"/>
        <v>611.51119999999992</v>
      </c>
      <c r="V136" s="94">
        <f t="shared" si="111"/>
        <v>407979.17679461674</v>
      </c>
      <c r="W136" s="95" t="str">
        <f t="shared" si="112"/>
        <v/>
      </c>
      <c r="X136" s="63">
        <f t="shared" si="113"/>
        <v>0</v>
      </c>
      <c r="Y136" s="67" t="str">
        <f t="shared" si="114"/>
        <v/>
      </c>
      <c r="Z136" s="91" t="str">
        <f t="shared" si="115"/>
        <v/>
      </c>
      <c r="AA136" s="66">
        <f t="shared" si="116"/>
        <v>422905.77857637953</v>
      </c>
      <c r="AB136" s="96">
        <f t="shared" si="117"/>
        <v>14926.601781762787</v>
      </c>
      <c r="AC136" s="97">
        <f t="shared" si="118"/>
        <v>3.6586675572604234E-2</v>
      </c>
      <c r="AD136" s="67">
        <f t="shared" si="119"/>
        <v>0</v>
      </c>
      <c r="AE136" s="66">
        <v>114747.42381818879</v>
      </c>
      <c r="AG136" s="16"/>
      <c r="AH136" s="16"/>
    </row>
    <row r="137" spans="2:34" x14ac:dyDescent="0.25">
      <c r="B137" s="91">
        <v>2010</v>
      </c>
      <c r="C137" s="67" t="s">
        <v>286</v>
      </c>
      <c r="D137" s="91" t="s">
        <v>173</v>
      </c>
      <c r="E137" s="92">
        <v>141.12989999999999</v>
      </c>
      <c r="F137" s="92">
        <v>2.36</v>
      </c>
      <c r="G137" s="60">
        <f t="shared" si="100"/>
        <v>143.48990000000001</v>
      </c>
      <c r="H137" s="93">
        <v>0</v>
      </c>
      <c r="I137" s="93">
        <v>0</v>
      </c>
      <c r="J137" s="93">
        <v>0</v>
      </c>
      <c r="K137" s="60">
        <f t="shared" si="101"/>
        <v>143.48990000000001</v>
      </c>
      <c r="L137" s="94">
        <f t="shared" si="102"/>
        <v>0</v>
      </c>
      <c r="M137" s="95" t="str">
        <f t="shared" si="103"/>
        <v/>
      </c>
      <c r="N137" s="63" t="str">
        <f t="shared" si="104"/>
        <v/>
      </c>
      <c r="O137" s="67" t="str">
        <f t="shared" si="105"/>
        <v/>
      </c>
      <c r="P137" s="91" t="str">
        <f t="shared" si="106"/>
        <v/>
      </c>
      <c r="Q137" s="66">
        <f t="shared" si="107"/>
        <v>0</v>
      </c>
      <c r="R137" s="96">
        <f t="shared" si="108"/>
        <v>0</v>
      </c>
      <c r="S137" s="97" t="str">
        <f t="shared" si="109"/>
        <v/>
      </c>
      <c r="U137" s="60">
        <f t="shared" si="110"/>
        <v>143.48990000000001</v>
      </c>
      <c r="V137" s="94">
        <f t="shared" si="111"/>
        <v>95731.511181384558</v>
      </c>
      <c r="W137" s="95" t="str">
        <f t="shared" si="112"/>
        <v/>
      </c>
      <c r="X137" s="63">
        <f t="shared" si="113"/>
        <v>0</v>
      </c>
      <c r="Y137" s="67" t="str">
        <f t="shared" si="114"/>
        <v/>
      </c>
      <c r="Z137" s="91" t="str">
        <f t="shared" si="115"/>
        <v/>
      </c>
      <c r="AA137" s="66">
        <f t="shared" si="116"/>
        <v>99234.008923052999</v>
      </c>
      <c r="AB137" s="96">
        <f t="shared" si="117"/>
        <v>3502.4977416684414</v>
      </c>
      <c r="AC137" s="97">
        <f t="shared" si="118"/>
        <v>3.658667557260413E-2</v>
      </c>
      <c r="AD137" s="67">
        <f t="shared" si="119"/>
        <v>0</v>
      </c>
      <c r="AE137" s="66">
        <v>30220.683847938148</v>
      </c>
      <c r="AG137" s="16"/>
      <c r="AH137" s="16"/>
    </row>
    <row r="138" spans="2:34" x14ac:dyDescent="0.25">
      <c r="B138" s="91">
        <v>2147</v>
      </c>
      <c r="C138" s="67" t="s">
        <v>300</v>
      </c>
      <c r="D138" s="91" t="s">
        <v>55</v>
      </c>
      <c r="E138" s="92">
        <v>3103.5331999999999</v>
      </c>
      <c r="F138" s="92">
        <v>87.5</v>
      </c>
      <c r="G138" s="60">
        <f t="shared" si="100"/>
        <v>3191.0331999999999</v>
      </c>
      <c r="H138" s="93">
        <v>0</v>
      </c>
      <c r="I138" s="93">
        <v>0</v>
      </c>
      <c r="J138" s="93">
        <v>0</v>
      </c>
      <c r="K138" s="60">
        <f t="shared" si="101"/>
        <v>3191.0331999999999</v>
      </c>
      <c r="L138" s="94">
        <f t="shared" si="102"/>
        <v>0</v>
      </c>
      <c r="M138" s="95" t="str">
        <f t="shared" si="103"/>
        <v/>
      </c>
      <c r="N138" s="63" t="str">
        <f t="shared" si="104"/>
        <v/>
      </c>
      <c r="O138" s="67" t="str">
        <f t="shared" si="105"/>
        <v/>
      </c>
      <c r="P138" s="91" t="str">
        <f t="shared" si="106"/>
        <v/>
      </c>
      <c r="Q138" s="66">
        <f t="shared" si="107"/>
        <v>0</v>
      </c>
      <c r="R138" s="96">
        <f t="shared" si="108"/>
        <v>0</v>
      </c>
      <c r="S138" s="97" t="str">
        <f t="shared" si="109"/>
        <v/>
      </c>
      <c r="U138" s="60">
        <f t="shared" si="110"/>
        <v>3191.0331999999999</v>
      </c>
      <c r="V138" s="94">
        <f t="shared" si="111"/>
        <v>2128947.2671314799</v>
      </c>
      <c r="W138" s="95" t="str">
        <f t="shared" si="112"/>
        <v/>
      </c>
      <c r="X138" s="63">
        <f t="shared" si="113"/>
        <v>0</v>
      </c>
      <c r="Y138" s="67" t="str">
        <f t="shared" si="114"/>
        <v/>
      </c>
      <c r="Z138" s="91" t="str">
        <f t="shared" si="115"/>
        <v/>
      </c>
      <c r="AA138" s="66">
        <f t="shared" si="116"/>
        <v>2206838.3701052014</v>
      </c>
      <c r="AB138" s="96">
        <f t="shared" si="117"/>
        <v>77891.102973721456</v>
      </c>
      <c r="AC138" s="97">
        <f t="shared" si="118"/>
        <v>3.6586675572604047E-2</v>
      </c>
      <c r="AD138" s="67">
        <f t="shared" si="119"/>
        <v>0</v>
      </c>
      <c r="AE138" s="66">
        <v>680089.84382693178</v>
      </c>
      <c r="AG138" s="16"/>
      <c r="AH138" s="16"/>
    </row>
    <row r="139" spans="2:34" x14ac:dyDescent="0.25">
      <c r="B139" s="91">
        <v>2145</v>
      </c>
      <c r="C139" s="67" t="s">
        <v>299</v>
      </c>
      <c r="D139" s="91" t="s">
        <v>174</v>
      </c>
      <c r="E139" s="92">
        <v>993.98069999999996</v>
      </c>
      <c r="F139" s="92">
        <v>17.2425</v>
      </c>
      <c r="G139" s="60">
        <f t="shared" si="100"/>
        <v>1011.2231999999999</v>
      </c>
      <c r="H139" s="93">
        <v>0</v>
      </c>
      <c r="I139" s="93">
        <v>0</v>
      </c>
      <c r="J139" s="93">
        <v>0</v>
      </c>
      <c r="K139" s="60">
        <f t="shared" si="101"/>
        <v>1011.2231999999999</v>
      </c>
      <c r="L139" s="94">
        <f t="shared" si="102"/>
        <v>0</v>
      </c>
      <c r="M139" s="95" t="str">
        <f t="shared" si="103"/>
        <v/>
      </c>
      <c r="N139" s="63" t="str">
        <f t="shared" si="104"/>
        <v/>
      </c>
      <c r="O139" s="67" t="str">
        <f t="shared" si="105"/>
        <v/>
      </c>
      <c r="P139" s="91" t="str">
        <f t="shared" si="106"/>
        <v/>
      </c>
      <c r="Q139" s="66">
        <f t="shared" si="107"/>
        <v>0</v>
      </c>
      <c r="R139" s="96">
        <f t="shared" si="108"/>
        <v>0</v>
      </c>
      <c r="S139" s="97" t="str">
        <f t="shared" si="109"/>
        <v/>
      </c>
      <c r="U139" s="60">
        <f t="shared" si="110"/>
        <v>1011.2231999999999</v>
      </c>
      <c r="V139" s="94">
        <f t="shared" si="111"/>
        <v>674653.23397448508</v>
      </c>
      <c r="W139" s="95" t="str">
        <f t="shared" si="112"/>
        <v/>
      </c>
      <c r="X139" s="63">
        <f t="shared" si="113"/>
        <v>0</v>
      </c>
      <c r="Y139" s="67" t="str">
        <f t="shared" si="114"/>
        <v/>
      </c>
      <c r="Z139" s="91" t="str">
        <f t="shared" si="115"/>
        <v/>
      </c>
      <c r="AA139" s="66">
        <f t="shared" si="116"/>
        <v>699336.55296991777</v>
      </c>
      <c r="AB139" s="96">
        <f t="shared" si="117"/>
        <v>24683.318995432695</v>
      </c>
      <c r="AC139" s="97">
        <f t="shared" si="118"/>
        <v>3.6586675572604165E-2</v>
      </c>
      <c r="AD139" s="67">
        <f t="shared" si="119"/>
        <v>0</v>
      </c>
      <c r="AE139" s="66">
        <v>206583.51607358648</v>
      </c>
      <c r="AG139" s="16"/>
      <c r="AH139" s="16"/>
    </row>
    <row r="140" spans="2:34" x14ac:dyDescent="0.25">
      <c r="B140" s="91">
        <v>1968</v>
      </c>
      <c r="C140" s="67" t="s">
        <v>280</v>
      </c>
      <c r="D140" s="91" t="s">
        <v>71</v>
      </c>
      <c r="E140" s="92">
        <v>717.64030000000002</v>
      </c>
      <c r="F140" s="92">
        <v>27</v>
      </c>
      <c r="G140" s="60">
        <f t="shared" si="100"/>
        <v>744.64030000000002</v>
      </c>
      <c r="H140" s="93">
        <v>0</v>
      </c>
      <c r="I140" s="93">
        <v>0</v>
      </c>
      <c r="J140" s="93">
        <v>0</v>
      </c>
      <c r="K140" s="60">
        <f t="shared" si="101"/>
        <v>744.64030000000002</v>
      </c>
      <c r="L140" s="94">
        <f t="shared" si="102"/>
        <v>0</v>
      </c>
      <c r="M140" s="95" t="str">
        <f t="shared" si="103"/>
        <v/>
      </c>
      <c r="N140" s="63" t="str">
        <f t="shared" si="104"/>
        <v/>
      </c>
      <c r="O140" s="67" t="str">
        <f t="shared" si="105"/>
        <v/>
      </c>
      <c r="P140" s="91" t="str">
        <f t="shared" si="106"/>
        <v/>
      </c>
      <c r="Q140" s="66">
        <f t="shared" si="107"/>
        <v>0</v>
      </c>
      <c r="R140" s="96">
        <f t="shared" si="108"/>
        <v>0</v>
      </c>
      <c r="S140" s="97" t="str">
        <f t="shared" si="109"/>
        <v/>
      </c>
      <c r="U140" s="60">
        <f t="shared" si="110"/>
        <v>744.64030000000002</v>
      </c>
      <c r="V140" s="94">
        <f t="shared" si="111"/>
        <v>496798.31964172778</v>
      </c>
      <c r="W140" s="95" t="str">
        <f t="shared" si="112"/>
        <v/>
      </c>
      <c r="X140" s="63">
        <f t="shared" si="113"/>
        <v>0</v>
      </c>
      <c r="Y140" s="67" t="str">
        <f t="shared" si="114"/>
        <v/>
      </c>
      <c r="Z140" s="91" t="str">
        <f t="shared" si="115"/>
        <v/>
      </c>
      <c r="AA140" s="66">
        <f t="shared" si="116"/>
        <v>514974.51858747454</v>
      </c>
      <c r="AB140" s="96">
        <f t="shared" si="117"/>
        <v>18176.198945746757</v>
      </c>
      <c r="AC140" s="97">
        <f t="shared" si="118"/>
        <v>3.6586675572604081E-2</v>
      </c>
      <c r="AD140" s="67">
        <f t="shared" si="119"/>
        <v>0</v>
      </c>
      <c r="AE140" s="66">
        <v>153848.82399834963</v>
      </c>
      <c r="AG140" s="16"/>
      <c r="AH140" s="16"/>
    </row>
    <row r="141" spans="2:34" x14ac:dyDescent="0.25">
      <c r="B141" s="91">
        <v>2198</v>
      </c>
      <c r="C141" s="67" t="s">
        <v>304</v>
      </c>
      <c r="D141" s="91" t="s">
        <v>175</v>
      </c>
      <c r="E141" s="92">
        <v>1034.9935</v>
      </c>
      <c r="F141" s="92">
        <v>32.717500000000001</v>
      </c>
      <c r="G141" s="60">
        <f t="shared" si="100"/>
        <v>1067.711</v>
      </c>
      <c r="H141" s="93">
        <v>0</v>
      </c>
      <c r="I141" s="93">
        <v>0</v>
      </c>
      <c r="J141" s="93">
        <v>0</v>
      </c>
      <c r="K141" s="60">
        <f t="shared" si="101"/>
        <v>1067.711</v>
      </c>
      <c r="L141" s="94">
        <f t="shared" si="102"/>
        <v>0</v>
      </c>
      <c r="M141" s="95" t="str">
        <f t="shared" si="103"/>
        <v/>
      </c>
      <c r="N141" s="63" t="str">
        <f t="shared" si="104"/>
        <v/>
      </c>
      <c r="O141" s="67" t="str">
        <f t="shared" si="105"/>
        <v/>
      </c>
      <c r="P141" s="91" t="str">
        <f t="shared" si="106"/>
        <v/>
      </c>
      <c r="Q141" s="66">
        <f t="shared" si="107"/>
        <v>0</v>
      </c>
      <c r="R141" s="96">
        <f t="shared" si="108"/>
        <v>0</v>
      </c>
      <c r="S141" s="97" t="str">
        <f t="shared" si="109"/>
        <v/>
      </c>
      <c r="U141" s="60">
        <f t="shared" si="110"/>
        <v>1067.711</v>
      </c>
      <c r="V141" s="94">
        <f t="shared" si="111"/>
        <v>712339.9454246416</v>
      </c>
      <c r="W141" s="95" t="str">
        <f t="shared" si="112"/>
        <v/>
      </c>
      <c r="X141" s="63">
        <f t="shared" si="113"/>
        <v>0</v>
      </c>
      <c r="Y141" s="67" t="str">
        <f t="shared" si="114"/>
        <v/>
      </c>
      <c r="Z141" s="91" t="str">
        <f t="shared" si="115"/>
        <v/>
      </c>
      <c r="AA141" s="66">
        <f t="shared" si="116"/>
        <v>738402.09590529953</v>
      </c>
      <c r="AB141" s="96">
        <f t="shared" si="117"/>
        <v>26062.150480657932</v>
      </c>
      <c r="AC141" s="97">
        <f t="shared" si="118"/>
        <v>3.6586675572604185E-2</v>
      </c>
      <c r="AD141" s="67">
        <f t="shared" si="119"/>
        <v>0</v>
      </c>
      <c r="AE141" s="66">
        <v>225915.67774514671</v>
      </c>
      <c r="AG141" s="16"/>
      <c r="AH141" s="16"/>
    </row>
    <row r="142" spans="2:34" x14ac:dyDescent="0.25">
      <c r="B142" s="91">
        <v>2199</v>
      </c>
      <c r="C142" s="67" t="s">
        <v>304</v>
      </c>
      <c r="D142" s="91" t="s">
        <v>199</v>
      </c>
      <c r="E142" s="92">
        <v>681.46489999999994</v>
      </c>
      <c r="F142" s="92">
        <v>19.254999999999999</v>
      </c>
      <c r="G142" s="60">
        <f t="shared" si="100"/>
        <v>700.71989999999994</v>
      </c>
      <c r="H142" s="93">
        <v>0</v>
      </c>
      <c r="I142" s="93">
        <v>0</v>
      </c>
      <c r="J142" s="93">
        <v>0</v>
      </c>
      <c r="K142" s="60">
        <f t="shared" si="101"/>
        <v>700.71989999999994</v>
      </c>
      <c r="L142" s="94">
        <f t="shared" si="102"/>
        <v>0</v>
      </c>
      <c r="M142" s="95" t="str">
        <f t="shared" si="103"/>
        <v/>
      </c>
      <c r="N142" s="63" t="str">
        <f t="shared" si="104"/>
        <v/>
      </c>
      <c r="O142" s="67" t="str">
        <f t="shared" si="105"/>
        <v/>
      </c>
      <c r="P142" s="91" t="str">
        <f t="shared" si="106"/>
        <v/>
      </c>
      <c r="Q142" s="66">
        <f t="shared" si="107"/>
        <v>0</v>
      </c>
      <c r="R142" s="96">
        <f t="shared" si="108"/>
        <v>0</v>
      </c>
      <c r="S142" s="97" t="str">
        <f t="shared" si="109"/>
        <v/>
      </c>
      <c r="U142" s="60">
        <f t="shared" si="110"/>
        <v>700.71989999999994</v>
      </c>
      <c r="V142" s="94">
        <f t="shared" si="111"/>
        <v>467496.14392280334</v>
      </c>
      <c r="W142" s="95" t="str">
        <f t="shared" si="112"/>
        <v/>
      </c>
      <c r="X142" s="63">
        <f t="shared" si="113"/>
        <v>0</v>
      </c>
      <c r="Y142" s="67" t="str">
        <f t="shared" si="114"/>
        <v/>
      </c>
      <c r="Z142" s="91" t="str">
        <f t="shared" si="115"/>
        <v/>
      </c>
      <c r="AA142" s="66">
        <f t="shared" si="116"/>
        <v>484600.27367195045</v>
      </c>
      <c r="AB142" s="96">
        <f t="shared" si="117"/>
        <v>17104.129749147105</v>
      </c>
      <c r="AC142" s="97">
        <f t="shared" si="118"/>
        <v>3.6586675572604241E-2</v>
      </c>
      <c r="AD142" s="67">
        <f t="shared" si="119"/>
        <v>0</v>
      </c>
      <c r="AE142" s="66">
        <v>150185.85000028796</v>
      </c>
      <c r="AG142" s="16"/>
      <c r="AH142" s="16"/>
    </row>
    <row r="143" spans="2:34" x14ac:dyDescent="0.25">
      <c r="B143" s="91">
        <v>2254</v>
      </c>
      <c r="C143" s="67" t="s">
        <v>311</v>
      </c>
      <c r="D143" s="91" t="s">
        <v>177</v>
      </c>
      <c r="E143" s="92">
        <v>5890.8611000000001</v>
      </c>
      <c r="F143" s="92">
        <v>129.36500000000001</v>
      </c>
      <c r="G143" s="60">
        <f t="shared" si="100"/>
        <v>6020.2260999999999</v>
      </c>
      <c r="H143" s="93">
        <v>0</v>
      </c>
      <c r="I143" s="93">
        <v>0</v>
      </c>
      <c r="J143" s="93">
        <v>0</v>
      </c>
      <c r="K143" s="60">
        <f t="shared" si="101"/>
        <v>6020.2260999999999</v>
      </c>
      <c r="L143" s="94">
        <f t="shared" si="102"/>
        <v>0</v>
      </c>
      <c r="M143" s="95" t="str">
        <f t="shared" si="103"/>
        <v/>
      </c>
      <c r="N143" s="63" t="str">
        <f t="shared" si="104"/>
        <v/>
      </c>
      <c r="O143" s="67" t="str">
        <f t="shared" si="105"/>
        <v/>
      </c>
      <c r="P143" s="91" t="str">
        <f t="shared" si="106"/>
        <v/>
      </c>
      <c r="Q143" s="66">
        <f t="shared" si="107"/>
        <v>0</v>
      </c>
      <c r="R143" s="96">
        <f t="shared" si="108"/>
        <v>0</v>
      </c>
      <c r="S143" s="97" t="str">
        <f t="shared" si="109"/>
        <v/>
      </c>
      <c r="U143" s="60">
        <f t="shared" si="110"/>
        <v>6020.2260999999999</v>
      </c>
      <c r="V143" s="94">
        <f t="shared" si="111"/>
        <v>4016487.1688293959</v>
      </c>
      <c r="W143" s="95" t="str">
        <f t="shared" si="112"/>
        <v/>
      </c>
      <c r="X143" s="63">
        <f t="shared" si="113"/>
        <v>0</v>
      </c>
      <c r="Y143" s="67" t="str">
        <f t="shared" si="114"/>
        <v/>
      </c>
      <c r="Z143" s="91" t="str">
        <f t="shared" si="115"/>
        <v/>
      </c>
      <c r="AA143" s="66">
        <f t="shared" si="116"/>
        <v>4163437.0818168842</v>
      </c>
      <c r="AB143" s="96">
        <f t="shared" si="117"/>
        <v>146949.91298748832</v>
      </c>
      <c r="AC143" s="97">
        <f t="shared" si="118"/>
        <v>3.6586675572604116E-2</v>
      </c>
      <c r="AD143" s="67">
        <f t="shared" si="119"/>
        <v>0</v>
      </c>
      <c r="AE143" s="66">
        <v>1238984.7242813695</v>
      </c>
      <c r="AG143" s="16"/>
      <c r="AH143" s="16"/>
    </row>
    <row r="144" spans="2:34" x14ac:dyDescent="0.25">
      <c r="B144" s="6">
        <v>4202</v>
      </c>
      <c r="C144" s="6" t="s">
        <v>305</v>
      </c>
      <c r="D144" s="6" t="s">
        <v>326</v>
      </c>
      <c r="E144" s="92"/>
      <c r="F144" s="92"/>
      <c r="G144" s="60"/>
      <c r="H144" s="93"/>
      <c r="I144" s="93"/>
      <c r="J144" s="93"/>
      <c r="K144" s="60"/>
      <c r="L144" s="94"/>
      <c r="M144" s="95"/>
      <c r="N144" s="63"/>
      <c r="O144" s="67"/>
      <c r="P144" s="91"/>
      <c r="Q144" s="66"/>
      <c r="R144" s="96"/>
      <c r="S144" s="97"/>
      <c r="U144" s="60"/>
      <c r="V144" s="94"/>
      <c r="W144" s="95"/>
      <c r="X144" s="63"/>
      <c r="Y144" s="67"/>
      <c r="Z144" s="91"/>
      <c r="AA144" s="66"/>
      <c r="AB144" s="96"/>
      <c r="AC144" s="97"/>
      <c r="AD144" s="67"/>
      <c r="AE144" s="66">
        <v>19827.535177004782</v>
      </c>
      <c r="AG144" s="16"/>
      <c r="AH144" s="16"/>
    </row>
    <row r="145" spans="2:34" x14ac:dyDescent="0.25">
      <c r="B145" s="91">
        <v>1966</v>
      </c>
      <c r="C145" s="67" t="s">
        <v>280</v>
      </c>
      <c r="D145" s="91" t="s">
        <v>86</v>
      </c>
      <c r="E145" s="92">
        <v>4884.4768000000004</v>
      </c>
      <c r="F145" s="92">
        <v>104.25</v>
      </c>
      <c r="G145" s="60">
        <f t="shared" ref="G145:G163" si="120">E145+F145</f>
        <v>4988.7268000000004</v>
      </c>
      <c r="H145" s="93">
        <v>-1863.88028168965</v>
      </c>
      <c r="I145" s="93">
        <v>0</v>
      </c>
      <c r="J145" s="93">
        <v>0</v>
      </c>
      <c r="K145" s="60">
        <f t="shared" ref="K145:K163" si="121">$G145+$H145+$I145+$J145</f>
        <v>3124.8465183103503</v>
      </c>
      <c r="L145" s="94">
        <f t="shared" ref="L145:L163" si="122">K145*$D$16</f>
        <v>0</v>
      </c>
      <c r="M145" s="95" t="str">
        <f t="shared" ref="M145:M163" si="123">IF(K145=0,"",IF(K145&lt;$W$16,"Yes",""))</f>
        <v/>
      </c>
      <c r="N145" s="63" t="str">
        <f t="shared" ref="N145:N163" si="124">IF(K145=0,"",IF(K145&lt;$W$16,$W$16-K145,""))</f>
        <v/>
      </c>
      <c r="O145" s="67" t="str">
        <f t="shared" ref="O145:O163" si="125">IF(K145=0,"",IF(K145&lt;$M$16,(K145+N145)*$Q$16,""))</f>
        <v/>
      </c>
      <c r="P145" s="91" t="str">
        <f t="shared" ref="P145:P163" si="126">IF(K145=0,"",IF(K145&lt;$W$16,(K145+N145),""))</f>
        <v/>
      </c>
      <c r="Q145" s="66">
        <f t="shared" ref="Q145:Q163" si="127">MAX(O145,(K145*$Q$16))</f>
        <v>0</v>
      </c>
      <c r="R145" s="96">
        <f t="shared" ref="R145:R163" si="128">IF(Q145=0,0,(Q145-L145))</f>
        <v>0</v>
      </c>
      <c r="S145" s="97" t="str">
        <f t="shared" ref="S145:S163" si="129">IF(R145=0,"",(R145/L145))</f>
        <v/>
      </c>
      <c r="U145" s="60">
        <f t="shared" ref="U145:U163" si="130">$G145+$H145+$I145+$J145</f>
        <v>3124.8465183103503</v>
      </c>
      <c r="V145" s="94">
        <f t="shared" ref="V145:V163" si="131">U145*$E$16</f>
        <v>2084789.7964089313</v>
      </c>
      <c r="W145" s="95" t="str">
        <f t="shared" ref="W145:W163" si="132">IF(U145=0,"",IF(U145&lt;$W$16,"Yes",""))</f>
        <v/>
      </c>
      <c r="X145" s="63">
        <f t="shared" ref="X145:X163" si="133">IF(U145=0,0,IF(U145&lt;$W$16,$W$16-U145,0))</f>
        <v>0</v>
      </c>
      <c r="Y145" s="67" t="str">
        <f t="shared" ref="Y145:Y163" si="134">IF(U145=0,"",IF(U145&lt;$W$16,(U145+X145)*$AA$16,""))</f>
        <v/>
      </c>
      <c r="Z145" s="91" t="str">
        <f t="shared" ref="Z145:Z163" si="135">IF(U145=0,"",IF(U145&lt;$W$16,(U145+X145),""))</f>
        <v/>
      </c>
      <c r="AA145" s="66">
        <f t="shared" ref="AA145:AA163" si="136">MAX(Y145,(U145*$AA$16))</f>
        <v>2161065.3243272202</v>
      </c>
      <c r="AB145" s="96">
        <f t="shared" ref="AB145:AB163" si="137">IF(AA145=0,"",(AA145-V145))</f>
        <v>76275.52791828895</v>
      </c>
      <c r="AC145" s="97">
        <f t="shared" ref="AC145:AC163" si="138">IF(AB145="","",(AB145/V145))</f>
        <v>3.6586675572604116E-2</v>
      </c>
      <c r="AD145" s="67">
        <f t="shared" ref="AD145:AD163" si="139">IF(AA145=0,0,(U145+X145)/$AA$14)*$E$13</f>
        <v>0</v>
      </c>
      <c r="AE145" s="66">
        <v>631491.51375943574</v>
      </c>
      <c r="AG145" s="16"/>
      <c r="AH145" s="16"/>
    </row>
    <row r="146" spans="2:34" x14ac:dyDescent="0.25">
      <c r="B146" s="91">
        <v>1924</v>
      </c>
      <c r="C146" s="67" t="s">
        <v>277</v>
      </c>
      <c r="D146" s="91" t="s">
        <v>46</v>
      </c>
      <c r="E146" s="92">
        <v>20480.130499999999</v>
      </c>
      <c r="F146" s="92">
        <v>433.1875</v>
      </c>
      <c r="G146" s="60">
        <f t="shared" si="120"/>
        <v>20913.317999999999</v>
      </c>
      <c r="H146" s="93">
        <v>-451.00539137179385</v>
      </c>
      <c r="I146" s="93">
        <v>0</v>
      </c>
      <c r="J146" s="93">
        <v>0</v>
      </c>
      <c r="K146" s="60">
        <f t="shared" si="121"/>
        <v>20462.312608628206</v>
      </c>
      <c r="L146" s="94">
        <f t="shared" si="122"/>
        <v>0</v>
      </c>
      <c r="M146" s="95" t="str">
        <f t="shared" si="123"/>
        <v/>
      </c>
      <c r="N146" s="63" t="str">
        <f t="shared" si="124"/>
        <v/>
      </c>
      <c r="O146" s="67" t="str">
        <f t="shared" si="125"/>
        <v/>
      </c>
      <c r="P146" s="91" t="str">
        <f t="shared" si="126"/>
        <v/>
      </c>
      <c r="Q146" s="66">
        <f t="shared" si="127"/>
        <v>0</v>
      </c>
      <c r="R146" s="96">
        <f t="shared" si="128"/>
        <v>0</v>
      </c>
      <c r="S146" s="97" t="str">
        <f t="shared" si="129"/>
        <v/>
      </c>
      <c r="U146" s="60">
        <f t="shared" si="130"/>
        <v>20462.312608628206</v>
      </c>
      <c r="V146" s="94">
        <f t="shared" si="131"/>
        <v>13651749.065891588</v>
      </c>
      <c r="W146" s="95" t="str">
        <f t="shared" si="132"/>
        <v/>
      </c>
      <c r="X146" s="63">
        <f t="shared" si="133"/>
        <v>0</v>
      </c>
      <c r="Y146" s="67" t="str">
        <f t="shared" si="134"/>
        <v/>
      </c>
      <c r="Z146" s="91" t="str">
        <f t="shared" si="135"/>
        <v/>
      </c>
      <c r="AA146" s="66">
        <f t="shared" si="136"/>
        <v>14151221.179963965</v>
      </c>
      <c r="AB146" s="96">
        <f t="shared" si="137"/>
        <v>499472.11407237686</v>
      </c>
      <c r="AC146" s="97">
        <f t="shared" si="138"/>
        <v>3.6586675572604116E-2</v>
      </c>
      <c r="AD146" s="67">
        <f t="shared" si="139"/>
        <v>0</v>
      </c>
      <c r="AE146" s="66">
        <v>4313087.7407401456</v>
      </c>
      <c r="AG146" s="16"/>
      <c r="AH146" s="16"/>
    </row>
    <row r="147" spans="2:34" x14ac:dyDescent="0.25">
      <c r="B147" s="91">
        <v>1996</v>
      </c>
      <c r="C147" s="67" t="s">
        <v>284</v>
      </c>
      <c r="D147" s="91" t="s">
        <v>178</v>
      </c>
      <c r="E147" s="92">
        <v>455.29520000000002</v>
      </c>
      <c r="F147" s="92">
        <v>14.7</v>
      </c>
      <c r="G147" s="60">
        <f t="shared" si="120"/>
        <v>469.99520000000001</v>
      </c>
      <c r="H147" s="93">
        <v>0</v>
      </c>
      <c r="I147" s="93">
        <v>0</v>
      </c>
      <c r="J147" s="93">
        <v>0</v>
      </c>
      <c r="K147" s="60">
        <f t="shared" si="121"/>
        <v>469.99520000000001</v>
      </c>
      <c r="L147" s="94">
        <f t="shared" si="122"/>
        <v>0</v>
      </c>
      <c r="M147" s="95" t="str">
        <f t="shared" si="123"/>
        <v/>
      </c>
      <c r="N147" s="63" t="str">
        <f t="shared" si="124"/>
        <v/>
      </c>
      <c r="O147" s="67" t="str">
        <f t="shared" si="125"/>
        <v/>
      </c>
      <c r="P147" s="91" t="str">
        <f t="shared" si="126"/>
        <v/>
      </c>
      <c r="Q147" s="66">
        <f t="shared" si="127"/>
        <v>0</v>
      </c>
      <c r="R147" s="96">
        <f t="shared" si="128"/>
        <v>0</v>
      </c>
      <c r="S147" s="97" t="str">
        <f t="shared" si="129"/>
        <v/>
      </c>
      <c r="U147" s="60">
        <f t="shared" si="130"/>
        <v>469.99520000000001</v>
      </c>
      <c r="V147" s="94">
        <f t="shared" si="131"/>
        <v>313564.58359784953</v>
      </c>
      <c r="W147" s="95" t="str">
        <f t="shared" si="132"/>
        <v/>
      </c>
      <c r="X147" s="63">
        <f t="shared" si="133"/>
        <v>0</v>
      </c>
      <c r="Y147" s="67" t="str">
        <f t="shared" si="134"/>
        <v/>
      </c>
      <c r="Z147" s="91" t="str">
        <f t="shared" si="135"/>
        <v/>
      </c>
      <c r="AA147" s="66">
        <f t="shared" si="136"/>
        <v>325036.86928900279</v>
      </c>
      <c r="AB147" s="96">
        <f t="shared" si="137"/>
        <v>11472.285691153258</v>
      </c>
      <c r="AC147" s="97">
        <f t="shared" si="138"/>
        <v>3.6586675572604227E-2</v>
      </c>
      <c r="AD147" s="67">
        <f t="shared" si="139"/>
        <v>0</v>
      </c>
      <c r="AE147" s="66">
        <v>96932.012757072851</v>
      </c>
      <c r="AG147" s="16"/>
      <c r="AH147" s="16"/>
    </row>
    <row r="148" spans="2:34" x14ac:dyDescent="0.25">
      <c r="B148" s="91">
        <v>2061</v>
      </c>
      <c r="C148" s="67" t="s">
        <v>293</v>
      </c>
      <c r="D148" s="91" t="s">
        <v>200</v>
      </c>
      <c r="E148" s="92">
        <v>389.66199999999998</v>
      </c>
      <c r="F148" s="92">
        <v>9.9</v>
      </c>
      <c r="G148" s="60">
        <f t="shared" si="120"/>
        <v>399.56199999999995</v>
      </c>
      <c r="H148" s="93">
        <v>0</v>
      </c>
      <c r="I148" s="93">
        <v>0</v>
      </c>
      <c r="J148" s="93">
        <v>0</v>
      </c>
      <c r="K148" s="60">
        <f t="shared" si="121"/>
        <v>399.56199999999995</v>
      </c>
      <c r="L148" s="94">
        <f t="shared" si="122"/>
        <v>0</v>
      </c>
      <c r="M148" s="95" t="str">
        <f t="shared" si="123"/>
        <v/>
      </c>
      <c r="N148" s="63" t="str">
        <f t="shared" si="124"/>
        <v/>
      </c>
      <c r="O148" s="67" t="str">
        <f t="shared" si="125"/>
        <v/>
      </c>
      <c r="P148" s="91" t="str">
        <f t="shared" si="126"/>
        <v/>
      </c>
      <c r="Q148" s="66">
        <f t="shared" si="127"/>
        <v>0</v>
      </c>
      <c r="R148" s="96">
        <f t="shared" si="128"/>
        <v>0</v>
      </c>
      <c r="S148" s="97" t="str">
        <f t="shared" si="129"/>
        <v/>
      </c>
      <c r="U148" s="60">
        <f t="shared" si="130"/>
        <v>399.56199999999995</v>
      </c>
      <c r="V148" s="94">
        <f t="shared" si="131"/>
        <v>266573.98235455161</v>
      </c>
      <c r="W148" s="95" t="str">
        <f t="shared" si="132"/>
        <v/>
      </c>
      <c r="X148" s="63">
        <f t="shared" si="133"/>
        <v>0</v>
      </c>
      <c r="Y148" s="67" t="str">
        <f t="shared" si="134"/>
        <v/>
      </c>
      <c r="Z148" s="91" t="str">
        <f t="shared" si="135"/>
        <v/>
      </c>
      <c r="AA148" s="66">
        <f t="shared" si="136"/>
        <v>276327.03816305468</v>
      </c>
      <c r="AB148" s="96">
        <f t="shared" si="137"/>
        <v>9753.0558085030643</v>
      </c>
      <c r="AC148" s="97">
        <f t="shared" si="138"/>
        <v>3.6586675572604081E-2</v>
      </c>
      <c r="AD148" s="67">
        <f t="shared" si="139"/>
        <v>0</v>
      </c>
      <c r="AE148" s="66">
        <v>86651.181487211565</v>
      </c>
      <c r="AG148" s="16"/>
      <c r="AH148" s="16"/>
    </row>
    <row r="149" spans="2:34" x14ac:dyDescent="0.25">
      <c r="B149" s="91">
        <v>2141</v>
      </c>
      <c r="C149" s="67" t="s">
        <v>299</v>
      </c>
      <c r="D149" s="91" t="s">
        <v>180</v>
      </c>
      <c r="E149" s="92">
        <v>2320.7727</v>
      </c>
      <c r="F149" s="92">
        <v>58.97</v>
      </c>
      <c r="G149" s="60">
        <f t="shared" si="120"/>
        <v>2379.7426999999998</v>
      </c>
      <c r="H149" s="93">
        <v>0</v>
      </c>
      <c r="I149" s="93">
        <v>0</v>
      </c>
      <c r="J149" s="93">
        <v>0</v>
      </c>
      <c r="K149" s="60">
        <f t="shared" si="121"/>
        <v>2379.7426999999998</v>
      </c>
      <c r="L149" s="94">
        <f t="shared" si="122"/>
        <v>0</v>
      </c>
      <c r="M149" s="95" t="str">
        <f t="shared" si="123"/>
        <v/>
      </c>
      <c r="N149" s="63" t="str">
        <f t="shared" si="124"/>
        <v/>
      </c>
      <c r="O149" s="67" t="str">
        <f t="shared" si="125"/>
        <v/>
      </c>
      <c r="P149" s="91" t="str">
        <f t="shared" si="126"/>
        <v/>
      </c>
      <c r="Q149" s="66">
        <f t="shared" si="127"/>
        <v>0</v>
      </c>
      <c r="R149" s="96">
        <f t="shared" si="128"/>
        <v>0</v>
      </c>
      <c r="S149" s="97" t="str">
        <f t="shared" si="129"/>
        <v/>
      </c>
      <c r="U149" s="60">
        <f t="shared" si="130"/>
        <v>2379.7426999999998</v>
      </c>
      <c r="V149" s="94">
        <f t="shared" si="131"/>
        <v>1587682.2333409407</v>
      </c>
      <c r="W149" s="95" t="str">
        <f t="shared" si="132"/>
        <v/>
      </c>
      <c r="X149" s="63">
        <f t="shared" si="133"/>
        <v>0</v>
      </c>
      <c r="Y149" s="67" t="str">
        <f t="shared" si="134"/>
        <v/>
      </c>
      <c r="Z149" s="91" t="str">
        <f t="shared" si="135"/>
        <v/>
      </c>
      <c r="AA149" s="66">
        <f t="shared" si="136"/>
        <v>1645770.2481245734</v>
      </c>
      <c r="AB149" s="96">
        <f t="shared" si="137"/>
        <v>58088.014783632709</v>
      </c>
      <c r="AC149" s="97">
        <f t="shared" si="138"/>
        <v>3.658667557260422E-2</v>
      </c>
      <c r="AD149" s="67">
        <f t="shared" si="139"/>
        <v>0</v>
      </c>
      <c r="AE149" s="66">
        <v>502464.70033514488</v>
      </c>
      <c r="AG149" s="16"/>
      <c r="AH149" s="16"/>
    </row>
    <row r="150" spans="2:34" x14ac:dyDescent="0.25">
      <c r="B150" s="91">
        <v>2214</v>
      </c>
      <c r="C150" s="67" t="s">
        <v>306</v>
      </c>
      <c r="D150" s="91" t="s">
        <v>181</v>
      </c>
      <c r="E150" s="92">
        <v>450.07990000000001</v>
      </c>
      <c r="F150" s="92">
        <v>11.5</v>
      </c>
      <c r="G150" s="60">
        <f t="shared" si="120"/>
        <v>461.57990000000001</v>
      </c>
      <c r="H150" s="93">
        <v>0</v>
      </c>
      <c r="I150" s="93">
        <v>0</v>
      </c>
      <c r="J150" s="93">
        <v>0</v>
      </c>
      <c r="K150" s="60">
        <f t="shared" si="121"/>
        <v>461.57990000000001</v>
      </c>
      <c r="L150" s="94">
        <f t="shared" si="122"/>
        <v>0</v>
      </c>
      <c r="M150" s="95" t="str">
        <f t="shared" si="123"/>
        <v/>
      </c>
      <c r="N150" s="63" t="str">
        <f t="shared" si="124"/>
        <v/>
      </c>
      <c r="O150" s="67" t="str">
        <f t="shared" si="125"/>
        <v/>
      </c>
      <c r="P150" s="91" t="str">
        <f t="shared" si="126"/>
        <v/>
      </c>
      <c r="Q150" s="66">
        <f t="shared" si="127"/>
        <v>0</v>
      </c>
      <c r="R150" s="96">
        <f t="shared" si="128"/>
        <v>0</v>
      </c>
      <c r="S150" s="97" t="str">
        <f t="shared" si="129"/>
        <v/>
      </c>
      <c r="U150" s="60">
        <f t="shared" si="130"/>
        <v>461.57990000000001</v>
      </c>
      <c r="V150" s="94">
        <f t="shared" si="131"/>
        <v>307950.18574793322</v>
      </c>
      <c r="W150" s="95" t="str">
        <f t="shared" si="132"/>
        <v/>
      </c>
      <c r="X150" s="63">
        <f t="shared" si="133"/>
        <v>0</v>
      </c>
      <c r="Y150" s="67" t="str">
        <f t="shared" si="134"/>
        <v/>
      </c>
      <c r="Z150" s="91" t="str">
        <f t="shared" si="135"/>
        <v/>
      </c>
      <c r="AA150" s="66">
        <f t="shared" si="136"/>
        <v>319217.05928641604</v>
      </c>
      <c r="AB150" s="96">
        <f t="shared" si="137"/>
        <v>11266.873538482818</v>
      </c>
      <c r="AC150" s="97">
        <f t="shared" si="138"/>
        <v>3.6586675572604144E-2</v>
      </c>
      <c r="AD150" s="67">
        <f t="shared" si="139"/>
        <v>0</v>
      </c>
      <c r="AE150" s="66">
        <v>96632.168055567774</v>
      </c>
      <c r="AG150" s="16"/>
      <c r="AH150" s="16"/>
    </row>
    <row r="151" spans="2:34" x14ac:dyDescent="0.25">
      <c r="B151" s="91">
        <v>2143</v>
      </c>
      <c r="C151" s="67" t="s">
        <v>299</v>
      </c>
      <c r="D151" s="91" t="s">
        <v>182</v>
      </c>
      <c r="E151" s="92">
        <v>2670.9429</v>
      </c>
      <c r="F151" s="92">
        <v>65.072500000000005</v>
      </c>
      <c r="G151" s="60">
        <f t="shared" si="120"/>
        <v>2736.0154000000002</v>
      </c>
      <c r="H151" s="93">
        <v>0</v>
      </c>
      <c r="I151" s="93">
        <v>0</v>
      </c>
      <c r="J151" s="93">
        <v>0</v>
      </c>
      <c r="K151" s="60">
        <f t="shared" si="121"/>
        <v>2736.0154000000002</v>
      </c>
      <c r="L151" s="94">
        <f t="shared" si="122"/>
        <v>0</v>
      </c>
      <c r="M151" s="95" t="str">
        <f t="shared" si="123"/>
        <v/>
      </c>
      <c r="N151" s="63" t="str">
        <f t="shared" si="124"/>
        <v/>
      </c>
      <c r="O151" s="67" t="str">
        <f t="shared" si="125"/>
        <v/>
      </c>
      <c r="P151" s="91" t="str">
        <f t="shared" si="126"/>
        <v/>
      </c>
      <c r="Q151" s="66">
        <f t="shared" si="127"/>
        <v>0</v>
      </c>
      <c r="R151" s="96">
        <f t="shared" si="128"/>
        <v>0</v>
      </c>
      <c r="S151" s="97" t="str">
        <f t="shared" si="129"/>
        <v/>
      </c>
      <c r="U151" s="60">
        <f t="shared" si="130"/>
        <v>2736.0154000000002</v>
      </c>
      <c r="V151" s="94">
        <f t="shared" si="131"/>
        <v>1825375.0881249506</v>
      </c>
      <c r="W151" s="95" t="str">
        <f t="shared" si="132"/>
        <v/>
      </c>
      <c r="X151" s="63">
        <f t="shared" si="133"/>
        <v>0</v>
      </c>
      <c r="Y151" s="67" t="str">
        <f t="shared" si="134"/>
        <v/>
      </c>
      <c r="Z151" s="91" t="str">
        <f t="shared" si="135"/>
        <v/>
      </c>
      <c r="AA151" s="66">
        <f t="shared" si="136"/>
        <v>1892159.4942724919</v>
      </c>
      <c r="AB151" s="96">
        <f t="shared" si="137"/>
        <v>66784.406147541245</v>
      </c>
      <c r="AC151" s="97">
        <f t="shared" si="138"/>
        <v>3.658667557260413E-2</v>
      </c>
      <c r="AD151" s="67">
        <f t="shared" si="139"/>
        <v>0</v>
      </c>
      <c r="AE151" s="66">
        <v>579421.97565229249</v>
      </c>
      <c r="AG151" s="16"/>
      <c r="AH151" s="16"/>
    </row>
    <row r="152" spans="2:34" x14ac:dyDescent="0.25">
      <c r="B152" s="91">
        <v>4131</v>
      </c>
      <c r="C152" s="67" t="s">
        <v>308</v>
      </c>
      <c r="D152" s="91" t="s">
        <v>66</v>
      </c>
      <c r="E152" s="92">
        <v>3733.6224999999999</v>
      </c>
      <c r="F152" s="92">
        <v>139.5575</v>
      </c>
      <c r="G152" s="60">
        <f t="shared" si="120"/>
        <v>3873.18</v>
      </c>
      <c r="H152" s="93">
        <v>0</v>
      </c>
      <c r="I152" s="93">
        <v>-63.297499999999999</v>
      </c>
      <c r="J152" s="93">
        <v>0</v>
      </c>
      <c r="K152" s="60">
        <f t="shared" si="121"/>
        <v>3809.8824999999997</v>
      </c>
      <c r="L152" s="94">
        <f t="shared" si="122"/>
        <v>0</v>
      </c>
      <c r="M152" s="95" t="str">
        <f t="shared" si="123"/>
        <v/>
      </c>
      <c r="N152" s="63" t="str">
        <f t="shared" si="124"/>
        <v/>
      </c>
      <c r="O152" s="67" t="str">
        <f t="shared" si="125"/>
        <v/>
      </c>
      <c r="P152" s="91" t="str">
        <f t="shared" si="126"/>
        <v/>
      </c>
      <c r="Q152" s="66">
        <f t="shared" si="127"/>
        <v>0</v>
      </c>
      <c r="R152" s="96">
        <f t="shared" si="128"/>
        <v>0</v>
      </c>
      <c r="S152" s="97" t="str">
        <f t="shared" si="129"/>
        <v/>
      </c>
      <c r="U152" s="60">
        <f t="shared" si="130"/>
        <v>3809.8824999999997</v>
      </c>
      <c r="V152" s="94">
        <f t="shared" si="131"/>
        <v>2541822.1710971384</v>
      </c>
      <c r="W152" s="95" t="str">
        <f t="shared" si="132"/>
        <v/>
      </c>
      <c r="X152" s="63">
        <f t="shared" si="133"/>
        <v>0</v>
      </c>
      <c r="Y152" s="67" t="str">
        <f t="shared" si="134"/>
        <v/>
      </c>
      <c r="Z152" s="91" t="str">
        <f t="shared" si="135"/>
        <v/>
      </c>
      <c r="AA152" s="66">
        <f t="shared" si="136"/>
        <v>2634818.9942343221</v>
      </c>
      <c r="AB152" s="96">
        <f t="shared" si="137"/>
        <v>92996.823137183674</v>
      </c>
      <c r="AC152" s="97">
        <f t="shared" si="138"/>
        <v>3.6586675572604289E-2</v>
      </c>
      <c r="AD152" s="67">
        <f t="shared" si="139"/>
        <v>0</v>
      </c>
      <c r="AE152" s="66">
        <v>801772.22153736092</v>
      </c>
      <c r="AG152" s="16"/>
      <c r="AH152" s="16"/>
    </row>
    <row r="153" spans="2:34" x14ac:dyDescent="0.25">
      <c r="B153" s="91">
        <v>2110</v>
      </c>
      <c r="C153" s="67" t="s">
        <v>297</v>
      </c>
      <c r="D153" s="91" t="s">
        <v>183</v>
      </c>
      <c r="E153" s="92">
        <v>1648.7066</v>
      </c>
      <c r="F153" s="92">
        <v>75.227500000000006</v>
      </c>
      <c r="G153" s="60">
        <f t="shared" si="120"/>
        <v>1723.9340999999999</v>
      </c>
      <c r="H153" s="93">
        <v>0</v>
      </c>
      <c r="I153" s="93">
        <v>0</v>
      </c>
      <c r="J153" s="93">
        <v>0</v>
      </c>
      <c r="K153" s="60">
        <f t="shared" si="121"/>
        <v>1723.9340999999999</v>
      </c>
      <c r="L153" s="94">
        <f t="shared" si="122"/>
        <v>0</v>
      </c>
      <c r="M153" s="95" t="str">
        <f t="shared" si="123"/>
        <v/>
      </c>
      <c r="N153" s="63" t="str">
        <f t="shared" si="124"/>
        <v/>
      </c>
      <c r="O153" s="67" t="str">
        <f t="shared" si="125"/>
        <v/>
      </c>
      <c r="P153" s="91" t="str">
        <f t="shared" si="126"/>
        <v/>
      </c>
      <c r="Q153" s="66">
        <f t="shared" si="127"/>
        <v>0</v>
      </c>
      <c r="R153" s="96">
        <f t="shared" si="128"/>
        <v>0</v>
      </c>
      <c r="S153" s="97" t="str">
        <f t="shared" si="129"/>
        <v/>
      </c>
      <c r="U153" s="60">
        <f t="shared" si="130"/>
        <v>1723.9340999999999</v>
      </c>
      <c r="V153" s="94">
        <f t="shared" si="131"/>
        <v>1150149.3594331038</v>
      </c>
      <c r="W153" s="95" t="str">
        <f t="shared" si="132"/>
        <v/>
      </c>
      <c r="X153" s="63">
        <f t="shared" si="133"/>
        <v>0</v>
      </c>
      <c r="Y153" s="67" t="str">
        <f t="shared" si="134"/>
        <v/>
      </c>
      <c r="Z153" s="91" t="str">
        <f t="shared" si="135"/>
        <v/>
      </c>
      <c r="AA153" s="66">
        <f t="shared" si="136"/>
        <v>1192229.5009067212</v>
      </c>
      <c r="AB153" s="96">
        <f t="shared" si="137"/>
        <v>42080.141473617405</v>
      </c>
      <c r="AC153" s="97">
        <f t="shared" si="138"/>
        <v>3.6586675572604109E-2</v>
      </c>
      <c r="AD153" s="67">
        <f t="shared" si="139"/>
        <v>0</v>
      </c>
      <c r="AE153" s="66">
        <v>353896.36061908613</v>
      </c>
      <c r="AG153" s="16"/>
      <c r="AH153" s="16"/>
    </row>
    <row r="154" spans="2:34" x14ac:dyDescent="0.25">
      <c r="B154" s="91">
        <v>1990</v>
      </c>
      <c r="C154" s="67" t="s">
        <v>284</v>
      </c>
      <c r="D154" s="91" t="s">
        <v>184</v>
      </c>
      <c r="E154" s="92">
        <v>788.83489999999995</v>
      </c>
      <c r="F154" s="92">
        <v>28.5</v>
      </c>
      <c r="G154" s="60">
        <f t="shared" si="120"/>
        <v>817.33489999999995</v>
      </c>
      <c r="H154" s="93">
        <v>0</v>
      </c>
      <c r="I154" s="93">
        <v>0</v>
      </c>
      <c r="J154" s="93">
        <v>0</v>
      </c>
      <c r="K154" s="60">
        <f t="shared" si="121"/>
        <v>817.33489999999995</v>
      </c>
      <c r="L154" s="94">
        <f t="shared" si="122"/>
        <v>0</v>
      </c>
      <c r="M154" s="95" t="str">
        <f t="shared" si="123"/>
        <v/>
      </c>
      <c r="N154" s="63" t="str">
        <f t="shared" si="124"/>
        <v/>
      </c>
      <c r="O154" s="67" t="str">
        <f t="shared" si="125"/>
        <v/>
      </c>
      <c r="P154" s="91" t="str">
        <f t="shared" si="126"/>
        <v/>
      </c>
      <c r="Q154" s="66">
        <f t="shared" si="127"/>
        <v>0</v>
      </c>
      <c r="R154" s="96">
        <f t="shared" si="128"/>
        <v>0</v>
      </c>
      <c r="S154" s="97" t="str">
        <f t="shared" si="129"/>
        <v/>
      </c>
      <c r="U154" s="60">
        <f t="shared" si="130"/>
        <v>817.33489999999995</v>
      </c>
      <c r="V154" s="94">
        <f t="shared" si="131"/>
        <v>545297.64895149984</v>
      </c>
      <c r="W154" s="95" t="str">
        <f t="shared" si="132"/>
        <v/>
      </c>
      <c r="X154" s="63">
        <f t="shared" si="133"/>
        <v>0</v>
      </c>
      <c r="Y154" s="67" t="str">
        <f t="shared" si="134"/>
        <v/>
      </c>
      <c r="Z154" s="91" t="str">
        <f t="shared" si="135"/>
        <v/>
      </c>
      <c r="AA154" s="66">
        <f t="shared" si="136"/>
        <v>565248.27712419222</v>
      </c>
      <c r="AB154" s="96">
        <f t="shared" si="137"/>
        <v>19950.628172692377</v>
      </c>
      <c r="AC154" s="97">
        <f t="shared" si="138"/>
        <v>3.6586675572604269E-2</v>
      </c>
      <c r="AD154" s="67">
        <f t="shared" si="139"/>
        <v>0</v>
      </c>
      <c r="AE154" s="66">
        <v>180141.34116058363</v>
      </c>
      <c r="AG154" s="16"/>
      <c r="AH154" s="16"/>
    </row>
    <row r="155" spans="2:34" x14ac:dyDescent="0.25">
      <c r="B155" s="91">
        <v>2093</v>
      </c>
      <c r="C155" s="67" t="s">
        <v>294</v>
      </c>
      <c r="D155" s="91" t="s">
        <v>80</v>
      </c>
      <c r="E155" s="92">
        <v>797.34799999999996</v>
      </c>
      <c r="F155" s="92">
        <v>61.857500000000002</v>
      </c>
      <c r="G155" s="60">
        <f t="shared" si="120"/>
        <v>859.20549999999992</v>
      </c>
      <c r="H155" s="93">
        <v>0</v>
      </c>
      <c r="I155" s="93">
        <v>0</v>
      </c>
      <c r="J155" s="93">
        <v>0</v>
      </c>
      <c r="K155" s="60">
        <f t="shared" si="121"/>
        <v>859.20549999999992</v>
      </c>
      <c r="L155" s="94">
        <f t="shared" si="122"/>
        <v>0</v>
      </c>
      <c r="M155" s="95" t="str">
        <f t="shared" si="123"/>
        <v/>
      </c>
      <c r="N155" s="63" t="str">
        <f t="shared" si="124"/>
        <v/>
      </c>
      <c r="O155" s="67" t="str">
        <f t="shared" si="125"/>
        <v/>
      </c>
      <c r="P155" s="91" t="str">
        <f t="shared" si="126"/>
        <v/>
      </c>
      <c r="Q155" s="66">
        <f t="shared" si="127"/>
        <v>0</v>
      </c>
      <c r="R155" s="96">
        <f t="shared" si="128"/>
        <v>0</v>
      </c>
      <c r="S155" s="97" t="str">
        <f t="shared" si="129"/>
        <v/>
      </c>
      <c r="U155" s="60">
        <f t="shared" si="130"/>
        <v>859.20549999999992</v>
      </c>
      <c r="V155" s="94">
        <f t="shared" si="131"/>
        <v>573232.26882419665</v>
      </c>
      <c r="W155" s="95" t="str">
        <f t="shared" si="132"/>
        <v/>
      </c>
      <c r="X155" s="63">
        <f t="shared" si="133"/>
        <v>0</v>
      </c>
      <c r="Y155" s="67" t="str">
        <f t="shared" si="134"/>
        <v/>
      </c>
      <c r="Z155" s="91" t="str">
        <f t="shared" si="135"/>
        <v/>
      </c>
      <c r="AA155" s="66">
        <f t="shared" si="136"/>
        <v>594204.93187141535</v>
      </c>
      <c r="AB155" s="96">
        <f t="shared" si="137"/>
        <v>20972.663047218695</v>
      </c>
      <c r="AC155" s="97">
        <f t="shared" si="138"/>
        <v>3.6586675572604158E-2</v>
      </c>
      <c r="AD155" s="67">
        <f t="shared" si="139"/>
        <v>0</v>
      </c>
      <c r="AE155" s="66">
        <v>184958.88131142975</v>
      </c>
      <c r="AG155" s="16"/>
      <c r="AH155" s="16"/>
    </row>
    <row r="156" spans="2:34" x14ac:dyDescent="0.25">
      <c r="B156" s="91">
        <v>2108</v>
      </c>
      <c r="C156" s="67" t="s">
        <v>297</v>
      </c>
      <c r="D156" s="91" t="s">
        <v>186</v>
      </c>
      <c r="E156" s="92">
        <v>3373.4270999999999</v>
      </c>
      <c r="F156" s="92">
        <v>194.0675</v>
      </c>
      <c r="G156" s="60">
        <f t="shared" si="120"/>
        <v>3567.4946</v>
      </c>
      <c r="H156" s="93">
        <v>0</v>
      </c>
      <c r="I156" s="93">
        <v>-377.13749999999999</v>
      </c>
      <c r="J156" s="93">
        <v>0</v>
      </c>
      <c r="K156" s="60">
        <f t="shared" si="121"/>
        <v>3190.3571000000002</v>
      </c>
      <c r="L156" s="94">
        <f t="shared" si="122"/>
        <v>0</v>
      </c>
      <c r="M156" s="95" t="str">
        <f t="shared" si="123"/>
        <v/>
      </c>
      <c r="N156" s="63" t="str">
        <f t="shared" si="124"/>
        <v/>
      </c>
      <c r="O156" s="67" t="str">
        <f t="shared" si="125"/>
        <v/>
      </c>
      <c r="P156" s="91" t="str">
        <f t="shared" si="126"/>
        <v/>
      </c>
      <c r="Q156" s="66">
        <f t="shared" si="127"/>
        <v>0</v>
      </c>
      <c r="R156" s="96">
        <f t="shared" si="128"/>
        <v>0</v>
      </c>
      <c r="S156" s="97" t="str">
        <f t="shared" si="129"/>
        <v/>
      </c>
      <c r="U156" s="60">
        <f t="shared" si="130"/>
        <v>3190.3571000000002</v>
      </c>
      <c r="V156" s="94">
        <f t="shared" si="131"/>
        <v>2128496.1965355026</v>
      </c>
      <c r="W156" s="95" t="str">
        <f t="shared" si="132"/>
        <v/>
      </c>
      <c r="X156" s="63">
        <f t="shared" si="133"/>
        <v>0</v>
      </c>
      <c r="Y156" s="67" t="str">
        <f t="shared" si="134"/>
        <v/>
      </c>
      <c r="Z156" s="91" t="str">
        <f t="shared" si="135"/>
        <v/>
      </c>
      <c r="AA156" s="66">
        <f t="shared" si="136"/>
        <v>2206370.7963356692</v>
      </c>
      <c r="AB156" s="96">
        <f t="shared" si="137"/>
        <v>77874.599800166674</v>
      </c>
      <c r="AC156" s="97">
        <f t="shared" si="138"/>
        <v>3.6586675572604317E-2</v>
      </c>
      <c r="AD156" s="67">
        <f t="shared" si="139"/>
        <v>0</v>
      </c>
      <c r="AE156" s="66">
        <v>676618.03802507836</v>
      </c>
      <c r="AG156" s="16"/>
      <c r="AH156" s="16"/>
    </row>
    <row r="157" spans="2:34" x14ac:dyDescent="0.25">
      <c r="B157" s="91">
        <v>1928</v>
      </c>
      <c r="C157" s="67" t="s">
        <v>277</v>
      </c>
      <c r="D157" s="91" t="s">
        <v>53</v>
      </c>
      <c r="E157" s="92">
        <v>9311.8479000000007</v>
      </c>
      <c r="F157" s="92">
        <v>176.02500000000001</v>
      </c>
      <c r="G157" s="60">
        <f t="shared" si="120"/>
        <v>9487.8729000000003</v>
      </c>
      <c r="H157" s="93">
        <v>0</v>
      </c>
      <c r="I157" s="93">
        <v>0</v>
      </c>
      <c r="J157" s="93">
        <v>0</v>
      </c>
      <c r="K157" s="60">
        <f t="shared" si="121"/>
        <v>9487.8729000000003</v>
      </c>
      <c r="L157" s="94">
        <f t="shared" si="122"/>
        <v>0</v>
      </c>
      <c r="M157" s="95" t="str">
        <f t="shared" si="123"/>
        <v/>
      </c>
      <c r="N157" s="63" t="str">
        <f t="shared" si="124"/>
        <v/>
      </c>
      <c r="O157" s="67" t="str">
        <f t="shared" si="125"/>
        <v/>
      </c>
      <c r="P157" s="91" t="str">
        <f t="shared" si="126"/>
        <v/>
      </c>
      <c r="Q157" s="66">
        <f t="shared" si="127"/>
        <v>0</v>
      </c>
      <c r="R157" s="96">
        <f t="shared" si="128"/>
        <v>0</v>
      </c>
      <c r="S157" s="97" t="str">
        <f t="shared" si="129"/>
        <v/>
      </c>
      <c r="U157" s="60">
        <f t="shared" si="130"/>
        <v>9487.8729000000003</v>
      </c>
      <c r="V157" s="94">
        <f t="shared" si="131"/>
        <v>6329981.4872956602</v>
      </c>
      <c r="W157" s="95" t="str">
        <f t="shared" si="132"/>
        <v/>
      </c>
      <c r="X157" s="63">
        <f t="shared" si="133"/>
        <v>0</v>
      </c>
      <c r="Y157" s="67" t="str">
        <f t="shared" si="134"/>
        <v/>
      </c>
      <c r="Z157" s="91" t="str">
        <f t="shared" si="135"/>
        <v/>
      </c>
      <c r="AA157" s="66">
        <f t="shared" si="136"/>
        <v>6561574.4663519366</v>
      </c>
      <c r="AB157" s="96">
        <f t="shared" si="137"/>
        <v>231592.97905627638</v>
      </c>
      <c r="AC157" s="97">
        <f t="shared" si="138"/>
        <v>3.6586675572604116E-2</v>
      </c>
      <c r="AD157" s="67">
        <f t="shared" si="139"/>
        <v>0</v>
      </c>
      <c r="AE157" s="66">
        <v>1995728.1461481818</v>
      </c>
      <c r="AG157" s="16"/>
      <c r="AH157" s="16"/>
    </row>
    <row r="158" spans="2:34" x14ac:dyDescent="0.25">
      <c r="B158" s="91">
        <v>1926</v>
      </c>
      <c r="C158" s="67" t="s">
        <v>277</v>
      </c>
      <c r="D158" s="91" t="s">
        <v>188</v>
      </c>
      <c r="E158" s="92">
        <v>5126.7356</v>
      </c>
      <c r="F158" s="92">
        <v>110.44</v>
      </c>
      <c r="G158" s="60">
        <f t="shared" si="120"/>
        <v>5237.1755999999996</v>
      </c>
      <c r="H158" s="93">
        <v>0</v>
      </c>
      <c r="I158" s="93">
        <v>0</v>
      </c>
      <c r="J158" s="93">
        <v>0</v>
      </c>
      <c r="K158" s="60">
        <f t="shared" si="121"/>
        <v>5237.1755999999996</v>
      </c>
      <c r="L158" s="94">
        <f t="shared" si="122"/>
        <v>0</v>
      </c>
      <c r="M158" s="95" t="str">
        <f t="shared" si="123"/>
        <v/>
      </c>
      <c r="N158" s="63" t="str">
        <f t="shared" si="124"/>
        <v/>
      </c>
      <c r="O158" s="67" t="str">
        <f t="shared" si="125"/>
        <v/>
      </c>
      <c r="P158" s="91" t="str">
        <f t="shared" si="126"/>
        <v/>
      </c>
      <c r="Q158" s="66">
        <f t="shared" si="127"/>
        <v>0</v>
      </c>
      <c r="R158" s="96">
        <f t="shared" si="128"/>
        <v>0</v>
      </c>
      <c r="S158" s="97" t="str">
        <f t="shared" si="129"/>
        <v/>
      </c>
      <c r="U158" s="60">
        <f t="shared" si="130"/>
        <v>5237.1755999999996</v>
      </c>
      <c r="V158" s="94">
        <f t="shared" si="131"/>
        <v>3494062.8888184768</v>
      </c>
      <c r="W158" s="95" t="str">
        <f t="shared" si="132"/>
        <v/>
      </c>
      <c r="X158" s="63">
        <f t="shared" si="133"/>
        <v>0</v>
      </c>
      <c r="Y158" s="67" t="str">
        <f t="shared" si="134"/>
        <v/>
      </c>
      <c r="Z158" s="91" t="str">
        <f t="shared" si="135"/>
        <v/>
      </c>
      <c r="AA158" s="66">
        <f t="shared" si="136"/>
        <v>3621899.0341619542</v>
      </c>
      <c r="AB158" s="96">
        <f t="shared" si="137"/>
        <v>127836.14534347737</v>
      </c>
      <c r="AC158" s="97">
        <f t="shared" si="138"/>
        <v>3.6586675572604067E-2</v>
      </c>
      <c r="AD158" s="67">
        <f t="shared" si="139"/>
        <v>0</v>
      </c>
      <c r="AE158" s="66">
        <v>1117913.8053812245</v>
      </c>
      <c r="AG158" s="16"/>
      <c r="AH158" s="16"/>
    </row>
    <row r="159" spans="2:34" x14ac:dyDescent="0.25">
      <c r="B159" s="91">
        <v>2060</v>
      </c>
      <c r="C159" s="67" t="s">
        <v>293</v>
      </c>
      <c r="D159" s="91" t="s">
        <v>189</v>
      </c>
      <c r="E159" s="92">
        <v>351.19</v>
      </c>
      <c r="F159" s="92">
        <v>4</v>
      </c>
      <c r="G159" s="60">
        <f t="shared" si="120"/>
        <v>355.19</v>
      </c>
      <c r="H159" s="93">
        <v>-207.83828621965401</v>
      </c>
      <c r="I159" s="93">
        <v>0</v>
      </c>
      <c r="J159" s="93">
        <v>0</v>
      </c>
      <c r="K159" s="60">
        <f t="shared" si="121"/>
        <v>147.35171378034599</v>
      </c>
      <c r="L159" s="94">
        <f t="shared" si="122"/>
        <v>0</v>
      </c>
      <c r="M159" s="95" t="str">
        <f t="shared" si="123"/>
        <v/>
      </c>
      <c r="N159" s="63" t="str">
        <f t="shared" si="124"/>
        <v/>
      </c>
      <c r="O159" s="67" t="str">
        <f t="shared" si="125"/>
        <v/>
      </c>
      <c r="P159" s="91" t="str">
        <f t="shared" si="126"/>
        <v/>
      </c>
      <c r="Q159" s="66">
        <f t="shared" si="127"/>
        <v>0</v>
      </c>
      <c r="R159" s="96">
        <f t="shared" si="128"/>
        <v>0</v>
      </c>
      <c r="S159" s="97" t="str">
        <f t="shared" si="129"/>
        <v/>
      </c>
      <c r="U159" s="60">
        <f t="shared" si="130"/>
        <v>147.35171378034599</v>
      </c>
      <c r="V159" s="94">
        <f t="shared" si="131"/>
        <v>98307.980111209006</v>
      </c>
      <c r="W159" s="95" t="str">
        <f t="shared" si="132"/>
        <v/>
      </c>
      <c r="X159" s="63">
        <f t="shared" si="133"/>
        <v>0</v>
      </c>
      <c r="Y159" s="67" t="str">
        <f t="shared" si="134"/>
        <v/>
      </c>
      <c r="Z159" s="91" t="str">
        <f t="shared" si="135"/>
        <v/>
      </c>
      <c r="AA159" s="66">
        <f t="shared" si="136"/>
        <v>101904.74228573583</v>
      </c>
      <c r="AB159" s="96">
        <f t="shared" si="137"/>
        <v>3596.7621745268261</v>
      </c>
      <c r="AC159" s="97">
        <f t="shared" si="138"/>
        <v>3.6586675572604158E-2</v>
      </c>
      <c r="AD159" s="67">
        <f t="shared" si="139"/>
        <v>0</v>
      </c>
      <c r="AE159" s="66">
        <v>29672.885913044425</v>
      </c>
      <c r="AG159" s="16"/>
      <c r="AH159" s="16"/>
    </row>
    <row r="160" spans="2:34" x14ac:dyDescent="0.25">
      <c r="B160" s="91">
        <v>2181</v>
      </c>
      <c r="C160" s="67" t="s">
        <v>301</v>
      </c>
      <c r="D160" s="91" t="s">
        <v>203</v>
      </c>
      <c r="E160" s="92">
        <v>4019.9571000000001</v>
      </c>
      <c r="F160" s="92">
        <v>140.94</v>
      </c>
      <c r="G160" s="60">
        <f t="shared" si="120"/>
        <v>4160.8971000000001</v>
      </c>
      <c r="H160" s="93">
        <v>0</v>
      </c>
      <c r="I160" s="93">
        <v>0</v>
      </c>
      <c r="J160" s="93">
        <v>0</v>
      </c>
      <c r="K160" s="60">
        <f t="shared" si="121"/>
        <v>4160.8971000000001</v>
      </c>
      <c r="L160" s="94">
        <f t="shared" si="122"/>
        <v>0</v>
      </c>
      <c r="M160" s="95" t="str">
        <f t="shared" si="123"/>
        <v/>
      </c>
      <c r="N160" s="63" t="str">
        <f t="shared" si="124"/>
        <v/>
      </c>
      <c r="O160" s="67" t="str">
        <f t="shared" si="125"/>
        <v/>
      </c>
      <c r="P160" s="91" t="str">
        <f t="shared" si="126"/>
        <v/>
      </c>
      <c r="Q160" s="66">
        <f t="shared" si="127"/>
        <v>0</v>
      </c>
      <c r="R160" s="96">
        <f t="shared" si="128"/>
        <v>0</v>
      </c>
      <c r="S160" s="97" t="str">
        <f t="shared" si="129"/>
        <v/>
      </c>
      <c r="U160" s="60">
        <f t="shared" si="130"/>
        <v>4160.8971000000001</v>
      </c>
      <c r="V160" s="94">
        <f t="shared" si="131"/>
        <v>2776007.0029544979</v>
      </c>
      <c r="W160" s="95" t="str">
        <f t="shared" si="132"/>
        <v/>
      </c>
      <c r="X160" s="63">
        <f t="shared" si="133"/>
        <v>0</v>
      </c>
      <c r="Y160" s="67" t="str">
        <f t="shared" si="134"/>
        <v/>
      </c>
      <c r="Z160" s="91" t="str">
        <f t="shared" si="135"/>
        <v/>
      </c>
      <c r="AA160" s="66">
        <f t="shared" si="136"/>
        <v>2877571.870558871</v>
      </c>
      <c r="AB160" s="96">
        <f t="shared" si="137"/>
        <v>101564.86760437302</v>
      </c>
      <c r="AC160" s="97">
        <f t="shared" si="138"/>
        <v>3.6586675572604019E-2</v>
      </c>
      <c r="AD160" s="67">
        <f t="shared" si="139"/>
        <v>0</v>
      </c>
      <c r="AE160" s="66">
        <v>853349.1087560131</v>
      </c>
      <c r="AG160" s="16"/>
      <c r="AH160" s="16"/>
    </row>
    <row r="161" spans="2:34" x14ac:dyDescent="0.25">
      <c r="B161" s="91">
        <v>2207</v>
      </c>
      <c r="C161" s="67" t="s">
        <v>305</v>
      </c>
      <c r="D161" s="91" t="s">
        <v>76</v>
      </c>
      <c r="E161" s="92">
        <v>3615.4459000000002</v>
      </c>
      <c r="F161" s="92">
        <v>114.47750000000001</v>
      </c>
      <c r="G161" s="60">
        <f t="shared" si="120"/>
        <v>3729.9234000000001</v>
      </c>
      <c r="H161" s="93">
        <v>0</v>
      </c>
      <c r="I161" s="93">
        <v>-78.91</v>
      </c>
      <c r="J161" s="93">
        <v>0</v>
      </c>
      <c r="K161" s="60">
        <f t="shared" si="121"/>
        <v>3651.0134000000003</v>
      </c>
      <c r="L161" s="94">
        <f t="shared" si="122"/>
        <v>0</v>
      </c>
      <c r="M161" s="95" t="str">
        <f t="shared" si="123"/>
        <v/>
      </c>
      <c r="N161" s="63" t="str">
        <f t="shared" si="124"/>
        <v/>
      </c>
      <c r="O161" s="67" t="str">
        <f t="shared" si="125"/>
        <v/>
      </c>
      <c r="P161" s="91" t="str">
        <f t="shared" si="126"/>
        <v/>
      </c>
      <c r="Q161" s="66">
        <f t="shared" si="127"/>
        <v>0</v>
      </c>
      <c r="R161" s="96">
        <f t="shared" si="128"/>
        <v>0</v>
      </c>
      <c r="S161" s="97" t="str">
        <f t="shared" si="129"/>
        <v/>
      </c>
      <c r="U161" s="60">
        <f t="shared" si="130"/>
        <v>3651.0134000000003</v>
      </c>
      <c r="V161" s="94">
        <f t="shared" si="131"/>
        <v>2435830.1882256861</v>
      </c>
      <c r="W161" s="95" t="str">
        <f t="shared" si="132"/>
        <v/>
      </c>
      <c r="X161" s="63">
        <f t="shared" si="133"/>
        <v>0</v>
      </c>
      <c r="Y161" s="67" t="str">
        <f t="shared" si="134"/>
        <v/>
      </c>
      <c r="Z161" s="91" t="str">
        <f t="shared" si="135"/>
        <v/>
      </c>
      <c r="AA161" s="66">
        <f t="shared" si="136"/>
        <v>2524949.1170722544</v>
      </c>
      <c r="AB161" s="96">
        <f t="shared" si="137"/>
        <v>89118.928846568335</v>
      </c>
      <c r="AC161" s="97">
        <f t="shared" si="138"/>
        <v>3.6586675572604088E-2</v>
      </c>
      <c r="AD161" s="67">
        <f t="shared" si="139"/>
        <v>0</v>
      </c>
      <c r="AE161" s="66">
        <v>773770.62132854608</v>
      </c>
      <c r="AG161" s="16"/>
      <c r="AH161" s="16"/>
    </row>
    <row r="162" spans="2:34" x14ac:dyDescent="0.25">
      <c r="B162" s="91">
        <v>2192</v>
      </c>
      <c r="C162" s="67" t="s">
        <v>302</v>
      </c>
      <c r="D162" s="91" t="s">
        <v>191</v>
      </c>
      <c r="E162" s="92">
        <v>455.37819999999999</v>
      </c>
      <c r="F162" s="92">
        <v>4</v>
      </c>
      <c r="G162" s="60">
        <f t="shared" si="120"/>
        <v>459.37819999999999</v>
      </c>
      <c r="H162" s="93">
        <v>0</v>
      </c>
      <c r="I162" s="93">
        <v>0</v>
      </c>
      <c r="J162" s="93">
        <v>0</v>
      </c>
      <c r="K162" s="60">
        <f t="shared" si="121"/>
        <v>459.37819999999999</v>
      </c>
      <c r="L162" s="94">
        <f t="shared" si="122"/>
        <v>0</v>
      </c>
      <c r="M162" s="95" t="str">
        <f t="shared" si="123"/>
        <v/>
      </c>
      <c r="N162" s="63" t="str">
        <f t="shared" si="124"/>
        <v/>
      </c>
      <c r="O162" s="67" t="str">
        <f t="shared" si="125"/>
        <v/>
      </c>
      <c r="P162" s="91" t="str">
        <f t="shared" si="126"/>
        <v/>
      </c>
      <c r="Q162" s="66">
        <f t="shared" si="127"/>
        <v>0</v>
      </c>
      <c r="R162" s="96">
        <f t="shared" si="128"/>
        <v>0</v>
      </c>
      <c r="S162" s="97" t="str">
        <f t="shared" si="129"/>
        <v/>
      </c>
      <c r="U162" s="60">
        <f t="shared" si="130"/>
        <v>459.37819999999999</v>
      </c>
      <c r="V162" s="94">
        <f t="shared" si="131"/>
        <v>306481.28746193502</v>
      </c>
      <c r="W162" s="95" t="str">
        <f t="shared" si="132"/>
        <v/>
      </c>
      <c r="X162" s="63">
        <f t="shared" si="133"/>
        <v>0</v>
      </c>
      <c r="Y162" s="67" t="str">
        <f t="shared" si="134"/>
        <v/>
      </c>
      <c r="Z162" s="91" t="str">
        <f t="shared" si="135"/>
        <v/>
      </c>
      <c r="AA162" s="66">
        <f t="shared" si="136"/>
        <v>317694.41889537888</v>
      </c>
      <c r="AB162" s="96">
        <f t="shared" si="137"/>
        <v>11213.131433443865</v>
      </c>
      <c r="AC162" s="97">
        <f t="shared" si="138"/>
        <v>3.6586675572604206E-2</v>
      </c>
      <c r="AD162" s="67">
        <f t="shared" si="139"/>
        <v>0</v>
      </c>
      <c r="AE162" s="66">
        <v>98722.063398659564</v>
      </c>
      <c r="AG162" s="16"/>
      <c r="AH162" s="16"/>
    </row>
    <row r="163" spans="2:34" x14ac:dyDescent="0.25">
      <c r="B163" s="91">
        <v>1900</v>
      </c>
      <c r="C163" s="67" t="s">
        <v>276</v>
      </c>
      <c r="D163" s="91" t="s">
        <v>192</v>
      </c>
      <c r="E163" s="92">
        <v>1931.9060999999999</v>
      </c>
      <c r="F163" s="92">
        <v>36</v>
      </c>
      <c r="G163" s="60">
        <f t="shared" si="120"/>
        <v>1967.9060999999999</v>
      </c>
      <c r="H163" s="93">
        <v>0</v>
      </c>
      <c r="I163" s="93">
        <v>0</v>
      </c>
      <c r="J163" s="93">
        <v>0</v>
      </c>
      <c r="K163" s="60">
        <f t="shared" si="121"/>
        <v>1967.9060999999999</v>
      </c>
      <c r="L163" s="94">
        <f t="shared" si="122"/>
        <v>0</v>
      </c>
      <c r="M163" s="95" t="str">
        <f t="shared" si="123"/>
        <v/>
      </c>
      <c r="N163" s="63" t="str">
        <f t="shared" si="124"/>
        <v/>
      </c>
      <c r="O163" s="67" t="str">
        <f t="shared" si="125"/>
        <v/>
      </c>
      <c r="P163" s="91" t="str">
        <f t="shared" si="126"/>
        <v/>
      </c>
      <c r="Q163" s="66">
        <f t="shared" si="127"/>
        <v>0</v>
      </c>
      <c r="R163" s="96">
        <f t="shared" si="128"/>
        <v>0</v>
      </c>
      <c r="S163" s="97" t="str">
        <f t="shared" si="129"/>
        <v/>
      </c>
      <c r="U163" s="60">
        <f t="shared" si="130"/>
        <v>1967.9060999999999</v>
      </c>
      <c r="V163" s="94">
        <f t="shared" si="131"/>
        <v>1312919.0613141751</v>
      </c>
      <c r="W163" s="95" t="str">
        <f t="shared" si="132"/>
        <v/>
      </c>
      <c r="X163" s="63">
        <f t="shared" si="133"/>
        <v>0</v>
      </c>
      <c r="Y163" s="67" t="str">
        <f t="shared" si="134"/>
        <v/>
      </c>
      <c r="Z163" s="91" t="str">
        <f t="shared" si="135"/>
        <v/>
      </c>
      <c r="AA163" s="66">
        <f t="shared" si="136"/>
        <v>1360954.4050635649</v>
      </c>
      <c r="AB163" s="96">
        <f t="shared" si="137"/>
        <v>48035.343749389751</v>
      </c>
      <c r="AC163" s="97">
        <f t="shared" si="138"/>
        <v>3.6586675572604185E-2</v>
      </c>
      <c r="AD163" s="67">
        <f t="shared" si="139"/>
        <v>0</v>
      </c>
      <c r="AE163" s="66">
        <v>417924.5610217207</v>
      </c>
      <c r="AG163" s="16"/>
      <c r="AH163" s="16"/>
    </row>
    <row r="164" spans="2:34" x14ac:dyDescent="0.25">
      <c r="B164" s="6">
        <v>4391</v>
      </c>
      <c r="C164" s="6" t="s">
        <v>284</v>
      </c>
      <c r="D164" s="6" t="s">
        <v>316</v>
      </c>
      <c r="E164" s="92"/>
      <c r="F164" s="92"/>
      <c r="G164" s="60"/>
      <c r="H164" s="93"/>
      <c r="I164" s="93"/>
      <c r="J164" s="93"/>
      <c r="K164" s="60"/>
      <c r="L164" s="94"/>
      <c r="M164" s="95"/>
      <c r="N164" s="63"/>
      <c r="O164" s="67"/>
      <c r="P164" s="91"/>
      <c r="Q164" s="66"/>
      <c r="R164" s="96"/>
      <c r="S164" s="97"/>
      <c r="U164" s="60"/>
      <c r="V164" s="94"/>
      <c r="W164" s="95"/>
      <c r="X164" s="63"/>
      <c r="Y164" s="67"/>
      <c r="Z164" s="91"/>
      <c r="AA164" s="66"/>
      <c r="AB164" s="96"/>
      <c r="AC164" s="97"/>
      <c r="AD164" s="67"/>
      <c r="AE164" s="66">
        <v>41435.828244169468</v>
      </c>
      <c r="AG164" s="16"/>
      <c r="AH164" s="16"/>
    </row>
    <row r="165" spans="2:34" x14ac:dyDescent="0.25">
      <c r="B165" s="91">
        <v>2039</v>
      </c>
      <c r="C165" s="67" t="s">
        <v>289</v>
      </c>
      <c r="D165" s="91" t="s">
        <v>49</v>
      </c>
      <c r="E165" s="92">
        <v>3192.0319</v>
      </c>
      <c r="F165" s="92">
        <v>156.46</v>
      </c>
      <c r="G165" s="60">
        <f t="shared" ref="G165:G191" si="140">E165+F165</f>
        <v>3348.4919</v>
      </c>
      <c r="H165" s="93">
        <v>0</v>
      </c>
      <c r="I165" s="93">
        <v>0</v>
      </c>
      <c r="J165" s="93">
        <v>0</v>
      </c>
      <c r="K165" s="60">
        <f t="shared" ref="K165:K191" si="141">$G165+$H165+$I165+$J165</f>
        <v>3348.4919</v>
      </c>
      <c r="L165" s="94">
        <f t="shared" ref="L165:L191" si="142">K165*$D$16</f>
        <v>0</v>
      </c>
      <c r="M165" s="95" t="str">
        <f t="shared" ref="M165:M191" si="143">IF(K165=0,"",IF(K165&lt;$W$16,"Yes",""))</f>
        <v/>
      </c>
      <c r="N165" s="63" t="str">
        <f t="shared" ref="N165:N191" si="144">IF(K165=0,"",IF(K165&lt;$W$16,$W$16-K165,""))</f>
        <v/>
      </c>
      <c r="O165" s="67" t="str">
        <f t="shared" ref="O165:O191" si="145">IF(K165=0,"",IF(K165&lt;$M$16,(K165+N165)*$Q$16,""))</f>
        <v/>
      </c>
      <c r="P165" s="91" t="str">
        <f t="shared" ref="P165:P191" si="146">IF(K165=0,"",IF(K165&lt;$W$16,(K165+N165),""))</f>
        <v/>
      </c>
      <c r="Q165" s="66">
        <f t="shared" ref="Q165:Q191" si="147">MAX(O165,(K165*$Q$16))</f>
        <v>0</v>
      </c>
      <c r="R165" s="96">
        <f t="shared" ref="R165:R191" si="148">IF(Q165=0,0,(Q165-L165))</f>
        <v>0</v>
      </c>
      <c r="S165" s="97" t="str">
        <f t="shared" ref="S165:S191" si="149">IF(R165=0,"",(R165/L165))</f>
        <v/>
      </c>
      <c r="U165" s="60">
        <f t="shared" ref="U165:U191" si="150">$G165+$H165+$I165+$J165</f>
        <v>3348.4919</v>
      </c>
      <c r="V165" s="94">
        <f t="shared" ref="V165:V191" si="151">U165*$E$16</f>
        <v>2233998.2797787553</v>
      </c>
      <c r="W165" s="95" t="str">
        <f t="shared" ref="W165:W191" si="152">IF(U165=0,"",IF(U165&lt;$W$16,"Yes",""))</f>
        <v/>
      </c>
      <c r="X165" s="63">
        <f t="shared" ref="X165:X191" si="153">IF(U165=0,0,IF(U165&lt;$W$16,$W$16-U165,0))</f>
        <v>0</v>
      </c>
      <c r="Y165" s="67" t="str">
        <f t="shared" ref="Y165:Y191" si="154">IF(U165=0,"",IF(U165&lt;$W$16,(U165+X165)*$AA$16,""))</f>
        <v/>
      </c>
      <c r="Z165" s="91" t="str">
        <f t="shared" ref="Z165:Z191" si="155">IF(U165=0,"",IF(U165&lt;$W$16,(U165+X165),""))</f>
        <v/>
      </c>
      <c r="AA165" s="66">
        <f t="shared" ref="AA165:AA191" si="156">MAX(Y165,(U165*$AA$16))</f>
        <v>2315732.8500707764</v>
      </c>
      <c r="AB165" s="96">
        <f t="shared" ref="AB165:AB191" si="157">IF(AA165=0,"",(AA165-V165))</f>
        <v>81734.570292021148</v>
      </c>
      <c r="AC165" s="97">
        <f t="shared" ref="AC165:AC191" si="158">IF(AB165="","",(AB165/V165))</f>
        <v>3.6586675572604178E-2</v>
      </c>
      <c r="AD165" s="67">
        <f t="shared" ref="AD165:AD191" si="159">IF(AA165=0,0,(U165+X165)/$AA$14)*$E$13</f>
        <v>0</v>
      </c>
      <c r="AE165" s="66">
        <v>712771.96373104444</v>
      </c>
      <c r="AG165" s="16"/>
      <c r="AH165" s="16"/>
    </row>
    <row r="166" spans="2:34" x14ac:dyDescent="0.25">
      <c r="B166" s="91">
        <v>2202</v>
      </c>
      <c r="C166" s="67" t="s">
        <v>305</v>
      </c>
      <c r="D166" s="91" t="s">
        <v>214</v>
      </c>
      <c r="E166" s="92">
        <v>486.28230000000002</v>
      </c>
      <c r="F166" s="92">
        <v>9.6649999999999991</v>
      </c>
      <c r="G166" s="60">
        <f t="shared" si="140"/>
        <v>495.94730000000004</v>
      </c>
      <c r="H166" s="93">
        <v>0</v>
      </c>
      <c r="I166" s="93">
        <v>0</v>
      </c>
      <c r="J166" s="93">
        <v>0</v>
      </c>
      <c r="K166" s="60">
        <f t="shared" si="141"/>
        <v>495.94730000000004</v>
      </c>
      <c r="L166" s="94">
        <f t="shared" si="142"/>
        <v>0</v>
      </c>
      <c r="M166" s="95" t="str">
        <f t="shared" si="143"/>
        <v/>
      </c>
      <c r="N166" s="63" t="str">
        <f t="shared" si="144"/>
        <v/>
      </c>
      <c r="O166" s="67" t="str">
        <f t="shared" si="145"/>
        <v/>
      </c>
      <c r="P166" s="91" t="str">
        <f t="shared" si="146"/>
        <v/>
      </c>
      <c r="Q166" s="66">
        <f t="shared" si="147"/>
        <v>0</v>
      </c>
      <c r="R166" s="96">
        <f t="shared" si="148"/>
        <v>0</v>
      </c>
      <c r="S166" s="97" t="str">
        <f t="shared" si="149"/>
        <v/>
      </c>
      <c r="U166" s="60">
        <f t="shared" si="150"/>
        <v>495.94730000000004</v>
      </c>
      <c r="V166" s="94">
        <f t="shared" si="151"/>
        <v>330878.92942518939</v>
      </c>
      <c r="W166" s="95" t="str">
        <f t="shared" si="152"/>
        <v/>
      </c>
      <c r="X166" s="63">
        <f t="shared" si="153"/>
        <v>0</v>
      </c>
      <c r="Y166" s="67" t="str">
        <f t="shared" si="154"/>
        <v/>
      </c>
      <c r="Z166" s="91" t="str">
        <f t="shared" si="155"/>
        <v/>
      </c>
      <c r="AA166" s="66">
        <f t="shared" si="156"/>
        <v>342984.68946987938</v>
      </c>
      <c r="AB166" s="96">
        <f t="shared" si="157"/>
        <v>12105.760044689989</v>
      </c>
      <c r="AC166" s="97">
        <f t="shared" si="158"/>
        <v>3.6586675572604151E-2</v>
      </c>
      <c r="AD166" s="67">
        <f t="shared" si="159"/>
        <v>0</v>
      </c>
      <c r="AE166" s="66">
        <v>102094.52778264038</v>
      </c>
      <c r="AG166" s="16"/>
      <c r="AH166" s="16"/>
    </row>
    <row r="167" spans="2:34" x14ac:dyDescent="0.25">
      <c r="B167" s="91">
        <v>2016</v>
      </c>
      <c r="C167" s="67" t="s">
        <v>287</v>
      </c>
      <c r="D167" s="91" t="s">
        <v>194</v>
      </c>
      <c r="E167" s="92">
        <v>33.284999999999997</v>
      </c>
      <c r="F167" s="92">
        <v>0.53</v>
      </c>
      <c r="G167" s="60">
        <f t="shared" si="140"/>
        <v>33.814999999999998</v>
      </c>
      <c r="H167" s="93">
        <v>0</v>
      </c>
      <c r="I167" s="93">
        <v>0</v>
      </c>
      <c r="J167" s="93">
        <v>0</v>
      </c>
      <c r="K167" s="60">
        <f t="shared" si="141"/>
        <v>33.814999999999998</v>
      </c>
      <c r="L167" s="94">
        <f t="shared" si="142"/>
        <v>0</v>
      </c>
      <c r="M167" s="95" t="str">
        <f t="shared" si="143"/>
        <v>Yes</v>
      </c>
      <c r="N167" s="63">
        <f t="shared" si="144"/>
        <v>16.185000000000002</v>
      </c>
      <c r="O167" s="67">
        <f t="shared" si="145"/>
        <v>0</v>
      </c>
      <c r="P167" s="91">
        <f t="shared" si="146"/>
        <v>50</v>
      </c>
      <c r="Q167" s="66">
        <f t="shared" si="147"/>
        <v>0</v>
      </c>
      <c r="R167" s="96">
        <f t="shared" si="148"/>
        <v>0</v>
      </c>
      <c r="S167" s="97" t="str">
        <f t="shared" si="149"/>
        <v/>
      </c>
      <c r="U167" s="60">
        <f t="shared" si="150"/>
        <v>33.814999999999998</v>
      </c>
      <c r="V167" s="94">
        <f t="shared" si="151"/>
        <v>22560.201453889917</v>
      </c>
      <c r="W167" s="95" t="str">
        <f t="shared" si="152"/>
        <v>Yes</v>
      </c>
      <c r="X167" s="63">
        <f t="shared" si="153"/>
        <v>16.185000000000002</v>
      </c>
      <c r="Y167" s="67">
        <f t="shared" si="154"/>
        <v>34578.743494508322</v>
      </c>
      <c r="Z167" s="91">
        <f t="shared" si="155"/>
        <v>50</v>
      </c>
      <c r="AA167" s="66">
        <f t="shared" si="156"/>
        <v>34578.743494508322</v>
      </c>
      <c r="AB167" s="96">
        <f t="shared" si="157"/>
        <v>12018.542040618406</v>
      </c>
      <c r="AC167" s="97">
        <f t="shared" si="158"/>
        <v>0.53273203544670134</v>
      </c>
      <c r="AD167" s="67">
        <f t="shared" si="159"/>
        <v>0</v>
      </c>
      <c r="AE167" s="66">
        <v>10583.999347161385</v>
      </c>
      <c r="AG167" s="16"/>
      <c r="AH167" s="16"/>
    </row>
    <row r="168" spans="2:34" x14ac:dyDescent="0.25">
      <c r="B168" s="91">
        <v>1897</v>
      </c>
      <c r="C168" s="67" t="s">
        <v>275</v>
      </c>
      <c r="D168" s="91" t="s">
        <v>195</v>
      </c>
      <c r="E168" s="92">
        <v>361.6884</v>
      </c>
      <c r="F168" s="92">
        <v>10</v>
      </c>
      <c r="G168" s="60">
        <f t="shared" si="140"/>
        <v>371.6884</v>
      </c>
      <c r="H168" s="93">
        <v>0</v>
      </c>
      <c r="I168" s="93">
        <v>0</v>
      </c>
      <c r="J168" s="93">
        <v>0</v>
      </c>
      <c r="K168" s="60">
        <f t="shared" si="141"/>
        <v>371.6884</v>
      </c>
      <c r="L168" s="94">
        <f t="shared" si="142"/>
        <v>0</v>
      </c>
      <c r="M168" s="95" t="str">
        <f t="shared" si="143"/>
        <v/>
      </c>
      <c r="N168" s="63" t="str">
        <f t="shared" si="144"/>
        <v/>
      </c>
      <c r="O168" s="67" t="str">
        <f t="shared" si="145"/>
        <v/>
      </c>
      <c r="P168" s="91" t="str">
        <f t="shared" si="146"/>
        <v/>
      </c>
      <c r="Q168" s="66">
        <f t="shared" si="147"/>
        <v>0</v>
      </c>
      <c r="R168" s="96">
        <f t="shared" si="148"/>
        <v>0</v>
      </c>
      <c r="S168" s="97" t="str">
        <f t="shared" si="149"/>
        <v/>
      </c>
      <c r="U168" s="60">
        <f t="shared" si="150"/>
        <v>371.6884</v>
      </c>
      <c r="V168" s="94">
        <f t="shared" si="151"/>
        <v>247977.67801490513</v>
      </c>
      <c r="W168" s="95" t="str">
        <f t="shared" si="152"/>
        <v/>
      </c>
      <c r="X168" s="63">
        <f t="shared" si="153"/>
        <v>0</v>
      </c>
      <c r="Y168" s="67" t="str">
        <f t="shared" si="154"/>
        <v/>
      </c>
      <c r="Z168" s="91" t="str">
        <f t="shared" si="155"/>
        <v/>
      </c>
      <c r="AA168" s="66">
        <f t="shared" si="156"/>
        <v>257050.35686968415</v>
      </c>
      <c r="AB168" s="96">
        <f t="shared" si="157"/>
        <v>9072.6788547790202</v>
      </c>
      <c r="AC168" s="97">
        <f t="shared" si="158"/>
        <v>3.6586675572604123E-2</v>
      </c>
      <c r="AD168" s="67">
        <f t="shared" si="159"/>
        <v>0</v>
      </c>
      <c r="AE168" s="66">
        <v>81583.541431792008</v>
      </c>
      <c r="AG168" s="16"/>
      <c r="AH168" s="16"/>
    </row>
    <row r="169" spans="2:34" x14ac:dyDescent="0.25">
      <c r="B169" s="91">
        <v>2047</v>
      </c>
      <c r="C169" s="67" t="s">
        <v>289</v>
      </c>
      <c r="D169" s="91" t="s">
        <v>196</v>
      </c>
      <c r="E169" s="92">
        <v>50.5107</v>
      </c>
      <c r="F169" s="92">
        <v>0.86499999999999999</v>
      </c>
      <c r="G169" s="60">
        <f t="shared" si="140"/>
        <v>51.375700000000002</v>
      </c>
      <c r="H169" s="93">
        <v>0</v>
      </c>
      <c r="I169" s="93">
        <v>0</v>
      </c>
      <c r="J169" s="93">
        <v>0</v>
      </c>
      <c r="K169" s="60">
        <f t="shared" si="141"/>
        <v>51.375700000000002</v>
      </c>
      <c r="L169" s="94">
        <f t="shared" si="142"/>
        <v>0</v>
      </c>
      <c r="M169" s="95" t="str">
        <f t="shared" si="143"/>
        <v/>
      </c>
      <c r="N169" s="63" t="str">
        <f t="shared" si="144"/>
        <v/>
      </c>
      <c r="O169" s="67" t="str">
        <f t="shared" si="145"/>
        <v/>
      </c>
      <c r="P169" s="91" t="str">
        <f t="shared" si="146"/>
        <v/>
      </c>
      <c r="Q169" s="66">
        <f t="shared" si="147"/>
        <v>0</v>
      </c>
      <c r="R169" s="96">
        <f t="shared" si="148"/>
        <v>0</v>
      </c>
      <c r="S169" s="97" t="str">
        <f t="shared" si="149"/>
        <v/>
      </c>
      <c r="U169" s="60">
        <f t="shared" si="150"/>
        <v>51.375700000000002</v>
      </c>
      <c r="V169" s="94">
        <f t="shared" si="151"/>
        <v>34276.094686813907</v>
      </c>
      <c r="W169" s="95" t="str">
        <f t="shared" si="152"/>
        <v/>
      </c>
      <c r="X169" s="63">
        <f t="shared" si="153"/>
        <v>0</v>
      </c>
      <c r="Y169" s="67" t="str">
        <f t="shared" si="154"/>
        <v/>
      </c>
      <c r="Z169" s="91" t="str">
        <f t="shared" si="155"/>
        <v/>
      </c>
      <c r="AA169" s="66">
        <f t="shared" si="156"/>
        <v>35530.143043016229</v>
      </c>
      <c r="AB169" s="96">
        <f t="shared" si="157"/>
        <v>1254.0483562023219</v>
      </c>
      <c r="AC169" s="97">
        <f t="shared" si="158"/>
        <v>3.6586675572604165E-2</v>
      </c>
      <c r="AD169" s="67">
        <f t="shared" si="159"/>
        <v>0</v>
      </c>
      <c r="AE169" s="66">
        <v>10645.323039378838</v>
      </c>
      <c r="AG169" s="16"/>
      <c r="AH169" s="16"/>
    </row>
    <row r="170" spans="2:34" x14ac:dyDescent="0.25">
      <c r="B170" s="91">
        <v>2081</v>
      </c>
      <c r="C170" s="67" t="s">
        <v>294</v>
      </c>
      <c r="D170" s="91" t="s">
        <v>197</v>
      </c>
      <c r="E170" s="92">
        <v>1196.4467999999999</v>
      </c>
      <c r="F170" s="92">
        <v>22.75</v>
      </c>
      <c r="G170" s="60">
        <f t="shared" si="140"/>
        <v>1219.1967999999999</v>
      </c>
      <c r="H170" s="93">
        <v>0</v>
      </c>
      <c r="I170" s="93">
        <v>0</v>
      </c>
      <c r="J170" s="93">
        <v>0</v>
      </c>
      <c r="K170" s="60">
        <f t="shared" si="141"/>
        <v>1219.1967999999999</v>
      </c>
      <c r="L170" s="94">
        <f t="shared" si="142"/>
        <v>0</v>
      </c>
      <c r="M170" s="95" t="str">
        <f t="shared" si="143"/>
        <v/>
      </c>
      <c r="N170" s="63" t="str">
        <f t="shared" si="144"/>
        <v/>
      </c>
      <c r="O170" s="67" t="str">
        <f t="shared" si="145"/>
        <v/>
      </c>
      <c r="P170" s="91" t="str">
        <f t="shared" si="146"/>
        <v/>
      </c>
      <c r="Q170" s="66">
        <f t="shared" si="147"/>
        <v>0</v>
      </c>
      <c r="R170" s="96">
        <f t="shared" si="148"/>
        <v>0</v>
      </c>
      <c r="S170" s="97" t="str">
        <f t="shared" si="149"/>
        <v/>
      </c>
      <c r="U170" s="60">
        <f t="shared" si="150"/>
        <v>1219.1967999999999</v>
      </c>
      <c r="V170" s="94">
        <f t="shared" si="151"/>
        <v>813406.04524435697</v>
      </c>
      <c r="W170" s="95" t="str">
        <f t="shared" si="152"/>
        <v/>
      </c>
      <c r="X170" s="63">
        <f t="shared" si="153"/>
        <v>0</v>
      </c>
      <c r="Y170" s="67" t="str">
        <f t="shared" si="154"/>
        <v/>
      </c>
      <c r="Z170" s="91" t="str">
        <f t="shared" si="155"/>
        <v/>
      </c>
      <c r="AA170" s="66">
        <f t="shared" si="156"/>
        <v>843165.86833050731</v>
      </c>
      <c r="AB170" s="96">
        <f t="shared" si="157"/>
        <v>29759.82308615034</v>
      </c>
      <c r="AC170" s="97">
        <f t="shared" si="158"/>
        <v>3.6586675572604248E-2</v>
      </c>
      <c r="AD170" s="67">
        <f t="shared" si="159"/>
        <v>0</v>
      </c>
      <c r="AE170" s="66">
        <v>265045.78173153708</v>
      </c>
      <c r="AG170" s="16"/>
      <c r="AH170" s="16"/>
    </row>
    <row r="171" spans="2:34" x14ac:dyDescent="0.25">
      <c r="B171" s="91">
        <v>2062</v>
      </c>
      <c r="C171" s="67" t="s">
        <v>293</v>
      </c>
      <c r="D171" s="91" t="s">
        <v>198</v>
      </c>
      <c r="E171" s="92">
        <v>35.32</v>
      </c>
      <c r="F171" s="92">
        <v>0.48</v>
      </c>
      <c r="G171" s="60">
        <f t="shared" si="140"/>
        <v>35.799999999999997</v>
      </c>
      <c r="H171" s="93">
        <v>0</v>
      </c>
      <c r="I171" s="93">
        <v>0</v>
      </c>
      <c r="J171" s="93">
        <v>0</v>
      </c>
      <c r="K171" s="60">
        <f t="shared" si="141"/>
        <v>35.799999999999997</v>
      </c>
      <c r="L171" s="94">
        <f t="shared" si="142"/>
        <v>0</v>
      </c>
      <c r="M171" s="95" t="str">
        <f t="shared" si="143"/>
        <v>Yes</v>
      </c>
      <c r="N171" s="63">
        <f t="shared" si="144"/>
        <v>14.200000000000003</v>
      </c>
      <c r="O171" s="67">
        <f t="shared" si="145"/>
        <v>0</v>
      </c>
      <c r="P171" s="91">
        <f t="shared" si="146"/>
        <v>50</v>
      </c>
      <c r="Q171" s="66">
        <f t="shared" si="147"/>
        <v>0</v>
      </c>
      <c r="R171" s="96">
        <f t="shared" si="148"/>
        <v>0</v>
      </c>
      <c r="S171" s="97" t="str">
        <f t="shared" si="149"/>
        <v/>
      </c>
      <c r="U171" s="60">
        <f t="shared" si="150"/>
        <v>35.799999999999997</v>
      </c>
      <c r="V171" s="94">
        <f t="shared" si="151"/>
        <v>23884.524975580629</v>
      </c>
      <c r="W171" s="95" t="str">
        <f t="shared" si="152"/>
        <v>Yes</v>
      </c>
      <c r="X171" s="63">
        <f t="shared" si="153"/>
        <v>14.200000000000003</v>
      </c>
      <c r="Y171" s="67">
        <f t="shared" si="154"/>
        <v>34578.743494508322</v>
      </c>
      <c r="Z171" s="91">
        <f t="shared" si="155"/>
        <v>50</v>
      </c>
      <c r="AA171" s="66">
        <f t="shared" si="156"/>
        <v>34578.743494508322</v>
      </c>
      <c r="AB171" s="96">
        <f t="shared" si="157"/>
        <v>10694.218518927693</v>
      </c>
      <c r="AC171" s="97">
        <f t="shared" si="158"/>
        <v>0.44774675359302257</v>
      </c>
      <c r="AD171" s="67">
        <f t="shared" si="159"/>
        <v>0</v>
      </c>
      <c r="AE171" s="66">
        <v>0</v>
      </c>
      <c r="AG171" s="16"/>
      <c r="AH171" s="16"/>
    </row>
    <row r="172" spans="2:34" x14ac:dyDescent="0.25">
      <c r="B172" s="91">
        <v>1973</v>
      </c>
      <c r="C172" s="67" t="s">
        <v>282</v>
      </c>
      <c r="D172" s="91" t="s">
        <v>220</v>
      </c>
      <c r="E172" s="92">
        <v>390.65</v>
      </c>
      <c r="F172" s="92">
        <v>23.77</v>
      </c>
      <c r="G172" s="60">
        <f t="shared" si="140"/>
        <v>414.41999999999996</v>
      </c>
      <c r="H172" s="93">
        <v>0</v>
      </c>
      <c r="I172" s="93">
        <v>0</v>
      </c>
      <c r="J172" s="93">
        <v>0</v>
      </c>
      <c r="K172" s="60">
        <f t="shared" si="141"/>
        <v>414.41999999999996</v>
      </c>
      <c r="L172" s="94">
        <f t="shared" si="142"/>
        <v>0</v>
      </c>
      <c r="M172" s="95" t="str">
        <f t="shared" si="143"/>
        <v/>
      </c>
      <c r="N172" s="63" t="str">
        <f t="shared" si="144"/>
        <v/>
      </c>
      <c r="O172" s="67" t="str">
        <f t="shared" si="145"/>
        <v/>
      </c>
      <c r="P172" s="91" t="str">
        <f t="shared" si="146"/>
        <v/>
      </c>
      <c r="Q172" s="66">
        <f t="shared" si="147"/>
        <v>0</v>
      </c>
      <c r="R172" s="96">
        <f t="shared" si="148"/>
        <v>0</v>
      </c>
      <c r="S172" s="97" t="str">
        <f t="shared" si="149"/>
        <v/>
      </c>
      <c r="U172" s="60">
        <f t="shared" si="150"/>
        <v>414.41999999999996</v>
      </c>
      <c r="V172" s="94">
        <f t="shared" si="151"/>
        <v>276486.72738491965</v>
      </c>
      <c r="W172" s="95" t="str">
        <f t="shared" si="152"/>
        <v/>
      </c>
      <c r="X172" s="63">
        <f t="shared" si="153"/>
        <v>0</v>
      </c>
      <c r="Y172" s="67" t="str">
        <f t="shared" si="154"/>
        <v/>
      </c>
      <c r="Z172" s="91" t="str">
        <f t="shared" si="155"/>
        <v/>
      </c>
      <c r="AA172" s="66">
        <f t="shared" si="156"/>
        <v>286602.45757988276</v>
      </c>
      <c r="AB172" s="96">
        <f t="shared" si="157"/>
        <v>10115.730194963107</v>
      </c>
      <c r="AC172" s="97">
        <f t="shared" si="158"/>
        <v>3.6586675572604165E-2</v>
      </c>
      <c r="AD172" s="67">
        <f t="shared" si="159"/>
        <v>0</v>
      </c>
      <c r="AE172" s="66">
        <v>87655.751201248044</v>
      </c>
      <c r="AG172" s="16"/>
      <c r="AH172" s="16"/>
    </row>
    <row r="173" spans="2:34" x14ac:dyDescent="0.25">
      <c r="B173" s="91">
        <v>2180</v>
      </c>
      <c r="C173" s="67" t="s">
        <v>301</v>
      </c>
      <c r="D173" s="91" t="s">
        <v>33</v>
      </c>
      <c r="E173" s="92">
        <v>57762.2595</v>
      </c>
      <c r="F173" s="92">
        <v>1359.59</v>
      </c>
      <c r="G173" s="60">
        <f t="shared" si="140"/>
        <v>59121.849499999997</v>
      </c>
      <c r="H173" s="93">
        <v>0</v>
      </c>
      <c r="I173" s="93">
        <v>-177.02</v>
      </c>
      <c r="J173" s="93">
        <v>0</v>
      </c>
      <c r="K173" s="60">
        <f t="shared" si="141"/>
        <v>58944.8295</v>
      </c>
      <c r="L173" s="94">
        <f t="shared" si="142"/>
        <v>0</v>
      </c>
      <c r="M173" s="95" t="str">
        <f t="shared" si="143"/>
        <v/>
      </c>
      <c r="N173" s="63" t="str">
        <f t="shared" si="144"/>
        <v/>
      </c>
      <c r="O173" s="67" t="str">
        <f t="shared" si="145"/>
        <v/>
      </c>
      <c r="P173" s="91" t="str">
        <f t="shared" si="146"/>
        <v/>
      </c>
      <c r="Q173" s="66">
        <f t="shared" si="147"/>
        <v>0</v>
      </c>
      <c r="R173" s="96">
        <f t="shared" si="148"/>
        <v>0</v>
      </c>
      <c r="S173" s="97" t="str">
        <f t="shared" si="149"/>
        <v/>
      </c>
      <c r="U173" s="60">
        <f t="shared" si="150"/>
        <v>58944.8295</v>
      </c>
      <c r="V173" s="94">
        <f t="shared" si="151"/>
        <v>39325956.770226032</v>
      </c>
      <c r="W173" s="95" t="str">
        <f t="shared" si="152"/>
        <v/>
      </c>
      <c r="X173" s="63">
        <f t="shared" si="153"/>
        <v>0</v>
      </c>
      <c r="Y173" s="67" t="str">
        <f t="shared" si="154"/>
        <v/>
      </c>
      <c r="Z173" s="91" t="str">
        <f t="shared" si="155"/>
        <v/>
      </c>
      <c r="AA173" s="66">
        <f t="shared" si="156"/>
        <v>40764762.792160548</v>
      </c>
      <c r="AB173" s="96">
        <f t="shared" si="157"/>
        <v>1438806.0219345167</v>
      </c>
      <c r="AC173" s="97">
        <f t="shared" si="158"/>
        <v>3.6586675572604178E-2</v>
      </c>
      <c r="AD173" s="67">
        <f t="shared" si="159"/>
        <v>0</v>
      </c>
      <c r="AE173" s="66">
        <v>12392738.198731374</v>
      </c>
      <c r="AG173" s="16"/>
      <c r="AH173" s="16"/>
    </row>
    <row r="174" spans="2:34" x14ac:dyDescent="0.25">
      <c r="B174" s="91">
        <v>1967</v>
      </c>
      <c r="C174" s="67" t="s">
        <v>280</v>
      </c>
      <c r="D174" s="91" t="s">
        <v>126</v>
      </c>
      <c r="E174" s="92">
        <v>245.578</v>
      </c>
      <c r="F174" s="92">
        <v>10.47</v>
      </c>
      <c r="G174" s="60">
        <f t="shared" si="140"/>
        <v>256.048</v>
      </c>
      <c r="H174" s="93">
        <v>0</v>
      </c>
      <c r="I174" s="93">
        <v>0</v>
      </c>
      <c r="J174" s="93">
        <v>0</v>
      </c>
      <c r="K174" s="60">
        <f t="shared" si="141"/>
        <v>256.048</v>
      </c>
      <c r="L174" s="94">
        <f t="shared" si="142"/>
        <v>0</v>
      </c>
      <c r="M174" s="95" t="str">
        <f t="shared" si="143"/>
        <v/>
      </c>
      <c r="N174" s="63" t="str">
        <f t="shared" si="144"/>
        <v/>
      </c>
      <c r="O174" s="67" t="str">
        <f t="shared" si="145"/>
        <v/>
      </c>
      <c r="P174" s="91" t="str">
        <f t="shared" si="146"/>
        <v/>
      </c>
      <c r="Q174" s="66">
        <f t="shared" si="147"/>
        <v>0</v>
      </c>
      <c r="R174" s="96">
        <f t="shared" si="148"/>
        <v>0</v>
      </c>
      <c r="S174" s="97" t="str">
        <f t="shared" si="149"/>
        <v/>
      </c>
      <c r="U174" s="60">
        <f t="shared" si="150"/>
        <v>256.048</v>
      </c>
      <c r="V174" s="94">
        <f t="shared" si="151"/>
        <v>170826.39248456617</v>
      </c>
      <c r="W174" s="95" t="str">
        <f t="shared" si="152"/>
        <v/>
      </c>
      <c r="X174" s="63">
        <f t="shared" si="153"/>
        <v>0</v>
      </c>
      <c r="Y174" s="67" t="str">
        <f t="shared" si="154"/>
        <v/>
      </c>
      <c r="Z174" s="91" t="str">
        <f t="shared" si="155"/>
        <v/>
      </c>
      <c r="AA174" s="66">
        <f t="shared" si="156"/>
        <v>177076.36228563735</v>
      </c>
      <c r="AB174" s="96">
        <f t="shared" si="157"/>
        <v>6249.9698010711872</v>
      </c>
      <c r="AC174" s="97">
        <f t="shared" si="158"/>
        <v>3.6586675572604276E-2</v>
      </c>
      <c r="AD174" s="67">
        <f t="shared" si="159"/>
        <v>0</v>
      </c>
      <c r="AE174" s="66">
        <v>50371.92006097651</v>
      </c>
      <c r="AG174" s="16"/>
      <c r="AH174" s="16"/>
    </row>
    <row r="175" spans="2:34" x14ac:dyDescent="0.25">
      <c r="B175" s="91">
        <v>2009</v>
      </c>
      <c r="C175" s="67" t="s">
        <v>286</v>
      </c>
      <c r="D175" s="91" t="s">
        <v>201</v>
      </c>
      <c r="E175" s="92">
        <v>302.20350000000002</v>
      </c>
      <c r="F175" s="92">
        <v>12.25</v>
      </c>
      <c r="G175" s="60">
        <f t="shared" si="140"/>
        <v>314.45350000000002</v>
      </c>
      <c r="H175" s="93">
        <v>0</v>
      </c>
      <c r="I175" s="93">
        <v>0</v>
      </c>
      <c r="J175" s="93">
        <v>0</v>
      </c>
      <c r="K175" s="60">
        <f t="shared" si="141"/>
        <v>314.45350000000002</v>
      </c>
      <c r="L175" s="94">
        <f t="shared" si="142"/>
        <v>0</v>
      </c>
      <c r="M175" s="95" t="str">
        <f t="shared" si="143"/>
        <v/>
      </c>
      <c r="N175" s="63" t="str">
        <f t="shared" si="144"/>
        <v/>
      </c>
      <c r="O175" s="67" t="str">
        <f t="shared" si="145"/>
        <v/>
      </c>
      <c r="P175" s="91" t="str">
        <f t="shared" si="146"/>
        <v/>
      </c>
      <c r="Q175" s="66">
        <f t="shared" si="147"/>
        <v>0</v>
      </c>
      <c r="R175" s="96">
        <f t="shared" si="148"/>
        <v>0</v>
      </c>
      <c r="S175" s="97" t="str">
        <f t="shared" si="149"/>
        <v/>
      </c>
      <c r="U175" s="60">
        <f t="shared" si="150"/>
        <v>314.45350000000002</v>
      </c>
      <c r="V175" s="94">
        <f t="shared" si="151"/>
        <v>209792.52721812134</v>
      </c>
      <c r="W175" s="95" t="str">
        <f t="shared" si="152"/>
        <v/>
      </c>
      <c r="X175" s="63">
        <f t="shared" si="153"/>
        <v>0</v>
      </c>
      <c r="Y175" s="67" t="str">
        <f t="shared" si="154"/>
        <v/>
      </c>
      <c r="Z175" s="91" t="str">
        <f t="shared" si="155"/>
        <v/>
      </c>
      <c r="AA175" s="66">
        <f t="shared" si="156"/>
        <v>217468.13834900749</v>
      </c>
      <c r="AB175" s="96">
        <f t="shared" si="157"/>
        <v>7675.6111308861582</v>
      </c>
      <c r="AC175" s="97">
        <f t="shared" si="158"/>
        <v>3.6586675572604276E-2</v>
      </c>
      <c r="AD175" s="67">
        <f t="shared" si="159"/>
        <v>0</v>
      </c>
      <c r="AE175" s="66">
        <v>69030.431342088632</v>
      </c>
      <c r="AG175" s="16"/>
      <c r="AH175" s="16"/>
    </row>
    <row r="176" spans="2:34" x14ac:dyDescent="0.25">
      <c r="B176" s="91">
        <v>2045</v>
      </c>
      <c r="C176" s="67" t="s">
        <v>289</v>
      </c>
      <c r="D176" s="91" t="s">
        <v>202</v>
      </c>
      <c r="E176" s="92">
        <v>373.43689999999998</v>
      </c>
      <c r="F176" s="92">
        <v>6.25</v>
      </c>
      <c r="G176" s="60">
        <f t="shared" si="140"/>
        <v>379.68689999999998</v>
      </c>
      <c r="H176" s="93">
        <v>0</v>
      </c>
      <c r="I176" s="93">
        <v>0</v>
      </c>
      <c r="J176" s="93">
        <v>0</v>
      </c>
      <c r="K176" s="60">
        <f t="shared" si="141"/>
        <v>379.68689999999998</v>
      </c>
      <c r="L176" s="94">
        <f t="shared" si="142"/>
        <v>0</v>
      </c>
      <c r="M176" s="95" t="str">
        <f t="shared" si="143"/>
        <v/>
      </c>
      <c r="N176" s="63" t="str">
        <f t="shared" si="144"/>
        <v/>
      </c>
      <c r="O176" s="67" t="str">
        <f t="shared" si="145"/>
        <v/>
      </c>
      <c r="P176" s="91" t="str">
        <f t="shared" si="146"/>
        <v/>
      </c>
      <c r="Q176" s="66">
        <f t="shared" si="147"/>
        <v>0</v>
      </c>
      <c r="R176" s="96">
        <f t="shared" si="148"/>
        <v>0</v>
      </c>
      <c r="S176" s="97" t="str">
        <f t="shared" si="149"/>
        <v/>
      </c>
      <c r="U176" s="60">
        <f t="shared" si="150"/>
        <v>379.68689999999998</v>
      </c>
      <c r="V176" s="94">
        <f t="shared" si="151"/>
        <v>253314.00128354147</v>
      </c>
      <c r="W176" s="95" t="str">
        <f t="shared" si="152"/>
        <v/>
      </c>
      <c r="X176" s="63">
        <f t="shared" si="153"/>
        <v>0</v>
      </c>
      <c r="Y176" s="67" t="str">
        <f t="shared" si="154"/>
        <v/>
      </c>
      <c r="Z176" s="91" t="str">
        <f t="shared" si="155"/>
        <v/>
      </c>
      <c r="AA176" s="66">
        <f t="shared" si="156"/>
        <v>262581.91846650065</v>
      </c>
      <c r="AB176" s="96">
        <f t="shared" si="157"/>
        <v>9267.9171829591796</v>
      </c>
      <c r="AC176" s="97">
        <f t="shared" si="158"/>
        <v>3.6586675572604213E-2</v>
      </c>
      <c r="AD176" s="67">
        <f t="shared" si="159"/>
        <v>0</v>
      </c>
      <c r="AE176" s="66">
        <v>78998.971127212571</v>
      </c>
      <c r="AG176" s="16"/>
      <c r="AH176" s="16"/>
    </row>
    <row r="177" spans="2:34" x14ac:dyDescent="0.25">
      <c r="B177" s="91">
        <v>1946</v>
      </c>
      <c r="C177" s="67" t="s">
        <v>279</v>
      </c>
      <c r="D177" s="91" t="s">
        <v>153</v>
      </c>
      <c r="E177" s="92">
        <v>1061.1013</v>
      </c>
      <c r="F177" s="92">
        <v>39.97</v>
      </c>
      <c r="G177" s="60">
        <f t="shared" si="140"/>
        <v>1101.0713000000001</v>
      </c>
      <c r="H177" s="93">
        <v>0</v>
      </c>
      <c r="I177" s="93">
        <v>0</v>
      </c>
      <c r="J177" s="93">
        <v>0</v>
      </c>
      <c r="K177" s="60">
        <f t="shared" si="141"/>
        <v>1101.0713000000001</v>
      </c>
      <c r="L177" s="94">
        <f t="shared" si="142"/>
        <v>0</v>
      </c>
      <c r="M177" s="95" t="str">
        <f t="shared" si="143"/>
        <v/>
      </c>
      <c r="N177" s="63" t="str">
        <f t="shared" si="144"/>
        <v/>
      </c>
      <c r="O177" s="67" t="str">
        <f t="shared" si="145"/>
        <v/>
      </c>
      <c r="P177" s="91" t="str">
        <f t="shared" si="146"/>
        <v/>
      </c>
      <c r="Q177" s="66">
        <f t="shared" si="147"/>
        <v>0</v>
      </c>
      <c r="R177" s="96">
        <f t="shared" si="148"/>
        <v>0</v>
      </c>
      <c r="S177" s="97" t="str">
        <f t="shared" si="149"/>
        <v/>
      </c>
      <c r="U177" s="60">
        <f t="shared" si="150"/>
        <v>1101.0713000000001</v>
      </c>
      <c r="V177" s="94">
        <f t="shared" si="151"/>
        <v>734596.78672472166</v>
      </c>
      <c r="W177" s="95" t="str">
        <f t="shared" si="152"/>
        <v/>
      </c>
      <c r="X177" s="63">
        <f t="shared" si="153"/>
        <v>0</v>
      </c>
      <c r="Y177" s="67" t="str">
        <f t="shared" si="154"/>
        <v/>
      </c>
      <c r="Z177" s="91" t="str">
        <f t="shared" si="155"/>
        <v/>
      </c>
      <c r="AA177" s="66">
        <f t="shared" si="156"/>
        <v>761473.24103729648</v>
      </c>
      <c r="AB177" s="96">
        <f t="shared" si="157"/>
        <v>26876.454312574817</v>
      </c>
      <c r="AC177" s="97">
        <f t="shared" si="158"/>
        <v>3.6586675572604074E-2</v>
      </c>
      <c r="AD177" s="67">
        <f t="shared" si="159"/>
        <v>0</v>
      </c>
      <c r="AE177" s="66">
        <v>229808.55737702743</v>
      </c>
      <c r="AG177" s="16"/>
      <c r="AH177" s="16"/>
    </row>
    <row r="178" spans="2:34" x14ac:dyDescent="0.25">
      <c r="B178" s="91">
        <v>1977</v>
      </c>
      <c r="C178" s="67" t="s">
        <v>283</v>
      </c>
      <c r="D178" s="91" t="s">
        <v>77</v>
      </c>
      <c r="E178" s="92">
        <v>8683.1510999999991</v>
      </c>
      <c r="F178" s="92">
        <v>258.08999999999997</v>
      </c>
      <c r="G178" s="60">
        <f t="shared" si="140"/>
        <v>8941.2410999999993</v>
      </c>
      <c r="H178" s="93">
        <v>0</v>
      </c>
      <c r="I178" s="93">
        <v>0</v>
      </c>
      <c r="J178" s="93">
        <v>0</v>
      </c>
      <c r="K178" s="60">
        <f t="shared" si="141"/>
        <v>8941.2410999999993</v>
      </c>
      <c r="L178" s="94">
        <f t="shared" si="142"/>
        <v>0</v>
      </c>
      <c r="M178" s="95" t="str">
        <f t="shared" si="143"/>
        <v/>
      </c>
      <c r="N178" s="63" t="str">
        <f t="shared" si="144"/>
        <v/>
      </c>
      <c r="O178" s="67" t="str">
        <f t="shared" si="145"/>
        <v/>
      </c>
      <c r="P178" s="91" t="str">
        <f t="shared" si="146"/>
        <v/>
      </c>
      <c r="Q178" s="66">
        <f t="shared" si="147"/>
        <v>0</v>
      </c>
      <c r="R178" s="96">
        <f t="shared" si="148"/>
        <v>0</v>
      </c>
      <c r="S178" s="97" t="str">
        <f t="shared" si="149"/>
        <v/>
      </c>
      <c r="U178" s="60">
        <f t="shared" si="150"/>
        <v>8941.2410999999993</v>
      </c>
      <c r="V178" s="94">
        <f t="shared" si="151"/>
        <v>5965287.6079787156</v>
      </c>
      <c r="W178" s="95" t="str">
        <f t="shared" si="152"/>
        <v/>
      </c>
      <c r="X178" s="63">
        <f t="shared" si="153"/>
        <v>0</v>
      </c>
      <c r="Y178" s="67" t="str">
        <f t="shared" si="154"/>
        <v/>
      </c>
      <c r="Z178" s="91" t="str">
        <f t="shared" si="155"/>
        <v/>
      </c>
      <c r="AA178" s="66">
        <f t="shared" si="156"/>
        <v>6183537.6503891088</v>
      </c>
      <c r="AB178" s="96">
        <f t="shared" si="157"/>
        <v>218250.04241039325</v>
      </c>
      <c r="AC178" s="97">
        <f t="shared" si="158"/>
        <v>3.6586675572604171E-2</v>
      </c>
      <c r="AD178" s="67">
        <f t="shared" si="159"/>
        <v>0</v>
      </c>
      <c r="AE178" s="66">
        <v>1858956.3299124937</v>
      </c>
      <c r="AG178" s="16"/>
      <c r="AH178" s="16"/>
    </row>
    <row r="179" spans="2:34" x14ac:dyDescent="0.25">
      <c r="B179" s="91">
        <v>2001</v>
      </c>
      <c r="C179" s="67" t="s">
        <v>284</v>
      </c>
      <c r="D179" s="91" t="s">
        <v>67</v>
      </c>
      <c r="E179" s="92">
        <v>906.36159999999995</v>
      </c>
      <c r="F179" s="92">
        <v>43.147500000000001</v>
      </c>
      <c r="G179" s="60">
        <f t="shared" si="140"/>
        <v>949.50909999999999</v>
      </c>
      <c r="H179" s="93">
        <v>0</v>
      </c>
      <c r="I179" s="93">
        <v>0</v>
      </c>
      <c r="J179" s="93">
        <v>0</v>
      </c>
      <c r="K179" s="60">
        <f t="shared" si="141"/>
        <v>949.50909999999999</v>
      </c>
      <c r="L179" s="94">
        <f t="shared" si="142"/>
        <v>0</v>
      </c>
      <c r="M179" s="95" t="str">
        <f t="shared" si="143"/>
        <v/>
      </c>
      <c r="N179" s="63" t="str">
        <f t="shared" si="144"/>
        <v/>
      </c>
      <c r="O179" s="67" t="str">
        <f t="shared" si="145"/>
        <v/>
      </c>
      <c r="P179" s="91" t="str">
        <f t="shared" si="146"/>
        <v/>
      </c>
      <c r="Q179" s="66">
        <f t="shared" si="147"/>
        <v>0</v>
      </c>
      <c r="R179" s="96">
        <f t="shared" si="148"/>
        <v>0</v>
      </c>
      <c r="S179" s="97" t="str">
        <f t="shared" si="149"/>
        <v/>
      </c>
      <c r="U179" s="60">
        <f t="shared" si="150"/>
        <v>949.50909999999999</v>
      </c>
      <c r="V179" s="94">
        <f t="shared" si="151"/>
        <v>633479.7154606448</v>
      </c>
      <c r="W179" s="95" t="str">
        <f t="shared" si="152"/>
        <v/>
      </c>
      <c r="X179" s="63">
        <f t="shared" si="153"/>
        <v>0</v>
      </c>
      <c r="Y179" s="67" t="str">
        <f t="shared" si="154"/>
        <v/>
      </c>
      <c r="Z179" s="91" t="str">
        <f t="shared" si="155"/>
        <v/>
      </c>
      <c r="AA179" s="66">
        <f t="shared" si="156"/>
        <v>656656.6322920291</v>
      </c>
      <c r="AB179" s="96">
        <f t="shared" si="157"/>
        <v>23176.916831384297</v>
      </c>
      <c r="AC179" s="97">
        <f t="shared" si="158"/>
        <v>3.6586675572604303E-2</v>
      </c>
      <c r="AD179" s="67">
        <f t="shared" si="159"/>
        <v>0</v>
      </c>
      <c r="AE179" s="66">
        <v>199216.69267198435</v>
      </c>
      <c r="AG179" s="16"/>
      <c r="AH179" s="16"/>
    </row>
    <row r="180" spans="2:34" x14ac:dyDescent="0.25">
      <c r="B180" s="91">
        <v>2182</v>
      </c>
      <c r="C180" s="67" t="s">
        <v>301</v>
      </c>
      <c r="D180" s="91" t="s">
        <v>35</v>
      </c>
      <c r="E180" s="92">
        <v>14844.071</v>
      </c>
      <c r="F180" s="92">
        <v>609.8125</v>
      </c>
      <c r="G180" s="60">
        <f t="shared" si="140"/>
        <v>15453.8835</v>
      </c>
      <c r="H180" s="93">
        <v>0</v>
      </c>
      <c r="I180" s="93">
        <v>0</v>
      </c>
      <c r="J180" s="93">
        <v>0</v>
      </c>
      <c r="K180" s="60">
        <f t="shared" si="141"/>
        <v>15453.8835</v>
      </c>
      <c r="L180" s="94">
        <f t="shared" si="142"/>
        <v>0</v>
      </c>
      <c r="M180" s="95" t="str">
        <f t="shared" si="143"/>
        <v/>
      </c>
      <c r="N180" s="63" t="str">
        <f t="shared" si="144"/>
        <v/>
      </c>
      <c r="O180" s="67" t="str">
        <f t="shared" si="145"/>
        <v/>
      </c>
      <c r="P180" s="91" t="str">
        <f t="shared" si="146"/>
        <v/>
      </c>
      <c r="Q180" s="66">
        <f t="shared" si="147"/>
        <v>0</v>
      </c>
      <c r="R180" s="96">
        <f t="shared" si="148"/>
        <v>0</v>
      </c>
      <c r="S180" s="97" t="str">
        <f t="shared" si="149"/>
        <v/>
      </c>
      <c r="U180" s="60">
        <f t="shared" si="150"/>
        <v>15453.8835</v>
      </c>
      <c r="V180" s="94">
        <f t="shared" si="151"/>
        <v>10310297.944845347</v>
      </c>
      <c r="W180" s="95" t="str">
        <f t="shared" si="152"/>
        <v/>
      </c>
      <c r="X180" s="63">
        <f t="shared" si="153"/>
        <v>0</v>
      </c>
      <c r="Y180" s="67" t="str">
        <f t="shared" si="154"/>
        <v/>
      </c>
      <c r="Z180" s="91" t="str">
        <f t="shared" si="155"/>
        <v/>
      </c>
      <c r="AA180" s="66">
        <f t="shared" si="156"/>
        <v>10687517.47081029</v>
      </c>
      <c r="AB180" s="96">
        <f t="shared" si="157"/>
        <v>377219.52596494369</v>
      </c>
      <c r="AC180" s="97">
        <f t="shared" si="158"/>
        <v>3.6586675572604116E-2</v>
      </c>
      <c r="AD180" s="67">
        <f t="shared" si="159"/>
        <v>0</v>
      </c>
      <c r="AE180" s="66">
        <v>3159738.0840301202</v>
      </c>
      <c r="AG180" s="16"/>
      <c r="AH180" s="16"/>
    </row>
    <row r="181" spans="2:34" x14ac:dyDescent="0.25">
      <c r="B181" s="91">
        <v>1999</v>
      </c>
      <c r="C181" s="67" t="s">
        <v>284</v>
      </c>
      <c r="D181" s="91" t="s">
        <v>204</v>
      </c>
      <c r="E181" s="92">
        <v>539.93219999999997</v>
      </c>
      <c r="F181" s="92">
        <v>26</v>
      </c>
      <c r="G181" s="60">
        <f t="shared" si="140"/>
        <v>565.93219999999997</v>
      </c>
      <c r="H181" s="93">
        <v>0</v>
      </c>
      <c r="I181" s="93">
        <v>0</v>
      </c>
      <c r="J181" s="93">
        <v>0</v>
      </c>
      <c r="K181" s="60">
        <f t="shared" si="141"/>
        <v>565.93219999999997</v>
      </c>
      <c r="L181" s="94">
        <f t="shared" si="142"/>
        <v>0</v>
      </c>
      <c r="M181" s="95" t="str">
        <f t="shared" si="143"/>
        <v/>
      </c>
      <c r="N181" s="63" t="str">
        <f t="shared" si="144"/>
        <v/>
      </c>
      <c r="O181" s="67" t="str">
        <f t="shared" si="145"/>
        <v/>
      </c>
      <c r="P181" s="91" t="str">
        <f t="shared" si="146"/>
        <v/>
      </c>
      <c r="Q181" s="66">
        <f t="shared" si="147"/>
        <v>0</v>
      </c>
      <c r="R181" s="96">
        <f t="shared" si="148"/>
        <v>0</v>
      </c>
      <c r="S181" s="97" t="str">
        <f t="shared" si="149"/>
        <v/>
      </c>
      <c r="U181" s="60">
        <f t="shared" si="150"/>
        <v>565.93219999999997</v>
      </c>
      <c r="V181" s="94">
        <f t="shared" si="151"/>
        <v>377570.4403738908</v>
      </c>
      <c r="W181" s="95" t="str">
        <f t="shared" si="152"/>
        <v/>
      </c>
      <c r="X181" s="63">
        <f t="shared" si="153"/>
        <v>0</v>
      </c>
      <c r="Y181" s="67" t="str">
        <f t="shared" si="154"/>
        <v/>
      </c>
      <c r="Z181" s="91" t="str">
        <f t="shared" si="155"/>
        <v/>
      </c>
      <c r="AA181" s="66">
        <f t="shared" si="156"/>
        <v>391384.48758165567</v>
      </c>
      <c r="AB181" s="96">
        <f t="shared" si="157"/>
        <v>13814.047207764874</v>
      </c>
      <c r="AC181" s="97">
        <f t="shared" si="158"/>
        <v>3.6586675572604289E-2</v>
      </c>
      <c r="AD181" s="67">
        <f t="shared" si="159"/>
        <v>0</v>
      </c>
      <c r="AE181" s="66">
        <v>119316.95969633224</v>
      </c>
      <c r="AG181" s="16"/>
      <c r="AH181" s="16"/>
    </row>
    <row r="182" spans="2:34" x14ac:dyDescent="0.25">
      <c r="B182" s="91">
        <v>2188</v>
      </c>
      <c r="C182" s="67" t="s">
        <v>301</v>
      </c>
      <c r="D182" s="91" t="s">
        <v>205</v>
      </c>
      <c r="E182" s="92">
        <v>719.21</v>
      </c>
      <c r="F182" s="92">
        <v>6.75</v>
      </c>
      <c r="G182" s="60">
        <f t="shared" si="140"/>
        <v>725.96</v>
      </c>
      <c r="H182" s="93">
        <v>0</v>
      </c>
      <c r="I182" s="93">
        <v>0</v>
      </c>
      <c r="J182" s="93">
        <v>0</v>
      </c>
      <c r="K182" s="60">
        <f t="shared" si="141"/>
        <v>725.96</v>
      </c>
      <c r="L182" s="94">
        <f t="shared" si="142"/>
        <v>0</v>
      </c>
      <c r="M182" s="95" t="str">
        <f t="shared" si="143"/>
        <v/>
      </c>
      <c r="N182" s="63" t="str">
        <f t="shared" si="144"/>
        <v/>
      </c>
      <c r="O182" s="67" t="str">
        <f t="shared" si="145"/>
        <v/>
      </c>
      <c r="P182" s="91" t="str">
        <f t="shared" si="146"/>
        <v/>
      </c>
      <c r="Q182" s="66">
        <f t="shared" si="147"/>
        <v>0</v>
      </c>
      <c r="R182" s="96">
        <f t="shared" si="148"/>
        <v>0</v>
      </c>
      <c r="S182" s="97" t="str">
        <f t="shared" si="149"/>
        <v/>
      </c>
      <c r="U182" s="60">
        <f t="shared" si="150"/>
        <v>725.96</v>
      </c>
      <c r="V182" s="94">
        <f t="shared" si="151"/>
        <v>484335.46791264007</v>
      </c>
      <c r="W182" s="95" t="str">
        <f t="shared" si="152"/>
        <v/>
      </c>
      <c r="X182" s="63">
        <f t="shared" si="153"/>
        <v>0</v>
      </c>
      <c r="Y182" s="67" t="str">
        <f t="shared" si="154"/>
        <v/>
      </c>
      <c r="Z182" s="91" t="str">
        <f t="shared" si="155"/>
        <v/>
      </c>
      <c r="AA182" s="66">
        <f t="shared" si="156"/>
        <v>502055.69254546531</v>
      </c>
      <c r="AB182" s="96">
        <f t="shared" si="157"/>
        <v>17720.224632825237</v>
      </c>
      <c r="AC182" s="97">
        <f t="shared" si="158"/>
        <v>3.6586675572604248E-2</v>
      </c>
      <c r="AD182" s="67">
        <f t="shared" si="159"/>
        <v>0</v>
      </c>
      <c r="AE182" s="66">
        <v>155510.70240784224</v>
      </c>
      <c r="AG182" s="16"/>
      <c r="AH182" s="16"/>
    </row>
    <row r="183" spans="2:34" x14ac:dyDescent="0.25">
      <c r="B183" s="91">
        <v>2044</v>
      </c>
      <c r="C183" s="67" t="s">
        <v>289</v>
      </c>
      <c r="D183" s="91" t="s">
        <v>127</v>
      </c>
      <c r="E183" s="92">
        <v>1243.6832999999999</v>
      </c>
      <c r="F183" s="92">
        <v>44.732500000000002</v>
      </c>
      <c r="G183" s="60">
        <f t="shared" si="140"/>
        <v>1288.4158</v>
      </c>
      <c r="H183" s="93">
        <v>0</v>
      </c>
      <c r="I183" s="93">
        <v>0</v>
      </c>
      <c r="J183" s="93">
        <v>0</v>
      </c>
      <c r="K183" s="60">
        <f t="shared" si="141"/>
        <v>1288.4158</v>
      </c>
      <c r="L183" s="94">
        <f t="shared" si="142"/>
        <v>0</v>
      </c>
      <c r="M183" s="95" t="str">
        <f t="shared" si="143"/>
        <v/>
      </c>
      <c r="N183" s="63" t="str">
        <f t="shared" si="144"/>
        <v/>
      </c>
      <c r="O183" s="67" t="str">
        <f t="shared" si="145"/>
        <v/>
      </c>
      <c r="P183" s="91" t="str">
        <f t="shared" si="146"/>
        <v/>
      </c>
      <c r="Q183" s="66">
        <f t="shared" si="147"/>
        <v>0</v>
      </c>
      <c r="R183" s="96">
        <f t="shared" si="148"/>
        <v>0</v>
      </c>
      <c r="S183" s="97" t="str">
        <f t="shared" si="149"/>
        <v/>
      </c>
      <c r="U183" s="60">
        <f t="shared" si="150"/>
        <v>1288.4158</v>
      </c>
      <c r="V183" s="94">
        <f t="shared" si="151"/>
        <v>859586.57413499162</v>
      </c>
      <c r="W183" s="95" t="str">
        <f t="shared" si="152"/>
        <v/>
      </c>
      <c r="X183" s="63">
        <f t="shared" si="153"/>
        <v>0</v>
      </c>
      <c r="Y183" s="67" t="str">
        <f t="shared" si="154"/>
        <v/>
      </c>
      <c r="Z183" s="91" t="str">
        <f t="shared" si="155"/>
        <v/>
      </c>
      <c r="AA183" s="66">
        <f t="shared" si="156"/>
        <v>891035.98924943479</v>
      </c>
      <c r="AB183" s="96">
        <f t="shared" si="157"/>
        <v>31449.415114443167</v>
      </c>
      <c r="AC183" s="97">
        <f t="shared" si="158"/>
        <v>3.658667557260413E-2</v>
      </c>
      <c r="AD183" s="67">
        <f t="shared" si="159"/>
        <v>0</v>
      </c>
      <c r="AE183" s="66">
        <v>297560.65327796596</v>
      </c>
      <c r="AG183" s="16"/>
      <c r="AH183" s="16"/>
    </row>
    <row r="184" spans="2:34" x14ac:dyDescent="0.25">
      <c r="B184" s="91">
        <v>2142</v>
      </c>
      <c r="C184" s="67" t="s">
        <v>299</v>
      </c>
      <c r="D184" s="91" t="s">
        <v>34</v>
      </c>
      <c r="E184" s="92">
        <v>52628.766199999998</v>
      </c>
      <c r="F184" s="92">
        <v>1787.93</v>
      </c>
      <c r="G184" s="60">
        <f t="shared" si="140"/>
        <v>54416.696199999998</v>
      </c>
      <c r="H184" s="93">
        <v>0</v>
      </c>
      <c r="I184" s="93">
        <v>0</v>
      </c>
      <c r="J184" s="93">
        <v>0</v>
      </c>
      <c r="K184" s="60">
        <f t="shared" si="141"/>
        <v>54416.696199999998</v>
      </c>
      <c r="L184" s="94">
        <f t="shared" si="142"/>
        <v>0</v>
      </c>
      <c r="M184" s="95" t="str">
        <f t="shared" si="143"/>
        <v/>
      </c>
      <c r="N184" s="63" t="str">
        <f t="shared" si="144"/>
        <v/>
      </c>
      <c r="O184" s="67" t="str">
        <f t="shared" si="145"/>
        <v/>
      </c>
      <c r="P184" s="91" t="str">
        <f t="shared" si="146"/>
        <v/>
      </c>
      <c r="Q184" s="66">
        <f t="shared" si="147"/>
        <v>0</v>
      </c>
      <c r="R184" s="96">
        <f t="shared" si="148"/>
        <v>0</v>
      </c>
      <c r="S184" s="97" t="str">
        <f t="shared" si="149"/>
        <v/>
      </c>
      <c r="U184" s="60">
        <f t="shared" si="150"/>
        <v>54416.696199999998</v>
      </c>
      <c r="V184" s="94">
        <f t="shared" si="151"/>
        <v>36304942.443505123</v>
      </c>
      <c r="W184" s="95" t="str">
        <f t="shared" si="152"/>
        <v/>
      </c>
      <c r="X184" s="63">
        <f t="shared" si="153"/>
        <v>0</v>
      </c>
      <c r="Y184" s="67" t="str">
        <f t="shared" si="154"/>
        <v/>
      </c>
      <c r="Z184" s="91" t="str">
        <f t="shared" si="155"/>
        <v/>
      </c>
      <c r="AA184" s="66">
        <f t="shared" si="156"/>
        <v>37633219.59436772</v>
      </c>
      <c r="AB184" s="96">
        <f t="shared" si="157"/>
        <v>1328277.1508625969</v>
      </c>
      <c r="AC184" s="97">
        <f t="shared" si="158"/>
        <v>3.658667557260438E-2</v>
      </c>
      <c r="AD184" s="67">
        <f t="shared" si="159"/>
        <v>0</v>
      </c>
      <c r="AE184" s="66">
        <v>11427595.723878963</v>
      </c>
      <c r="AG184" s="16"/>
      <c r="AH184" s="16"/>
    </row>
    <row r="185" spans="2:34" x14ac:dyDescent="0.25">
      <c r="B185" s="91">
        <v>2104</v>
      </c>
      <c r="C185" s="67" t="s">
        <v>296</v>
      </c>
      <c r="D185" s="91" t="s">
        <v>57</v>
      </c>
      <c r="E185" s="92">
        <v>5259.9777000000004</v>
      </c>
      <c r="F185" s="92">
        <v>25</v>
      </c>
      <c r="G185" s="60">
        <f t="shared" si="140"/>
        <v>5284.9777000000004</v>
      </c>
      <c r="H185" s="93">
        <v>-3907.4137904912</v>
      </c>
      <c r="I185" s="93">
        <v>0</v>
      </c>
      <c r="J185" s="93">
        <v>0</v>
      </c>
      <c r="K185" s="60">
        <f t="shared" si="141"/>
        <v>1377.5639095088004</v>
      </c>
      <c r="L185" s="94">
        <f t="shared" si="142"/>
        <v>0</v>
      </c>
      <c r="M185" s="95" t="str">
        <f t="shared" si="143"/>
        <v/>
      </c>
      <c r="N185" s="63" t="str">
        <f t="shared" si="144"/>
        <v/>
      </c>
      <c r="O185" s="67" t="str">
        <f t="shared" si="145"/>
        <v/>
      </c>
      <c r="P185" s="91" t="str">
        <f t="shared" si="146"/>
        <v/>
      </c>
      <c r="Q185" s="66">
        <f t="shared" si="147"/>
        <v>0</v>
      </c>
      <c r="R185" s="96">
        <f t="shared" si="148"/>
        <v>0</v>
      </c>
      <c r="S185" s="97" t="str">
        <f t="shared" si="149"/>
        <v/>
      </c>
      <c r="U185" s="60">
        <f t="shared" si="150"/>
        <v>1377.5639095088004</v>
      </c>
      <c r="V185" s="94">
        <f t="shared" si="151"/>
        <v>919063.11737769376</v>
      </c>
      <c r="W185" s="95" t="str">
        <f t="shared" si="152"/>
        <v/>
      </c>
      <c r="X185" s="63">
        <f t="shared" si="153"/>
        <v>0</v>
      </c>
      <c r="Y185" s="67" t="str">
        <f t="shared" si="154"/>
        <v/>
      </c>
      <c r="Z185" s="91" t="str">
        <f t="shared" si="155"/>
        <v/>
      </c>
      <c r="AA185" s="66">
        <f t="shared" si="156"/>
        <v>952688.58148393768</v>
      </c>
      <c r="AB185" s="96">
        <f t="shared" si="157"/>
        <v>33625.464106243919</v>
      </c>
      <c r="AC185" s="97">
        <f t="shared" si="158"/>
        <v>3.6586675572604185E-2</v>
      </c>
      <c r="AD185" s="67">
        <f t="shared" si="159"/>
        <v>0</v>
      </c>
      <c r="AE185" s="66">
        <v>337719.14977195172</v>
      </c>
      <c r="AG185" s="16"/>
      <c r="AH185" s="16"/>
    </row>
    <row r="186" spans="2:34" x14ac:dyDescent="0.25">
      <c r="B186" s="91">
        <v>1944</v>
      </c>
      <c r="C186" s="67" t="s">
        <v>279</v>
      </c>
      <c r="D186" s="91" t="s">
        <v>206</v>
      </c>
      <c r="E186" s="92">
        <v>2795.3308999999999</v>
      </c>
      <c r="F186" s="92">
        <v>54.25</v>
      </c>
      <c r="G186" s="60">
        <f t="shared" si="140"/>
        <v>2849.5808999999999</v>
      </c>
      <c r="H186" s="93">
        <v>0</v>
      </c>
      <c r="I186" s="93">
        <v>0</v>
      </c>
      <c r="J186" s="93">
        <v>0</v>
      </c>
      <c r="K186" s="60">
        <f t="shared" si="141"/>
        <v>2849.5808999999999</v>
      </c>
      <c r="L186" s="94">
        <f t="shared" si="142"/>
        <v>0</v>
      </c>
      <c r="M186" s="95" t="str">
        <f t="shared" si="143"/>
        <v/>
      </c>
      <c r="N186" s="63" t="str">
        <f t="shared" si="144"/>
        <v/>
      </c>
      <c r="O186" s="67" t="str">
        <f t="shared" si="145"/>
        <v/>
      </c>
      <c r="P186" s="91" t="str">
        <f t="shared" si="146"/>
        <v/>
      </c>
      <c r="Q186" s="66">
        <f t="shared" si="147"/>
        <v>0</v>
      </c>
      <c r="R186" s="96">
        <f t="shared" si="148"/>
        <v>0</v>
      </c>
      <c r="S186" s="97" t="str">
        <f t="shared" si="149"/>
        <v/>
      </c>
      <c r="U186" s="60">
        <f t="shared" si="150"/>
        <v>2849.5808999999999</v>
      </c>
      <c r="V186" s="94">
        <f t="shared" si="151"/>
        <v>1901142.0719549588</v>
      </c>
      <c r="W186" s="95" t="str">
        <f t="shared" si="152"/>
        <v/>
      </c>
      <c r="X186" s="63">
        <f t="shared" si="153"/>
        <v>0</v>
      </c>
      <c r="Y186" s="67" t="str">
        <f t="shared" si="154"/>
        <v/>
      </c>
      <c r="Z186" s="91" t="str">
        <f t="shared" si="155"/>
        <v/>
      </c>
      <c r="AA186" s="66">
        <f t="shared" si="156"/>
        <v>1970698.5401590036</v>
      </c>
      <c r="AB186" s="96">
        <f t="shared" si="157"/>
        <v>69556.468204044737</v>
      </c>
      <c r="AC186" s="97">
        <f t="shared" si="158"/>
        <v>3.6586675572604255E-2</v>
      </c>
      <c r="AD186" s="67">
        <f t="shared" si="159"/>
        <v>0</v>
      </c>
      <c r="AE186" s="66">
        <v>602072.68681515916</v>
      </c>
      <c r="AG186" s="16"/>
      <c r="AH186" s="16"/>
    </row>
    <row r="187" spans="2:34" x14ac:dyDescent="0.25">
      <c r="B187" s="91">
        <v>2103</v>
      </c>
      <c r="C187" s="67" t="s">
        <v>296</v>
      </c>
      <c r="D187" s="91" t="s">
        <v>160</v>
      </c>
      <c r="E187" s="92">
        <v>959.08360000000005</v>
      </c>
      <c r="F187" s="92">
        <v>21</v>
      </c>
      <c r="G187" s="60">
        <f t="shared" si="140"/>
        <v>980.08360000000005</v>
      </c>
      <c r="H187" s="93">
        <v>-29.826907865828701</v>
      </c>
      <c r="I187" s="93">
        <v>0</v>
      </c>
      <c r="J187" s="93">
        <v>0</v>
      </c>
      <c r="K187" s="60">
        <f t="shared" si="141"/>
        <v>950.25669213417132</v>
      </c>
      <c r="L187" s="94">
        <f t="shared" si="142"/>
        <v>0</v>
      </c>
      <c r="M187" s="95" t="str">
        <f t="shared" si="143"/>
        <v/>
      </c>
      <c r="N187" s="63" t="str">
        <f t="shared" si="144"/>
        <v/>
      </c>
      <c r="O187" s="67" t="str">
        <f t="shared" si="145"/>
        <v/>
      </c>
      <c r="P187" s="91" t="str">
        <f t="shared" si="146"/>
        <v/>
      </c>
      <c r="Q187" s="66">
        <f t="shared" si="147"/>
        <v>0</v>
      </c>
      <c r="R187" s="96">
        <f t="shared" si="148"/>
        <v>0</v>
      </c>
      <c r="S187" s="97" t="str">
        <f t="shared" si="149"/>
        <v/>
      </c>
      <c r="U187" s="60">
        <f t="shared" si="150"/>
        <v>950.25669213417132</v>
      </c>
      <c r="V187" s="94">
        <f t="shared" si="151"/>
        <v>633978.48314221366</v>
      </c>
      <c r="W187" s="95" t="str">
        <f t="shared" si="152"/>
        <v/>
      </c>
      <c r="X187" s="63">
        <f t="shared" si="153"/>
        <v>0</v>
      </c>
      <c r="Y187" s="67" t="str">
        <f t="shared" si="154"/>
        <v/>
      </c>
      <c r="Z187" s="91" t="str">
        <f t="shared" si="155"/>
        <v/>
      </c>
      <c r="AA187" s="66">
        <f t="shared" si="156"/>
        <v>657173.64822494949</v>
      </c>
      <c r="AB187" s="96">
        <f t="shared" si="157"/>
        <v>23195.165082735824</v>
      </c>
      <c r="AC187" s="97">
        <f t="shared" si="158"/>
        <v>3.6586675572604095E-2</v>
      </c>
      <c r="AD187" s="67">
        <f t="shared" si="159"/>
        <v>0</v>
      </c>
      <c r="AE187" s="66">
        <v>209215.86392406086</v>
      </c>
      <c r="AG187" s="16"/>
      <c r="AH187" s="16"/>
    </row>
    <row r="188" spans="2:34" x14ac:dyDescent="0.25">
      <c r="B188" s="91">
        <v>1935</v>
      </c>
      <c r="C188" s="67" t="s">
        <v>278</v>
      </c>
      <c r="D188" s="91" t="s">
        <v>207</v>
      </c>
      <c r="E188" s="92">
        <v>2001.4203</v>
      </c>
      <c r="F188" s="92">
        <v>67</v>
      </c>
      <c r="G188" s="60">
        <f t="shared" si="140"/>
        <v>2068.4202999999998</v>
      </c>
      <c r="H188" s="93">
        <v>0</v>
      </c>
      <c r="I188" s="93">
        <v>0</v>
      </c>
      <c r="J188" s="93">
        <v>0</v>
      </c>
      <c r="K188" s="60">
        <f t="shared" si="141"/>
        <v>2068.4202999999998</v>
      </c>
      <c r="L188" s="94">
        <f t="shared" si="142"/>
        <v>0</v>
      </c>
      <c r="M188" s="95" t="str">
        <f t="shared" si="143"/>
        <v/>
      </c>
      <c r="N188" s="63" t="str">
        <f t="shared" si="144"/>
        <v/>
      </c>
      <c r="O188" s="67" t="str">
        <f t="shared" si="145"/>
        <v/>
      </c>
      <c r="P188" s="91" t="str">
        <f t="shared" si="146"/>
        <v/>
      </c>
      <c r="Q188" s="66">
        <f t="shared" si="147"/>
        <v>0</v>
      </c>
      <c r="R188" s="96">
        <f t="shared" si="148"/>
        <v>0</v>
      </c>
      <c r="S188" s="97" t="str">
        <f t="shared" si="149"/>
        <v/>
      </c>
      <c r="U188" s="60">
        <f t="shared" si="150"/>
        <v>2068.4202999999998</v>
      </c>
      <c r="V188" s="94">
        <f t="shared" si="151"/>
        <v>1379978.6680264797</v>
      </c>
      <c r="W188" s="95" t="str">
        <f t="shared" si="152"/>
        <v/>
      </c>
      <c r="X188" s="63">
        <f t="shared" si="153"/>
        <v>0</v>
      </c>
      <c r="Y188" s="67" t="str">
        <f t="shared" si="154"/>
        <v/>
      </c>
      <c r="Z188" s="91" t="str">
        <f t="shared" si="155"/>
        <v/>
      </c>
      <c r="AA188" s="66">
        <f t="shared" si="156"/>
        <v>1430467.499850679</v>
      </c>
      <c r="AB188" s="96">
        <f t="shared" si="157"/>
        <v>50488.831824199297</v>
      </c>
      <c r="AC188" s="97">
        <f t="shared" si="158"/>
        <v>3.6586675572604206E-2</v>
      </c>
      <c r="AD188" s="67">
        <f t="shared" si="159"/>
        <v>0</v>
      </c>
      <c r="AE188" s="66">
        <v>433344.83419857267</v>
      </c>
      <c r="AG188" s="16"/>
      <c r="AH188" s="16"/>
    </row>
    <row r="189" spans="2:34" x14ac:dyDescent="0.25">
      <c r="B189" s="91">
        <v>2257</v>
      </c>
      <c r="C189" s="67" t="s">
        <v>311</v>
      </c>
      <c r="D189" s="91" t="s">
        <v>68</v>
      </c>
      <c r="E189" s="92">
        <v>1203.0195000000001</v>
      </c>
      <c r="F189" s="92">
        <v>37.667499999999997</v>
      </c>
      <c r="G189" s="60">
        <f t="shared" si="140"/>
        <v>1240.6870000000001</v>
      </c>
      <c r="H189" s="93">
        <v>-134.58000000000001</v>
      </c>
      <c r="I189" s="93">
        <v>0</v>
      </c>
      <c r="J189" s="93">
        <v>0</v>
      </c>
      <c r="K189" s="60">
        <f t="shared" si="141"/>
        <v>1106.1070000000002</v>
      </c>
      <c r="L189" s="94">
        <f t="shared" si="142"/>
        <v>0</v>
      </c>
      <c r="M189" s="95" t="str">
        <f t="shared" si="143"/>
        <v/>
      </c>
      <c r="N189" s="63" t="str">
        <f t="shared" si="144"/>
        <v/>
      </c>
      <c r="O189" s="67" t="str">
        <f t="shared" si="145"/>
        <v/>
      </c>
      <c r="P189" s="91" t="str">
        <f t="shared" si="146"/>
        <v/>
      </c>
      <c r="Q189" s="66">
        <f t="shared" si="147"/>
        <v>0</v>
      </c>
      <c r="R189" s="96">
        <f t="shared" si="148"/>
        <v>0</v>
      </c>
      <c r="S189" s="97" t="str">
        <f t="shared" si="149"/>
        <v/>
      </c>
      <c r="U189" s="60">
        <f t="shared" si="150"/>
        <v>1106.1070000000002</v>
      </c>
      <c r="V189" s="94">
        <f t="shared" si="151"/>
        <v>737956.43204370304</v>
      </c>
      <c r="W189" s="95" t="str">
        <f t="shared" si="152"/>
        <v/>
      </c>
      <c r="X189" s="63">
        <f t="shared" si="153"/>
        <v>0</v>
      </c>
      <c r="Y189" s="67" t="str">
        <f t="shared" si="154"/>
        <v/>
      </c>
      <c r="Z189" s="91" t="str">
        <f t="shared" si="155"/>
        <v/>
      </c>
      <c r="AA189" s="66">
        <f t="shared" si="156"/>
        <v>764955.80460960255</v>
      </c>
      <c r="AB189" s="96">
        <f t="shared" si="157"/>
        <v>26999.37256589951</v>
      </c>
      <c r="AC189" s="97">
        <f t="shared" si="158"/>
        <v>3.6586675572604213E-2</v>
      </c>
      <c r="AD189" s="67">
        <f t="shared" si="159"/>
        <v>0</v>
      </c>
      <c r="AE189" s="66">
        <v>232819.05792571197</v>
      </c>
      <c r="AG189" s="16"/>
      <c r="AH189" s="16"/>
    </row>
    <row r="190" spans="2:34" x14ac:dyDescent="0.25">
      <c r="B190" s="91">
        <v>2195</v>
      </c>
      <c r="C190" s="67" t="s">
        <v>303</v>
      </c>
      <c r="D190" s="91" t="s">
        <v>208</v>
      </c>
      <c r="E190" s="92">
        <v>428.6979</v>
      </c>
      <c r="F190" s="92">
        <v>10</v>
      </c>
      <c r="G190" s="60">
        <f t="shared" si="140"/>
        <v>438.6979</v>
      </c>
      <c r="H190" s="93">
        <v>0</v>
      </c>
      <c r="I190" s="93">
        <v>0</v>
      </c>
      <c r="J190" s="93">
        <v>0</v>
      </c>
      <c r="K190" s="60">
        <f t="shared" si="141"/>
        <v>438.6979</v>
      </c>
      <c r="L190" s="94">
        <f t="shared" si="142"/>
        <v>0</v>
      </c>
      <c r="M190" s="95" t="str">
        <f t="shared" si="143"/>
        <v/>
      </c>
      <c r="N190" s="63" t="str">
        <f t="shared" si="144"/>
        <v/>
      </c>
      <c r="O190" s="67" t="str">
        <f t="shared" si="145"/>
        <v/>
      </c>
      <c r="P190" s="91" t="str">
        <f t="shared" si="146"/>
        <v/>
      </c>
      <c r="Q190" s="66">
        <f t="shared" si="147"/>
        <v>0</v>
      </c>
      <c r="R190" s="96">
        <f t="shared" si="148"/>
        <v>0</v>
      </c>
      <c r="S190" s="97" t="str">
        <f t="shared" si="149"/>
        <v/>
      </c>
      <c r="U190" s="60">
        <f t="shared" si="150"/>
        <v>438.6979</v>
      </c>
      <c r="V190" s="94">
        <f t="shared" si="151"/>
        <v>292684.10472862498</v>
      </c>
      <c r="W190" s="95" t="str">
        <f t="shared" si="152"/>
        <v/>
      </c>
      <c r="X190" s="63">
        <f t="shared" si="153"/>
        <v>0</v>
      </c>
      <c r="Y190" s="67" t="str">
        <f t="shared" si="154"/>
        <v/>
      </c>
      <c r="Z190" s="91" t="str">
        <f t="shared" si="155"/>
        <v/>
      </c>
      <c r="AA190" s="66">
        <f t="shared" si="156"/>
        <v>303392.44311358925</v>
      </c>
      <c r="AB190" s="96">
        <f t="shared" si="157"/>
        <v>10708.338384964271</v>
      </c>
      <c r="AC190" s="97">
        <f t="shared" si="158"/>
        <v>3.6586675572604054E-2</v>
      </c>
      <c r="AD190" s="67">
        <f t="shared" si="159"/>
        <v>0</v>
      </c>
      <c r="AE190" s="66">
        <v>92677.710715485257</v>
      </c>
      <c r="AG190" s="16"/>
      <c r="AH190" s="16"/>
    </row>
    <row r="191" spans="2:34" x14ac:dyDescent="0.25">
      <c r="B191" s="91">
        <v>2244</v>
      </c>
      <c r="C191" s="67" t="s">
        <v>309</v>
      </c>
      <c r="D191" s="91" t="s">
        <v>209</v>
      </c>
      <c r="E191" s="92">
        <v>6010.7425000000003</v>
      </c>
      <c r="F191" s="92">
        <v>44.36</v>
      </c>
      <c r="G191" s="60">
        <f t="shared" si="140"/>
        <v>6055.1025</v>
      </c>
      <c r="H191" s="93">
        <v>0</v>
      </c>
      <c r="I191" s="93">
        <v>0</v>
      </c>
      <c r="J191" s="93">
        <v>0</v>
      </c>
      <c r="K191" s="60">
        <f t="shared" si="141"/>
        <v>6055.1025</v>
      </c>
      <c r="L191" s="94">
        <f t="shared" si="142"/>
        <v>0</v>
      </c>
      <c r="M191" s="95" t="str">
        <f t="shared" si="143"/>
        <v/>
      </c>
      <c r="N191" s="63" t="str">
        <f t="shared" si="144"/>
        <v/>
      </c>
      <c r="O191" s="67" t="str">
        <f t="shared" si="145"/>
        <v/>
      </c>
      <c r="P191" s="91" t="str">
        <f t="shared" si="146"/>
        <v/>
      </c>
      <c r="Q191" s="66">
        <f t="shared" si="147"/>
        <v>0</v>
      </c>
      <c r="R191" s="96">
        <f t="shared" si="148"/>
        <v>0</v>
      </c>
      <c r="S191" s="97" t="str">
        <f t="shared" si="149"/>
        <v/>
      </c>
      <c r="U191" s="60">
        <f t="shared" si="150"/>
        <v>6055.1025</v>
      </c>
      <c r="V191" s="94">
        <f t="shared" si="151"/>
        <v>4039755.4997472265</v>
      </c>
      <c r="W191" s="95" t="str">
        <f t="shared" si="152"/>
        <v/>
      </c>
      <c r="X191" s="63">
        <f t="shared" si="153"/>
        <v>0</v>
      </c>
      <c r="Y191" s="67" t="str">
        <f t="shared" si="154"/>
        <v/>
      </c>
      <c r="Z191" s="91" t="str">
        <f t="shared" si="155"/>
        <v/>
      </c>
      <c r="AA191" s="66">
        <f t="shared" si="156"/>
        <v>4187556.723609122</v>
      </c>
      <c r="AB191" s="96">
        <f t="shared" si="157"/>
        <v>147801.2238618955</v>
      </c>
      <c r="AC191" s="97">
        <f t="shared" si="158"/>
        <v>3.6586675572604241E-2</v>
      </c>
      <c r="AD191" s="67">
        <f t="shared" si="159"/>
        <v>0</v>
      </c>
      <c r="AE191" s="66">
        <v>1277209.3036196141</v>
      </c>
      <c r="AG191" s="16"/>
      <c r="AH191" s="16"/>
    </row>
    <row r="192" spans="2:34" x14ac:dyDescent="0.25">
      <c r="B192" s="6">
        <v>4038</v>
      </c>
      <c r="C192" s="6" t="s">
        <v>295</v>
      </c>
      <c r="D192" s="6" t="s">
        <v>322</v>
      </c>
      <c r="E192" s="92"/>
      <c r="F192" s="92"/>
      <c r="G192" s="60"/>
      <c r="H192" s="93"/>
      <c r="I192" s="93"/>
      <c r="J192" s="93"/>
      <c r="K192" s="60"/>
      <c r="L192" s="94"/>
      <c r="M192" s="95"/>
      <c r="N192" s="63"/>
      <c r="O192" s="67"/>
      <c r="P192" s="91"/>
      <c r="Q192" s="66"/>
      <c r="R192" s="96"/>
      <c r="S192" s="97"/>
      <c r="U192" s="60"/>
      <c r="V192" s="94"/>
      <c r="W192" s="95"/>
      <c r="X192" s="63"/>
      <c r="Y192" s="67"/>
      <c r="Z192" s="91"/>
      <c r="AA192" s="66"/>
      <c r="AB192" s="96"/>
      <c r="AC192" s="97"/>
      <c r="AD192" s="67"/>
      <c r="AE192" s="66">
        <v>65699.117547569578</v>
      </c>
      <c r="AG192" s="16"/>
      <c r="AH192" s="16"/>
    </row>
    <row r="193" spans="2:34" x14ac:dyDescent="0.25">
      <c r="B193" s="91">
        <v>2138</v>
      </c>
      <c r="C193" s="67" t="s">
        <v>299</v>
      </c>
      <c r="D193" s="91" t="s">
        <v>210</v>
      </c>
      <c r="E193" s="92">
        <v>4589.7362000000003</v>
      </c>
      <c r="F193" s="92">
        <v>95.902500000000003</v>
      </c>
      <c r="G193" s="60">
        <f t="shared" ref="G193:G204" si="160">E193+F193</f>
        <v>4685.6387000000004</v>
      </c>
      <c r="H193" s="93">
        <v>0</v>
      </c>
      <c r="I193" s="93">
        <v>0</v>
      </c>
      <c r="J193" s="93">
        <v>0</v>
      </c>
      <c r="K193" s="60">
        <f t="shared" ref="K193:K204" si="161">$G193+$H193+$I193+$J193</f>
        <v>4685.6387000000004</v>
      </c>
      <c r="L193" s="94">
        <f t="shared" ref="L193:L204" si="162">K193*$D$16</f>
        <v>0</v>
      </c>
      <c r="M193" s="95" t="str">
        <f t="shared" ref="M193:M204" si="163">IF(K193=0,"",IF(K193&lt;$W$16,"Yes",""))</f>
        <v/>
      </c>
      <c r="N193" s="63" t="str">
        <f t="shared" ref="N193:N204" si="164">IF(K193=0,"",IF(K193&lt;$W$16,$W$16-K193,""))</f>
        <v/>
      </c>
      <c r="O193" s="67" t="str">
        <f t="shared" ref="O193:O204" si="165">IF(K193=0,"",IF(K193&lt;$M$16,(K193+N193)*$Q$16,""))</f>
        <v/>
      </c>
      <c r="P193" s="91" t="str">
        <f t="shared" ref="P193:P204" si="166">IF(K193=0,"",IF(K193&lt;$W$16,(K193+N193),""))</f>
        <v/>
      </c>
      <c r="Q193" s="66">
        <f t="shared" ref="Q193:Q204" si="167">MAX(O193,(K193*$Q$16))</f>
        <v>0</v>
      </c>
      <c r="R193" s="96">
        <f t="shared" ref="R193:R204" si="168">IF(Q193=0,0,(Q193-L193))</f>
        <v>0</v>
      </c>
      <c r="S193" s="97" t="str">
        <f t="shared" ref="S193:S204" si="169">IF(R193=0,"",(R193/L193))</f>
        <v/>
      </c>
      <c r="U193" s="60">
        <f t="shared" ref="U193:U204" si="170">$G193+$H193+$I193+$J193</f>
        <v>4685.6387000000004</v>
      </c>
      <c r="V193" s="94">
        <f t="shared" ref="V193:V204" si="171">U193*$E$16</f>
        <v>3126096.4959971276</v>
      </c>
      <c r="W193" s="95" t="str">
        <f t="shared" ref="W193:W204" si="172">IF(U193=0,"",IF(U193&lt;$W$16,"Yes",""))</f>
        <v/>
      </c>
      <c r="X193" s="63">
        <f t="shared" ref="X193:X204" si="173">IF(U193=0,0,IF(U193&lt;$W$16,$W$16-U193,0))</f>
        <v>0</v>
      </c>
      <c r="Y193" s="67" t="str">
        <f t="shared" ref="Y193:Y204" si="174">IF(U193=0,"",IF(U193&lt;$W$16,(U193+X193)*$AA$16,""))</f>
        <v/>
      </c>
      <c r="Z193" s="91" t="str">
        <f t="shared" ref="Z193:Z204" si="175">IF(U193=0,"",IF(U193&lt;$W$16,(U193+X193),""))</f>
        <v/>
      </c>
      <c r="AA193" s="66">
        <f t="shared" ref="AA193:AA204" si="176">MAX(Y193,(U193*$AA$16))</f>
        <v>3240469.9743048293</v>
      </c>
      <c r="AB193" s="96">
        <f t="shared" ref="AB193:AB204" si="177">IF(AA193=0,"",(AA193-V193))</f>
        <v>114373.47830770165</v>
      </c>
      <c r="AC193" s="97">
        <f t="shared" ref="AC193:AC204" si="178">IF(AB193="","",(AB193/V193))</f>
        <v>3.6586675572604185E-2</v>
      </c>
      <c r="AD193" s="67">
        <f t="shared" ref="AD193:AD204" si="179">IF(AA193=0,0,(U193+X193)/$AA$14)*$E$13</f>
        <v>0</v>
      </c>
      <c r="AE193" s="66">
        <v>990162.05441316403</v>
      </c>
      <c r="AG193" s="16"/>
      <c r="AH193" s="16"/>
    </row>
    <row r="194" spans="2:34" x14ac:dyDescent="0.25">
      <c r="B194" s="91">
        <v>1978</v>
      </c>
      <c r="C194" s="67" t="s">
        <v>283</v>
      </c>
      <c r="D194" s="91" t="s">
        <v>211</v>
      </c>
      <c r="E194" s="92">
        <v>1210.1524999999999</v>
      </c>
      <c r="F194" s="92">
        <v>19.202500000000001</v>
      </c>
      <c r="G194" s="60">
        <f t="shared" si="160"/>
        <v>1229.355</v>
      </c>
      <c r="H194" s="93">
        <v>0</v>
      </c>
      <c r="I194" s="93">
        <v>0</v>
      </c>
      <c r="J194" s="93">
        <v>0</v>
      </c>
      <c r="K194" s="60">
        <f t="shared" si="161"/>
        <v>1229.355</v>
      </c>
      <c r="L194" s="94">
        <f t="shared" si="162"/>
        <v>0</v>
      </c>
      <c r="M194" s="95" t="str">
        <f t="shared" si="163"/>
        <v/>
      </c>
      <c r="N194" s="63" t="str">
        <f t="shared" si="164"/>
        <v/>
      </c>
      <c r="O194" s="67" t="str">
        <f t="shared" si="165"/>
        <v/>
      </c>
      <c r="P194" s="91" t="str">
        <f t="shared" si="166"/>
        <v/>
      </c>
      <c r="Q194" s="66">
        <f t="shared" si="167"/>
        <v>0</v>
      </c>
      <c r="R194" s="96">
        <f t="shared" si="168"/>
        <v>0</v>
      </c>
      <c r="S194" s="97" t="str">
        <f t="shared" si="169"/>
        <v/>
      </c>
      <c r="U194" s="60">
        <f t="shared" si="170"/>
        <v>1229.355</v>
      </c>
      <c r="V194" s="94">
        <f t="shared" si="171"/>
        <v>820183.24584790296</v>
      </c>
      <c r="W194" s="95" t="str">
        <f t="shared" si="172"/>
        <v/>
      </c>
      <c r="X194" s="63">
        <f t="shared" si="173"/>
        <v>0</v>
      </c>
      <c r="Y194" s="67" t="str">
        <f t="shared" si="174"/>
        <v/>
      </c>
      <c r="Z194" s="91" t="str">
        <f t="shared" si="175"/>
        <v/>
      </c>
      <c r="AA194" s="66">
        <f t="shared" si="176"/>
        <v>850191.02417382563</v>
      </c>
      <c r="AB194" s="96">
        <f t="shared" si="177"/>
        <v>30007.778325922671</v>
      </c>
      <c r="AC194" s="97">
        <f t="shared" si="178"/>
        <v>3.6586675572604171E-2</v>
      </c>
      <c r="AD194" s="67">
        <f t="shared" si="179"/>
        <v>0</v>
      </c>
      <c r="AE194" s="66">
        <v>266040.46599018329</v>
      </c>
      <c r="AG194" s="16"/>
      <c r="AH194" s="16"/>
    </row>
    <row r="195" spans="2:34" x14ac:dyDescent="0.25">
      <c r="B195" s="91">
        <v>2096</v>
      </c>
      <c r="C195" s="67" t="s">
        <v>294</v>
      </c>
      <c r="D195" s="91" t="s">
        <v>212</v>
      </c>
      <c r="E195" s="92">
        <v>1618.9393</v>
      </c>
      <c r="F195" s="92">
        <v>103.7925</v>
      </c>
      <c r="G195" s="60">
        <f t="shared" si="160"/>
        <v>1722.7318</v>
      </c>
      <c r="H195" s="93">
        <v>0</v>
      </c>
      <c r="I195" s="93">
        <v>0</v>
      </c>
      <c r="J195" s="93">
        <v>0</v>
      </c>
      <c r="K195" s="60">
        <f t="shared" si="161"/>
        <v>1722.7318</v>
      </c>
      <c r="L195" s="94">
        <f t="shared" si="162"/>
        <v>0</v>
      </c>
      <c r="M195" s="95" t="str">
        <f t="shared" si="163"/>
        <v/>
      </c>
      <c r="N195" s="63" t="str">
        <f t="shared" si="164"/>
        <v/>
      </c>
      <c r="O195" s="67" t="str">
        <f t="shared" si="165"/>
        <v/>
      </c>
      <c r="P195" s="91" t="str">
        <f t="shared" si="166"/>
        <v/>
      </c>
      <c r="Q195" s="66">
        <f t="shared" si="167"/>
        <v>0</v>
      </c>
      <c r="R195" s="96">
        <f t="shared" si="168"/>
        <v>0</v>
      </c>
      <c r="S195" s="97" t="str">
        <f t="shared" si="169"/>
        <v/>
      </c>
      <c r="U195" s="60">
        <f t="shared" si="170"/>
        <v>1722.7318</v>
      </c>
      <c r="V195" s="94">
        <f t="shared" si="171"/>
        <v>1149347.2263499156</v>
      </c>
      <c r="W195" s="95" t="str">
        <f t="shared" si="172"/>
        <v/>
      </c>
      <c r="X195" s="63">
        <f t="shared" si="173"/>
        <v>0</v>
      </c>
      <c r="Y195" s="67" t="str">
        <f t="shared" si="174"/>
        <v/>
      </c>
      <c r="Z195" s="91" t="str">
        <f t="shared" si="175"/>
        <v/>
      </c>
      <c r="AA195" s="66">
        <f t="shared" si="176"/>
        <v>1191398.0204406523</v>
      </c>
      <c r="AB195" s="96">
        <f t="shared" si="177"/>
        <v>42050.794090736657</v>
      </c>
      <c r="AC195" s="97">
        <f t="shared" si="178"/>
        <v>3.6586675572604033E-2</v>
      </c>
      <c r="AD195" s="67">
        <f t="shared" si="179"/>
        <v>0</v>
      </c>
      <c r="AE195" s="66">
        <v>372813.03681227425</v>
      </c>
      <c r="AG195" s="16"/>
      <c r="AH195" s="16"/>
    </row>
    <row r="196" spans="2:34" x14ac:dyDescent="0.25">
      <c r="B196" s="91">
        <v>2022</v>
      </c>
      <c r="C196" s="67" t="s">
        <v>287</v>
      </c>
      <c r="D196" s="91" t="s">
        <v>213</v>
      </c>
      <c r="E196" s="92">
        <v>42.030799999999999</v>
      </c>
      <c r="F196" s="92">
        <v>0.45</v>
      </c>
      <c r="G196" s="60">
        <f t="shared" si="160"/>
        <v>42.480800000000002</v>
      </c>
      <c r="H196" s="93">
        <v>0</v>
      </c>
      <c r="I196" s="93">
        <v>0</v>
      </c>
      <c r="J196" s="93">
        <v>0</v>
      </c>
      <c r="K196" s="60">
        <f t="shared" si="161"/>
        <v>42.480800000000002</v>
      </c>
      <c r="L196" s="94">
        <f t="shared" si="162"/>
        <v>0</v>
      </c>
      <c r="M196" s="95" t="str">
        <f t="shared" si="163"/>
        <v>Yes</v>
      </c>
      <c r="N196" s="63">
        <f t="shared" si="164"/>
        <v>7.5191999999999979</v>
      </c>
      <c r="O196" s="67">
        <f t="shared" si="165"/>
        <v>0</v>
      </c>
      <c r="P196" s="91">
        <f t="shared" si="166"/>
        <v>50</v>
      </c>
      <c r="Q196" s="66">
        <f t="shared" si="167"/>
        <v>0</v>
      </c>
      <c r="R196" s="96">
        <f t="shared" si="168"/>
        <v>0</v>
      </c>
      <c r="S196" s="97" t="str">
        <f t="shared" si="169"/>
        <v/>
      </c>
      <c r="U196" s="60">
        <f t="shared" si="170"/>
        <v>42.480800000000002</v>
      </c>
      <c r="V196" s="94">
        <f t="shared" si="171"/>
        <v>28341.724262085074</v>
      </c>
      <c r="W196" s="95" t="str">
        <f t="shared" si="172"/>
        <v>Yes</v>
      </c>
      <c r="X196" s="63">
        <f t="shared" si="173"/>
        <v>7.5191999999999979</v>
      </c>
      <c r="Y196" s="67">
        <f t="shared" si="174"/>
        <v>34578.743494508322</v>
      </c>
      <c r="Z196" s="91">
        <f t="shared" si="175"/>
        <v>50</v>
      </c>
      <c r="AA196" s="66">
        <f t="shared" si="176"/>
        <v>34578.743494508322</v>
      </c>
      <c r="AB196" s="96">
        <f t="shared" si="177"/>
        <v>6237.0192324232485</v>
      </c>
      <c r="AC196" s="97">
        <f t="shared" si="178"/>
        <v>0.22006491823671412</v>
      </c>
      <c r="AD196" s="67">
        <f t="shared" si="179"/>
        <v>0</v>
      </c>
      <c r="AE196" s="66">
        <v>10583.999347161385</v>
      </c>
      <c r="AG196" s="16"/>
      <c r="AH196" s="16"/>
    </row>
    <row r="197" spans="2:34" x14ac:dyDescent="0.25">
      <c r="B197" s="91">
        <v>2087</v>
      </c>
      <c r="C197" s="67" t="s">
        <v>294</v>
      </c>
      <c r="D197" s="91" t="s">
        <v>74</v>
      </c>
      <c r="E197" s="92">
        <v>3385.2311</v>
      </c>
      <c r="F197" s="92">
        <v>114.10250000000001</v>
      </c>
      <c r="G197" s="60">
        <f t="shared" si="160"/>
        <v>3499.3335999999999</v>
      </c>
      <c r="H197" s="93">
        <v>0</v>
      </c>
      <c r="I197" s="93">
        <v>0</v>
      </c>
      <c r="J197" s="93">
        <v>0</v>
      </c>
      <c r="K197" s="60">
        <f t="shared" si="161"/>
        <v>3499.3335999999999</v>
      </c>
      <c r="L197" s="94">
        <f t="shared" si="162"/>
        <v>0</v>
      </c>
      <c r="M197" s="95" t="str">
        <f t="shared" si="163"/>
        <v/>
      </c>
      <c r="N197" s="63" t="str">
        <f t="shared" si="164"/>
        <v/>
      </c>
      <c r="O197" s="67" t="str">
        <f t="shared" si="165"/>
        <v/>
      </c>
      <c r="P197" s="91" t="str">
        <f t="shared" si="166"/>
        <v/>
      </c>
      <c r="Q197" s="66">
        <f t="shared" si="167"/>
        <v>0</v>
      </c>
      <c r="R197" s="96">
        <f t="shared" si="168"/>
        <v>0</v>
      </c>
      <c r="S197" s="97" t="str">
        <f t="shared" si="169"/>
        <v/>
      </c>
      <c r="U197" s="60">
        <f t="shared" si="170"/>
        <v>3499.3335999999999</v>
      </c>
      <c r="V197" s="94">
        <f t="shared" si="171"/>
        <v>2334634.6582985609</v>
      </c>
      <c r="W197" s="95" t="str">
        <f t="shared" si="172"/>
        <v/>
      </c>
      <c r="X197" s="63">
        <f t="shared" si="173"/>
        <v>0</v>
      </c>
      <c r="Y197" s="67" t="str">
        <f t="shared" si="174"/>
        <v/>
      </c>
      <c r="Z197" s="91" t="str">
        <f t="shared" si="175"/>
        <v/>
      </c>
      <c r="AA197" s="66">
        <f t="shared" si="176"/>
        <v>2420051.1791222878</v>
      </c>
      <c r="AB197" s="96">
        <f t="shared" si="177"/>
        <v>85416.520823726896</v>
      </c>
      <c r="AC197" s="97">
        <f t="shared" si="178"/>
        <v>3.6586675572604109E-2</v>
      </c>
      <c r="AD197" s="67">
        <f t="shared" si="179"/>
        <v>0</v>
      </c>
      <c r="AE197" s="66">
        <v>750970.69694288331</v>
      </c>
      <c r="AG197" s="16"/>
      <c r="AH197" s="16"/>
    </row>
    <row r="198" spans="2:34" x14ac:dyDescent="0.25">
      <c r="B198" s="91">
        <v>1994</v>
      </c>
      <c r="C198" s="67" t="s">
        <v>284</v>
      </c>
      <c r="D198" s="91" t="s">
        <v>115</v>
      </c>
      <c r="E198" s="92">
        <v>1799.944</v>
      </c>
      <c r="F198" s="92">
        <v>88.612499999999997</v>
      </c>
      <c r="G198" s="60">
        <f t="shared" si="160"/>
        <v>1888.5564999999999</v>
      </c>
      <c r="H198" s="93">
        <v>0</v>
      </c>
      <c r="I198" s="93">
        <v>0</v>
      </c>
      <c r="J198" s="93">
        <v>0</v>
      </c>
      <c r="K198" s="60">
        <f t="shared" si="161"/>
        <v>1888.5564999999999</v>
      </c>
      <c r="L198" s="94">
        <f t="shared" si="162"/>
        <v>0</v>
      </c>
      <c r="M198" s="95" t="str">
        <f t="shared" si="163"/>
        <v/>
      </c>
      <c r="N198" s="63" t="str">
        <f t="shared" si="164"/>
        <v/>
      </c>
      <c r="O198" s="67" t="str">
        <f t="shared" si="165"/>
        <v/>
      </c>
      <c r="P198" s="91" t="str">
        <f t="shared" si="166"/>
        <v/>
      </c>
      <c r="Q198" s="66">
        <f t="shared" si="167"/>
        <v>0</v>
      </c>
      <c r="R198" s="96">
        <f t="shared" si="168"/>
        <v>0</v>
      </c>
      <c r="S198" s="97" t="str">
        <f t="shared" si="169"/>
        <v/>
      </c>
      <c r="U198" s="60">
        <f t="shared" si="170"/>
        <v>1888.5564999999999</v>
      </c>
      <c r="V198" s="94">
        <f t="shared" si="171"/>
        <v>1259979.745587853</v>
      </c>
      <c r="W198" s="95" t="str">
        <f t="shared" si="172"/>
        <v/>
      </c>
      <c r="X198" s="63">
        <f t="shared" si="173"/>
        <v>0</v>
      </c>
      <c r="Y198" s="67" t="str">
        <f t="shared" si="174"/>
        <v/>
      </c>
      <c r="Z198" s="91" t="str">
        <f t="shared" si="175"/>
        <v/>
      </c>
      <c r="AA198" s="66">
        <f t="shared" si="176"/>
        <v>1306078.2157677282</v>
      </c>
      <c r="AB198" s="96">
        <f t="shared" si="177"/>
        <v>46098.470179875148</v>
      </c>
      <c r="AC198" s="97">
        <f t="shared" si="178"/>
        <v>3.6586675572604192E-2</v>
      </c>
      <c r="AD198" s="67">
        <f t="shared" si="179"/>
        <v>0</v>
      </c>
      <c r="AE198" s="66">
        <v>394343.85500421771</v>
      </c>
      <c r="AG198" s="16"/>
      <c r="AH198" s="16"/>
    </row>
    <row r="199" spans="2:34" x14ac:dyDescent="0.25">
      <c r="B199" s="91">
        <v>2225</v>
      </c>
      <c r="C199" s="67" t="s">
        <v>308</v>
      </c>
      <c r="D199" s="91" t="s">
        <v>224</v>
      </c>
      <c r="E199" s="92">
        <v>406.2079</v>
      </c>
      <c r="F199" s="92">
        <v>10.762499999999999</v>
      </c>
      <c r="G199" s="60">
        <f t="shared" si="160"/>
        <v>416.97039999999998</v>
      </c>
      <c r="H199" s="93">
        <v>0</v>
      </c>
      <c r="I199" s="93">
        <v>0</v>
      </c>
      <c r="J199" s="93">
        <v>0</v>
      </c>
      <c r="K199" s="60">
        <f t="shared" si="161"/>
        <v>416.97039999999998</v>
      </c>
      <c r="L199" s="94">
        <f t="shared" si="162"/>
        <v>0</v>
      </c>
      <c r="M199" s="95" t="str">
        <f t="shared" si="163"/>
        <v/>
      </c>
      <c r="N199" s="63" t="str">
        <f t="shared" si="164"/>
        <v/>
      </c>
      <c r="O199" s="67" t="str">
        <f t="shared" si="165"/>
        <v/>
      </c>
      <c r="P199" s="91" t="str">
        <f t="shared" si="166"/>
        <v/>
      </c>
      <c r="Q199" s="66">
        <f t="shared" si="167"/>
        <v>0</v>
      </c>
      <c r="R199" s="96">
        <f t="shared" si="168"/>
        <v>0</v>
      </c>
      <c r="S199" s="97" t="str">
        <f t="shared" si="169"/>
        <v/>
      </c>
      <c r="U199" s="60">
        <f t="shared" si="170"/>
        <v>416.97039999999998</v>
      </c>
      <c r="V199" s="94">
        <f t="shared" si="171"/>
        <v>278188.26628150407</v>
      </c>
      <c r="W199" s="95" t="str">
        <f t="shared" si="172"/>
        <v/>
      </c>
      <c r="X199" s="63">
        <f t="shared" si="173"/>
        <v>0</v>
      </c>
      <c r="Y199" s="67" t="str">
        <f t="shared" si="174"/>
        <v/>
      </c>
      <c r="Z199" s="91" t="str">
        <f t="shared" si="175"/>
        <v/>
      </c>
      <c r="AA199" s="66">
        <f t="shared" si="176"/>
        <v>288366.25012805068</v>
      </c>
      <c r="AB199" s="96">
        <f t="shared" si="177"/>
        <v>10177.983846546616</v>
      </c>
      <c r="AC199" s="97">
        <f t="shared" si="178"/>
        <v>3.6586675572604199E-2</v>
      </c>
      <c r="AD199" s="67">
        <f t="shared" si="179"/>
        <v>0</v>
      </c>
      <c r="AE199" s="66">
        <v>88143.102035187432</v>
      </c>
      <c r="AG199" s="16"/>
      <c r="AH199" s="16"/>
    </row>
    <row r="200" spans="2:34" x14ac:dyDescent="0.25">
      <c r="B200" s="91">
        <v>2247</v>
      </c>
      <c r="C200" s="67" t="s">
        <v>310</v>
      </c>
      <c r="D200" s="91" t="s">
        <v>215</v>
      </c>
      <c r="E200" s="92">
        <v>148.51</v>
      </c>
      <c r="F200" s="92">
        <v>3.5</v>
      </c>
      <c r="G200" s="60">
        <f t="shared" si="160"/>
        <v>152.01</v>
      </c>
      <c r="H200" s="93">
        <v>0</v>
      </c>
      <c r="I200" s="93">
        <v>0</v>
      </c>
      <c r="J200" s="93">
        <v>0</v>
      </c>
      <c r="K200" s="60">
        <f t="shared" si="161"/>
        <v>152.01</v>
      </c>
      <c r="L200" s="94">
        <f t="shared" si="162"/>
        <v>0</v>
      </c>
      <c r="M200" s="95" t="str">
        <f t="shared" si="163"/>
        <v/>
      </c>
      <c r="N200" s="63" t="str">
        <f t="shared" si="164"/>
        <v/>
      </c>
      <c r="O200" s="67" t="str">
        <f t="shared" si="165"/>
        <v/>
      </c>
      <c r="P200" s="91" t="str">
        <f t="shared" si="166"/>
        <v/>
      </c>
      <c r="Q200" s="66">
        <f t="shared" si="167"/>
        <v>0</v>
      </c>
      <c r="R200" s="96">
        <f t="shared" si="168"/>
        <v>0</v>
      </c>
      <c r="S200" s="97" t="str">
        <f t="shared" si="169"/>
        <v/>
      </c>
      <c r="U200" s="60">
        <f t="shared" si="170"/>
        <v>152.01</v>
      </c>
      <c r="V200" s="94">
        <f t="shared" si="171"/>
        <v>101415.8279759221</v>
      </c>
      <c r="W200" s="95" t="str">
        <f t="shared" si="172"/>
        <v/>
      </c>
      <c r="X200" s="63">
        <f t="shared" si="173"/>
        <v>0</v>
      </c>
      <c r="Y200" s="67" t="str">
        <f t="shared" si="174"/>
        <v/>
      </c>
      <c r="Z200" s="91" t="str">
        <f t="shared" si="175"/>
        <v/>
      </c>
      <c r="AA200" s="66">
        <f t="shared" si="176"/>
        <v>105126.2959720042</v>
      </c>
      <c r="AB200" s="96">
        <f t="shared" si="177"/>
        <v>3710.467996082094</v>
      </c>
      <c r="AC200" s="97">
        <f t="shared" si="178"/>
        <v>3.6586675572604151E-2</v>
      </c>
      <c r="AD200" s="67">
        <f t="shared" si="179"/>
        <v>0</v>
      </c>
      <c r="AE200" s="66">
        <v>32888.719571369293</v>
      </c>
      <c r="AG200" s="16"/>
      <c r="AH200" s="16"/>
    </row>
    <row r="201" spans="2:34" x14ac:dyDescent="0.25">
      <c r="B201" s="91">
        <v>2083</v>
      </c>
      <c r="C201" s="67" t="s">
        <v>294</v>
      </c>
      <c r="D201" s="91" t="s">
        <v>41</v>
      </c>
      <c r="E201" s="92">
        <v>12697.6741</v>
      </c>
      <c r="F201" s="92">
        <v>476.625</v>
      </c>
      <c r="G201" s="60">
        <f t="shared" si="160"/>
        <v>13174.2991</v>
      </c>
      <c r="H201" s="93">
        <v>0</v>
      </c>
      <c r="I201" s="93">
        <v>-286.49250000000001</v>
      </c>
      <c r="J201" s="93">
        <v>0</v>
      </c>
      <c r="K201" s="60">
        <f t="shared" si="161"/>
        <v>12887.8066</v>
      </c>
      <c r="L201" s="94">
        <f t="shared" si="162"/>
        <v>0</v>
      </c>
      <c r="M201" s="95" t="str">
        <f t="shared" si="163"/>
        <v/>
      </c>
      <c r="N201" s="63" t="str">
        <f t="shared" si="164"/>
        <v/>
      </c>
      <c r="O201" s="67" t="str">
        <f t="shared" si="165"/>
        <v/>
      </c>
      <c r="P201" s="91" t="str">
        <f t="shared" si="166"/>
        <v/>
      </c>
      <c r="Q201" s="66">
        <f t="shared" si="167"/>
        <v>0</v>
      </c>
      <c r="R201" s="96">
        <f t="shared" si="168"/>
        <v>0</v>
      </c>
      <c r="S201" s="97" t="str">
        <f t="shared" si="169"/>
        <v/>
      </c>
      <c r="U201" s="60">
        <f t="shared" si="170"/>
        <v>12887.8066</v>
      </c>
      <c r="V201" s="94">
        <f t="shared" si="171"/>
        <v>8598299.9614009187</v>
      </c>
      <c r="W201" s="95" t="str">
        <f t="shared" si="172"/>
        <v/>
      </c>
      <c r="X201" s="63">
        <f t="shared" si="173"/>
        <v>0</v>
      </c>
      <c r="Y201" s="67" t="str">
        <f t="shared" si="174"/>
        <v/>
      </c>
      <c r="Z201" s="91" t="str">
        <f t="shared" si="175"/>
        <v/>
      </c>
      <c r="AA201" s="66">
        <f t="shared" si="176"/>
        <v>8912883.1725646295</v>
      </c>
      <c r="AB201" s="96">
        <f t="shared" si="177"/>
        <v>314583.2111637108</v>
      </c>
      <c r="AC201" s="97">
        <f t="shared" si="178"/>
        <v>3.658667557260422E-2</v>
      </c>
      <c r="AD201" s="67">
        <f t="shared" si="179"/>
        <v>0</v>
      </c>
      <c r="AE201" s="66">
        <v>2740897.4566969038</v>
      </c>
      <c r="AG201" s="16"/>
      <c r="AH201" s="16"/>
    </row>
    <row r="202" spans="2:34" x14ac:dyDescent="0.25">
      <c r="B202" s="91">
        <v>1948</v>
      </c>
      <c r="C202" s="67" t="s">
        <v>279</v>
      </c>
      <c r="D202" s="91" t="s">
        <v>79</v>
      </c>
      <c r="E202" s="92">
        <v>3441.0241000000001</v>
      </c>
      <c r="F202" s="92">
        <v>102.955</v>
      </c>
      <c r="G202" s="60">
        <f t="shared" si="160"/>
        <v>3543.9791</v>
      </c>
      <c r="H202" s="93">
        <v>0</v>
      </c>
      <c r="I202" s="93">
        <v>0</v>
      </c>
      <c r="J202" s="93">
        <v>0</v>
      </c>
      <c r="K202" s="60">
        <f t="shared" si="161"/>
        <v>3543.9791</v>
      </c>
      <c r="L202" s="94">
        <f t="shared" si="162"/>
        <v>0</v>
      </c>
      <c r="M202" s="95" t="str">
        <f t="shared" si="163"/>
        <v/>
      </c>
      <c r="N202" s="63" t="str">
        <f t="shared" si="164"/>
        <v/>
      </c>
      <c r="O202" s="67" t="str">
        <f t="shared" si="165"/>
        <v/>
      </c>
      <c r="P202" s="91" t="str">
        <f t="shared" si="166"/>
        <v/>
      </c>
      <c r="Q202" s="66">
        <f t="shared" si="167"/>
        <v>0</v>
      </c>
      <c r="R202" s="96">
        <f t="shared" si="168"/>
        <v>0</v>
      </c>
      <c r="S202" s="97" t="str">
        <f t="shared" si="169"/>
        <v/>
      </c>
      <c r="U202" s="60">
        <f t="shared" si="170"/>
        <v>3543.9791</v>
      </c>
      <c r="V202" s="94">
        <f t="shared" si="171"/>
        <v>2364420.595723066</v>
      </c>
      <c r="W202" s="95" t="str">
        <f t="shared" si="172"/>
        <v/>
      </c>
      <c r="X202" s="63">
        <f t="shared" si="173"/>
        <v>0</v>
      </c>
      <c r="Y202" s="67" t="str">
        <f t="shared" si="174"/>
        <v/>
      </c>
      <c r="Z202" s="91" t="str">
        <f t="shared" si="175"/>
        <v/>
      </c>
      <c r="AA202" s="66">
        <f t="shared" si="176"/>
        <v>2450926.8849759693</v>
      </c>
      <c r="AB202" s="96">
        <f t="shared" si="177"/>
        <v>86506.289252903312</v>
      </c>
      <c r="AC202" s="97">
        <f t="shared" si="178"/>
        <v>3.6586675572604178E-2</v>
      </c>
      <c r="AD202" s="67">
        <f t="shared" si="179"/>
        <v>0</v>
      </c>
      <c r="AE202" s="66">
        <v>726348.27137363527</v>
      </c>
      <c r="AG202" s="16"/>
      <c r="AH202" s="16"/>
    </row>
    <row r="203" spans="2:34" x14ac:dyDescent="0.25">
      <c r="B203" s="91">
        <v>2144</v>
      </c>
      <c r="C203" s="67" t="s">
        <v>299</v>
      </c>
      <c r="D203" s="91" t="s">
        <v>216</v>
      </c>
      <c r="E203" s="92">
        <v>386.53750000000002</v>
      </c>
      <c r="F203" s="92">
        <v>7.2374999999999998</v>
      </c>
      <c r="G203" s="60">
        <f t="shared" si="160"/>
        <v>393.77500000000003</v>
      </c>
      <c r="H203" s="93">
        <v>0</v>
      </c>
      <c r="I203" s="93">
        <v>0</v>
      </c>
      <c r="J203" s="93">
        <v>0</v>
      </c>
      <c r="K203" s="60">
        <f t="shared" si="161"/>
        <v>393.77500000000003</v>
      </c>
      <c r="L203" s="94">
        <f t="shared" si="162"/>
        <v>0</v>
      </c>
      <c r="M203" s="95" t="str">
        <f t="shared" si="163"/>
        <v/>
      </c>
      <c r="N203" s="63" t="str">
        <f t="shared" si="164"/>
        <v/>
      </c>
      <c r="O203" s="67" t="str">
        <f t="shared" si="165"/>
        <v/>
      </c>
      <c r="P203" s="91" t="str">
        <f t="shared" si="166"/>
        <v/>
      </c>
      <c r="Q203" s="66">
        <f t="shared" si="167"/>
        <v>0</v>
      </c>
      <c r="R203" s="96">
        <f t="shared" si="168"/>
        <v>0</v>
      </c>
      <c r="S203" s="97" t="str">
        <f t="shared" si="169"/>
        <v/>
      </c>
      <c r="U203" s="60">
        <f t="shared" si="170"/>
        <v>393.77500000000003</v>
      </c>
      <c r="V203" s="94">
        <f t="shared" si="171"/>
        <v>262713.09559383418</v>
      </c>
      <c r="W203" s="95" t="str">
        <f t="shared" si="172"/>
        <v/>
      </c>
      <c r="X203" s="63">
        <f t="shared" si="173"/>
        <v>0</v>
      </c>
      <c r="Y203" s="67" t="str">
        <f t="shared" si="174"/>
        <v/>
      </c>
      <c r="Z203" s="91" t="str">
        <f t="shared" si="175"/>
        <v/>
      </c>
      <c r="AA203" s="66">
        <f t="shared" si="176"/>
        <v>272324.89439100033</v>
      </c>
      <c r="AB203" s="96">
        <f t="shared" si="177"/>
        <v>9611.7987971661496</v>
      </c>
      <c r="AC203" s="97">
        <f t="shared" si="178"/>
        <v>3.6586675572604144E-2</v>
      </c>
      <c r="AD203" s="67">
        <f t="shared" si="179"/>
        <v>0</v>
      </c>
      <c r="AE203" s="66">
        <v>86148.462686220082</v>
      </c>
      <c r="AG203" s="16"/>
      <c r="AH203" s="16"/>
    </row>
    <row r="204" spans="2:34" x14ac:dyDescent="0.25">
      <c r="B204" s="91">
        <v>2209</v>
      </c>
      <c r="C204" s="67" t="s">
        <v>305</v>
      </c>
      <c r="D204" s="91" t="s">
        <v>217</v>
      </c>
      <c r="E204" s="92">
        <v>634.85550000000001</v>
      </c>
      <c r="F204" s="92">
        <v>10.2875</v>
      </c>
      <c r="G204" s="60">
        <f t="shared" si="160"/>
        <v>645.14300000000003</v>
      </c>
      <c r="H204" s="93">
        <v>0</v>
      </c>
      <c r="I204" s="93">
        <v>0</v>
      </c>
      <c r="J204" s="93">
        <v>0</v>
      </c>
      <c r="K204" s="60">
        <f t="shared" si="161"/>
        <v>645.14300000000003</v>
      </c>
      <c r="L204" s="94">
        <f t="shared" si="162"/>
        <v>0</v>
      </c>
      <c r="M204" s="95" t="str">
        <f t="shared" si="163"/>
        <v/>
      </c>
      <c r="N204" s="63" t="str">
        <f t="shared" si="164"/>
        <v/>
      </c>
      <c r="O204" s="67" t="str">
        <f t="shared" si="165"/>
        <v/>
      </c>
      <c r="P204" s="91" t="str">
        <f t="shared" si="166"/>
        <v/>
      </c>
      <c r="Q204" s="66">
        <f t="shared" si="167"/>
        <v>0</v>
      </c>
      <c r="R204" s="96">
        <f t="shared" si="168"/>
        <v>0</v>
      </c>
      <c r="S204" s="97" t="str">
        <f t="shared" si="169"/>
        <v/>
      </c>
      <c r="U204" s="60">
        <f t="shared" si="170"/>
        <v>645.14300000000003</v>
      </c>
      <c r="V204" s="94">
        <f t="shared" si="171"/>
        <v>430417.15352851996</v>
      </c>
      <c r="W204" s="95" t="str">
        <f t="shared" si="172"/>
        <v/>
      </c>
      <c r="X204" s="63">
        <f t="shared" si="173"/>
        <v>0</v>
      </c>
      <c r="Y204" s="67" t="str">
        <f t="shared" si="174"/>
        <v/>
      </c>
      <c r="Z204" s="91" t="str">
        <f t="shared" si="175"/>
        <v/>
      </c>
      <c r="AA204" s="66">
        <f t="shared" si="176"/>
        <v>446164.6862855517</v>
      </c>
      <c r="AB204" s="96">
        <f t="shared" si="177"/>
        <v>15747.532757031731</v>
      </c>
      <c r="AC204" s="97">
        <f t="shared" si="178"/>
        <v>3.6586675572604199E-2</v>
      </c>
      <c r="AD204" s="67">
        <f t="shared" si="179"/>
        <v>0</v>
      </c>
      <c r="AE204" s="66">
        <v>156766.45159438555</v>
      </c>
      <c r="AG204" s="16"/>
      <c r="AH204" s="16"/>
    </row>
    <row r="205" spans="2:34" x14ac:dyDescent="0.25">
      <c r="B205" s="6">
        <v>4823</v>
      </c>
      <c r="C205" s="6" t="s">
        <v>291</v>
      </c>
      <c r="D205" s="6" t="s">
        <v>318</v>
      </c>
      <c r="E205" s="92"/>
      <c r="F205" s="92"/>
      <c r="G205" s="60"/>
      <c r="H205" s="93"/>
      <c r="I205" s="93"/>
      <c r="J205" s="93"/>
      <c r="K205" s="60"/>
      <c r="L205" s="94"/>
      <c r="M205" s="95"/>
      <c r="N205" s="63"/>
      <c r="O205" s="67"/>
      <c r="P205" s="91"/>
      <c r="Q205" s="66"/>
      <c r="R205" s="96"/>
      <c r="S205" s="97"/>
      <c r="U205" s="60"/>
      <c r="V205" s="94"/>
      <c r="W205" s="95"/>
      <c r="X205" s="63"/>
      <c r="Y205" s="67"/>
      <c r="Z205" s="91"/>
      <c r="AA205" s="66"/>
      <c r="AB205" s="96"/>
      <c r="AC205" s="97"/>
      <c r="AD205" s="67"/>
      <c r="AE205" s="66">
        <v>34713.930258787273</v>
      </c>
      <c r="AG205" s="16"/>
      <c r="AH205" s="16"/>
    </row>
    <row r="206" spans="2:34" x14ac:dyDescent="0.25">
      <c r="B206" s="91">
        <v>2018</v>
      </c>
      <c r="C206" s="67" t="s">
        <v>287</v>
      </c>
      <c r="D206" s="91" t="s">
        <v>218</v>
      </c>
      <c r="E206" s="92">
        <v>37.68</v>
      </c>
      <c r="F206" s="92">
        <v>0.52749999999999997</v>
      </c>
      <c r="G206" s="60">
        <f>E206+F206</f>
        <v>38.207500000000003</v>
      </c>
      <c r="H206" s="93">
        <v>0</v>
      </c>
      <c r="I206" s="93">
        <v>0</v>
      </c>
      <c r="J206" s="93">
        <v>0</v>
      </c>
      <c r="K206" s="60">
        <f>$G206+$H206+$I206+$J206</f>
        <v>38.207500000000003</v>
      </c>
      <c r="L206" s="94">
        <f>K206*$D$16</f>
        <v>0</v>
      </c>
      <c r="M206" s="95" t="str">
        <f>IF(K206=0,"",IF(K206&lt;$W$16,"Yes",""))</f>
        <v>Yes</v>
      </c>
      <c r="N206" s="63">
        <f>IF(K206=0,"",IF(K206&lt;$W$16,$W$16-K206,""))</f>
        <v>11.792499999999997</v>
      </c>
      <c r="O206" s="67">
        <f>IF(K206=0,"",IF(K206&lt;$M$16,(K206+N206)*$Q$16,""))</f>
        <v>0</v>
      </c>
      <c r="P206" s="91">
        <f>IF(K206=0,"",IF(K206&lt;$W$16,(K206+N206),""))</f>
        <v>50</v>
      </c>
      <c r="Q206" s="66">
        <f>MAX(O206,(K206*$Q$16))</f>
        <v>0</v>
      </c>
      <c r="R206" s="96">
        <f>IF(Q206=0,0,(Q206-L206))</f>
        <v>0</v>
      </c>
      <c r="S206" s="97" t="str">
        <f>IF(R206=0,"",(R206/L206))</f>
        <v/>
      </c>
      <c r="U206" s="60">
        <f>$G206+$H206+$I206+$J206</f>
        <v>38.207500000000003</v>
      </c>
      <c r="V206" s="94">
        <f>U206*$E$16</f>
        <v>25490.725921913323</v>
      </c>
      <c r="W206" s="95" t="str">
        <f>IF(U206=0,"",IF(U206&lt;$W$16,"Yes",""))</f>
        <v>Yes</v>
      </c>
      <c r="X206" s="63">
        <f>IF(U206=0,0,IF(U206&lt;$W$16,$W$16-U206,0))</f>
        <v>11.792499999999997</v>
      </c>
      <c r="Y206" s="67">
        <f>IF(U206=0,"",IF(U206&lt;$W$16,(U206+X206)*$AA$16,""))</f>
        <v>34578.743494508322</v>
      </c>
      <c r="Z206" s="91">
        <f>IF(U206=0,"",IF(U206&lt;$W$16,(U206+X206),""))</f>
        <v>50</v>
      </c>
      <c r="AA206" s="66">
        <f>MAX(Y206,(U206*$AA$16))</f>
        <v>34578.743494508322</v>
      </c>
      <c r="AB206" s="96">
        <f>IF(AA206=0,"",(AA206-V206))</f>
        <v>9088.0175725949994</v>
      </c>
      <c r="AC206" s="97">
        <f>IF(AB206="","",(AB206/V206))</f>
        <v>0.35652250941909841</v>
      </c>
      <c r="AD206" s="67">
        <f>IF(AA206=0,0,(U206+X206)/$AA$14)*$E$13</f>
        <v>0</v>
      </c>
      <c r="AE206" s="66">
        <v>10583.999347161385</v>
      </c>
      <c r="AG206" s="16"/>
      <c r="AH206" s="16"/>
    </row>
    <row r="207" spans="2:34" x14ac:dyDescent="0.25">
      <c r="B207" s="91">
        <v>2003</v>
      </c>
      <c r="C207" s="67" t="s">
        <v>284</v>
      </c>
      <c r="D207" s="91" t="s">
        <v>219</v>
      </c>
      <c r="E207" s="92">
        <v>1590.7620999999999</v>
      </c>
      <c r="F207" s="92">
        <v>61.112499999999997</v>
      </c>
      <c r="G207" s="60">
        <f>E207+F207</f>
        <v>1651.8745999999999</v>
      </c>
      <c r="H207" s="93">
        <v>0</v>
      </c>
      <c r="I207" s="93">
        <v>0</v>
      </c>
      <c r="J207" s="93">
        <v>0</v>
      </c>
      <c r="K207" s="60">
        <f>$G207+$H207+$I207+$J207</f>
        <v>1651.8745999999999</v>
      </c>
      <c r="L207" s="94">
        <f>K207*$D$16</f>
        <v>0</v>
      </c>
      <c r="M207" s="95" t="str">
        <f>IF(K207=0,"",IF(K207&lt;$W$16,"Yes",""))</f>
        <v/>
      </c>
      <c r="N207" s="63" t="str">
        <f>IF(K207=0,"",IF(K207&lt;$W$16,$W$16-K207,""))</f>
        <v/>
      </c>
      <c r="O207" s="67" t="str">
        <f>IF(K207=0,"",IF(K207&lt;$M$16,(K207+N207)*$Q$16,""))</f>
        <v/>
      </c>
      <c r="P207" s="91" t="str">
        <f>IF(K207=0,"",IF(K207&lt;$W$16,(K207+N207),""))</f>
        <v/>
      </c>
      <c r="Q207" s="66">
        <f>MAX(O207,(K207*$Q$16))</f>
        <v>0</v>
      </c>
      <c r="R207" s="96">
        <f>IF(Q207=0,0,(Q207-L207))</f>
        <v>0</v>
      </c>
      <c r="S207" s="97" t="str">
        <f>IF(R207=0,"",(R207/L207))</f>
        <v/>
      </c>
      <c r="U207" s="60">
        <f>$G207+$H207+$I207+$J207</f>
        <v>1651.8745999999999</v>
      </c>
      <c r="V207" s="94">
        <f>U207*$E$16</f>
        <v>1102073.7469337224</v>
      </c>
      <c r="W207" s="95" t="str">
        <f>IF(U207=0,"",IF(U207&lt;$W$16,"Yes",""))</f>
        <v/>
      </c>
      <c r="X207" s="63">
        <f>IF(U207=0,0,IF(U207&lt;$W$16,$W$16-U207,0))</f>
        <v>0</v>
      </c>
      <c r="Y207" s="67" t="str">
        <f>IF(U207=0,"",IF(U207&lt;$W$16,(U207+X207)*$AA$16,""))</f>
        <v/>
      </c>
      <c r="Z207" s="91" t="str">
        <f>IF(U207=0,"",IF(U207&lt;$W$16,(U207+X207),""))</f>
        <v/>
      </c>
      <c r="AA207" s="66">
        <f>MAX(Y207,(U207*$AA$16))</f>
        <v>1142394.9615698708</v>
      </c>
      <c r="AB207" s="96">
        <f>IF(AA207=0,"",(AA207-V207))</f>
        <v>40321.214636148419</v>
      </c>
      <c r="AC207" s="97">
        <f>IF(AB207="","",(AB207/V207))</f>
        <v>3.6586675572604213E-2</v>
      </c>
      <c r="AD207" s="67">
        <f>IF(AA207=0,0,(U207+X207)/$AA$14)*$E$13</f>
        <v>0</v>
      </c>
      <c r="AE207" s="66">
        <v>354525.19835629844</v>
      </c>
      <c r="AG207" s="16"/>
      <c r="AH207" s="16"/>
    </row>
    <row r="208" spans="2:34" x14ac:dyDescent="0.25">
      <c r="B208" s="6">
        <v>4484</v>
      </c>
      <c r="C208" s="6" t="s">
        <v>296</v>
      </c>
      <c r="D208" s="6" t="s">
        <v>323</v>
      </c>
      <c r="E208" s="92"/>
      <c r="F208" s="92"/>
      <c r="G208" s="60"/>
      <c r="H208" s="93"/>
      <c r="I208" s="93"/>
      <c r="J208" s="93"/>
      <c r="K208" s="60"/>
      <c r="L208" s="94"/>
      <c r="M208" s="95"/>
      <c r="N208" s="63"/>
      <c r="O208" s="67"/>
      <c r="P208" s="91"/>
      <c r="Q208" s="66"/>
      <c r="R208" s="96"/>
      <c r="S208" s="97"/>
      <c r="U208" s="60"/>
      <c r="V208" s="94"/>
      <c r="W208" s="95"/>
      <c r="X208" s="63"/>
      <c r="Y208" s="67"/>
      <c r="Z208" s="91"/>
      <c r="AA208" s="66"/>
      <c r="AB208" s="96"/>
      <c r="AC208" s="97"/>
      <c r="AD208" s="67"/>
      <c r="AE208" s="66">
        <v>30887.285294821068</v>
      </c>
      <c r="AG208" s="16"/>
      <c r="AH208" s="16"/>
    </row>
    <row r="209" spans="2:34" x14ac:dyDescent="0.25">
      <c r="B209" s="91">
        <v>2102</v>
      </c>
      <c r="C209" s="67" t="s">
        <v>296</v>
      </c>
      <c r="D209" s="91" t="s">
        <v>89</v>
      </c>
      <c r="E209" s="92">
        <v>2717.0540000000001</v>
      </c>
      <c r="F209" s="92">
        <v>91.95</v>
      </c>
      <c r="G209" s="60">
        <f t="shared" ref="G209:G218" si="180">E209+F209</f>
        <v>2809.0039999999999</v>
      </c>
      <c r="H209" s="93">
        <v>0</v>
      </c>
      <c r="I209" s="93">
        <v>-142.38999999999999</v>
      </c>
      <c r="J209" s="93">
        <v>0</v>
      </c>
      <c r="K209" s="60">
        <f t="shared" ref="K209:K218" si="181">$G209+$H209+$I209+$J209</f>
        <v>2666.614</v>
      </c>
      <c r="L209" s="94">
        <f t="shared" ref="L209:L218" si="182">K209*$D$16</f>
        <v>0</v>
      </c>
      <c r="M209" s="95" t="str">
        <f t="shared" ref="M209:M218" si="183">IF(K209=0,"",IF(K209&lt;$W$16,"Yes",""))</f>
        <v/>
      </c>
      <c r="N209" s="63" t="str">
        <f t="shared" ref="N209:N218" si="184">IF(K209=0,"",IF(K209&lt;$W$16,$W$16-K209,""))</f>
        <v/>
      </c>
      <c r="O209" s="67" t="str">
        <f t="shared" ref="O209:O218" si="185">IF(K209=0,"",IF(K209&lt;$M$16,(K209+N209)*$Q$16,""))</f>
        <v/>
      </c>
      <c r="P209" s="91" t="str">
        <f t="shared" ref="P209:P218" si="186">IF(K209=0,"",IF(K209&lt;$W$16,(K209+N209),""))</f>
        <v/>
      </c>
      <c r="Q209" s="66">
        <f t="shared" ref="Q209:Q218" si="187">MAX(O209,(K209*$Q$16))</f>
        <v>0</v>
      </c>
      <c r="R209" s="96">
        <f t="shared" ref="R209:R218" si="188">IF(Q209=0,0,(Q209-L209))</f>
        <v>0</v>
      </c>
      <c r="S209" s="97" t="str">
        <f t="shared" ref="S209:S218" si="189">IF(R209=0,"",(R209/L209))</f>
        <v/>
      </c>
      <c r="U209" s="60">
        <f t="shared" ref="U209:U218" si="190">$G209+$H209+$I209+$J209</f>
        <v>2666.614</v>
      </c>
      <c r="V209" s="94">
        <f t="shared" ref="V209:V218" si="191">U209*$E$16</f>
        <v>1779072.8682467309</v>
      </c>
      <c r="W209" s="95" t="str">
        <f t="shared" ref="W209:W218" si="192">IF(U209=0,"",IF(U209&lt;$W$16,"Yes",""))</f>
        <v/>
      </c>
      <c r="X209" s="63">
        <f t="shared" ref="X209:X218" si="193">IF(U209=0,0,IF(U209&lt;$W$16,$W$16-U209,0))</f>
        <v>0</v>
      </c>
      <c r="Y209" s="67" t="str">
        <f t="shared" ref="Y209:Y218" si="194">IF(U209=0,"",IF(U209&lt;$W$16,(U209+X209)*$AA$16,""))</f>
        <v/>
      </c>
      <c r="Z209" s="91" t="str">
        <f t="shared" ref="Z209:Z218" si="195">IF(U209=0,"",IF(U209&lt;$W$16,(U209+X209),""))</f>
        <v/>
      </c>
      <c r="AA209" s="66">
        <f t="shared" ref="AA209:AA218" si="196">MAX(Y209,(U209*$AA$16))</f>
        <v>1844163.2300972964</v>
      </c>
      <c r="AB209" s="96">
        <f t="shared" ref="AB209:AB218" si="197">IF(AA209=0,"",(AA209-V209))</f>
        <v>65090.361850565532</v>
      </c>
      <c r="AC209" s="97">
        <f t="shared" ref="AC209:AC218" si="198">IF(AB209="","",(AB209/V209))</f>
        <v>3.6586675572604185E-2</v>
      </c>
      <c r="AD209" s="67">
        <f t="shared" ref="AD209:AD218" si="199">IF(AA209=0,0,(U209+X209)/$AA$14)*$E$13</f>
        <v>0</v>
      </c>
      <c r="AE209" s="66">
        <v>566750.98097786051</v>
      </c>
      <c r="AG209" s="16"/>
      <c r="AH209" s="16"/>
    </row>
    <row r="210" spans="2:34" x14ac:dyDescent="0.25">
      <c r="B210" s="91">
        <v>2055</v>
      </c>
      <c r="C210" s="67" t="s">
        <v>291</v>
      </c>
      <c r="D210" s="91" t="s">
        <v>40</v>
      </c>
      <c r="E210" s="92">
        <v>5676.2485999999999</v>
      </c>
      <c r="F210" s="92">
        <v>270.77249999999998</v>
      </c>
      <c r="G210" s="60">
        <f t="shared" si="180"/>
        <v>5947.0210999999999</v>
      </c>
      <c r="H210" s="93">
        <v>0</v>
      </c>
      <c r="I210" s="93">
        <v>-153.41</v>
      </c>
      <c r="J210" s="93">
        <v>0</v>
      </c>
      <c r="K210" s="60">
        <f t="shared" si="181"/>
        <v>5793.6111000000001</v>
      </c>
      <c r="L210" s="94">
        <f t="shared" si="182"/>
        <v>0</v>
      </c>
      <c r="M210" s="95" t="str">
        <f t="shared" si="183"/>
        <v/>
      </c>
      <c r="N210" s="63" t="str">
        <f t="shared" si="184"/>
        <v/>
      </c>
      <c r="O210" s="67" t="str">
        <f t="shared" si="185"/>
        <v/>
      </c>
      <c r="P210" s="91" t="str">
        <f t="shared" si="186"/>
        <v/>
      </c>
      <c r="Q210" s="66">
        <f t="shared" si="187"/>
        <v>0</v>
      </c>
      <c r="R210" s="96">
        <f t="shared" si="188"/>
        <v>0</v>
      </c>
      <c r="S210" s="97" t="str">
        <f t="shared" si="189"/>
        <v/>
      </c>
      <c r="U210" s="60">
        <f t="shared" si="190"/>
        <v>5793.6111000000001</v>
      </c>
      <c r="V210" s="94">
        <f t="shared" si="191"/>
        <v>3865297.4585684682</v>
      </c>
      <c r="W210" s="95" t="str">
        <f t="shared" si="192"/>
        <v/>
      </c>
      <c r="X210" s="63">
        <f t="shared" si="193"/>
        <v>0</v>
      </c>
      <c r="Y210" s="67" t="str">
        <f t="shared" si="194"/>
        <v/>
      </c>
      <c r="Z210" s="91" t="str">
        <f t="shared" si="195"/>
        <v/>
      </c>
      <c r="AA210" s="66">
        <f t="shared" si="196"/>
        <v>4006715.8426767243</v>
      </c>
      <c r="AB210" s="96">
        <f t="shared" si="197"/>
        <v>141418.38410825608</v>
      </c>
      <c r="AC210" s="97">
        <f t="shared" si="198"/>
        <v>3.6586675572604206E-2</v>
      </c>
      <c r="AD210" s="67">
        <f t="shared" si="199"/>
        <v>0</v>
      </c>
      <c r="AE210" s="66">
        <v>1250974.5750938156</v>
      </c>
      <c r="AG210" s="16"/>
      <c r="AH210" s="16"/>
    </row>
    <row r="211" spans="2:34" x14ac:dyDescent="0.25">
      <c r="B211" s="91">
        <v>2242</v>
      </c>
      <c r="C211" s="67" t="s">
        <v>309</v>
      </c>
      <c r="D211" s="91" t="s">
        <v>136</v>
      </c>
      <c r="E211" s="92">
        <v>14936.785</v>
      </c>
      <c r="F211" s="92">
        <v>289.01749999999998</v>
      </c>
      <c r="G211" s="60">
        <f t="shared" si="180"/>
        <v>15225.8025</v>
      </c>
      <c r="H211" s="93">
        <v>0</v>
      </c>
      <c r="I211" s="93">
        <v>0</v>
      </c>
      <c r="J211" s="93">
        <v>0</v>
      </c>
      <c r="K211" s="60">
        <f t="shared" si="181"/>
        <v>15225.8025</v>
      </c>
      <c r="L211" s="94">
        <f t="shared" si="182"/>
        <v>0</v>
      </c>
      <c r="M211" s="95" t="str">
        <f t="shared" si="183"/>
        <v/>
      </c>
      <c r="N211" s="63" t="str">
        <f t="shared" si="184"/>
        <v/>
      </c>
      <c r="O211" s="67" t="str">
        <f t="shared" si="185"/>
        <v/>
      </c>
      <c r="P211" s="91" t="str">
        <f t="shared" si="186"/>
        <v/>
      </c>
      <c r="Q211" s="66">
        <f t="shared" si="187"/>
        <v>0</v>
      </c>
      <c r="R211" s="96">
        <f t="shared" si="188"/>
        <v>0</v>
      </c>
      <c r="S211" s="97" t="str">
        <f t="shared" si="189"/>
        <v/>
      </c>
      <c r="U211" s="60">
        <f t="shared" si="190"/>
        <v>15225.8025</v>
      </c>
      <c r="V211" s="94">
        <f t="shared" si="191"/>
        <v>10158130.169958323</v>
      </c>
      <c r="W211" s="95" t="str">
        <f t="shared" si="192"/>
        <v/>
      </c>
      <c r="X211" s="63">
        <f t="shared" si="193"/>
        <v>0</v>
      </c>
      <c r="Y211" s="67" t="str">
        <f t="shared" si="194"/>
        <v/>
      </c>
      <c r="Z211" s="91" t="str">
        <f t="shared" si="195"/>
        <v/>
      </c>
      <c r="AA211" s="66">
        <f t="shared" si="196"/>
        <v>10529782.382910872</v>
      </c>
      <c r="AB211" s="96">
        <f t="shared" si="197"/>
        <v>371652.21295254864</v>
      </c>
      <c r="AC211" s="97">
        <f t="shared" si="198"/>
        <v>3.6586675572604269E-2</v>
      </c>
      <c r="AD211" s="67">
        <f t="shared" si="199"/>
        <v>0</v>
      </c>
      <c r="AE211" s="66">
        <v>3171528.6593028577</v>
      </c>
      <c r="AG211" s="16"/>
      <c r="AH211" s="16"/>
    </row>
    <row r="212" spans="2:34" x14ac:dyDescent="0.25">
      <c r="B212" s="91">
        <v>2197</v>
      </c>
      <c r="C212" s="67" t="s">
        <v>304</v>
      </c>
      <c r="D212" s="91" t="s">
        <v>221</v>
      </c>
      <c r="E212" s="92">
        <v>2650.0344</v>
      </c>
      <c r="F212" s="92">
        <v>97.4</v>
      </c>
      <c r="G212" s="60">
        <f t="shared" si="180"/>
        <v>2747.4344000000001</v>
      </c>
      <c r="H212" s="93">
        <v>0</v>
      </c>
      <c r="I212" s="93">
        <v>0</v>
      </c>
      <c r="J212" s="93">
        <v>0</v>
      </c>
      <c r="K212" s="60">
        <f t="shared" si="181"/>
        <v>2747.4344000000001</v>
      </c>
      <c r="L212" s="94">
        <f t="shared" si="182"/>
        <v>0</v>
      </c>
      <c r="M212" s="95" t="str">
        <f t="shared" si="183"/>
        <v/>
      </c>
      <c r="N212" s="63" t="str">
        <f t="shared" si="184"/>
        <v/>
      </c>
      <c r="O212" s="67" t="str">
        <f t="shared" si="185"/>
        <v/>
      </c>
      <c r="P212" s="91" t="str">
        <f t="shared" si="186"/>
        <v/>
      </c>
      <c r="Q212" s="66">
        <f t="shared" si="187"/>
        <v>0</v>
      </c>
      <c r="R212" s="96">
        <f t="shared" si="188"/>
        <v>0</v>
      </c>
      <c r="S212" s="97" t="str">
        <f t="shared" si="189"/>
        <v/>
      </c>
      <c r="U212" s="60">
        <f t="shared" si="190"/>
        <v>2747.4344000000001</v>
      </c>
      <c r="V212" s="94">
        <f t="shared" si="191"/>
        <v>1832993.4509935582</v>
      </c>
      <c r="W212" s="95" t="str">
        <f t="shared" si="192"/>
        <v/>
      </c>
      <c r="X212" s="63">
        <f t="shared" si="193"/>
        <v>0</v>
      </c>
      <c r="Y212" s="67" t="str">
        <f t="shared" si="194"/>
        <v/>
      </c>
      <c r="Z212" s="91" t="str">
        <f t="shared" si="195"/>
        <v/>
      </c>
      <c r="AA212" s="66">
        <f t="shared" si="196"/>
        <v>1900056.5877117678</v>
      </c>
      <c r="AB212" s="96">
        <f t="shared" si="197"/>
        <v>67063.1367182096</v>
      </c>
      <c r="AC212" s="97">
        <f t="shared" si="198"/>
        <v>3.6586675572604262E-2</v>
      </c>
      <c r="AD212" s="67">
        <f t="shared" si="199"/>
        <v>0</v>
      </c>
      <c r="AE212" s="66">
        <v>586246.49609534477</v>
      </c>
      <c r="AG212" s="16"/>
      <c r="AH212" s="16"/>
    </row>
    <row r="213" spans="2:34" x14ac:dyDescent="0.25">
      <c r="B213" s="91">
        <v>2222</v>
      </c>
      <c r="C213" s="67" t="s">
        <v>307</v>
      </c>
      <c r="D213" s="91" t="s">
        <v>222</v>
      </c>
      <c r="E213" s="92">
        <v>26.58</v>
      </c>
      <c r="F213" s="92">
        <v>0</v>
      </c>
      <c r="G213" s="60">
        <f t="shared" si="180"/>
        <v>26.58</v>
      </c>
      <c r="H213" s="93">
        <v>0</v>
      </c>
      <c r="I213" s="93">
        <v>0</v>
      </c>
      <c r="J213" s="93">
        <v>0</v>
      </c>
      <c r="K213" s="60">
        <f t="shared" si="181"/>
        <v>26.58</v>
      </c>
      <c r="L213" s="94">
        <f t="shared" si="182"/>
        <v>0</v>
      </c>
      <c r="M213" s="95" t="str">
        <f t="shared" si="183"/>
        <v>Yes</v>
      </c>
      <c r="N213" s="63">
        <f t="shared" si="184"/>
        <v>23.42</v>
      </c>
      <c r="O213" s="67">
        <f t="shared" si="185"/>
        <v>0</v>
      </c>
      <c r="P213" s="91">
        <f t="shared" si="186"/>
        <v>50</v>
      </c>
      <c r="Q213" s="66">
        <f t="shared" si="187"/>
        <v>0</v>
      </c>
      <c r="R213" s="96">
        <f t="shared" si="188"/>
        <v>0</v>
      </c>
      <c r="S213" s="97" t="str">
        <f t="shared" si="189"/>
        <v/>
      </c>
      <c r="U213" s="60">
        <f t="shared" si="190"/>
        <v>26.58</v>
      </c>
      <c r="V213" s="94">
        <f t="shared" si="191"/>
        <v>17733.25904611545</v>
      </c>
      <c r="W213" s="95" t="str">
        <f t="shared" si="192"/>
        <v>Yes</v>
      </c>
      <c r="X213" s="63">
        <f t="shared" si="193"/>
        <v>23.42</v>
      </c>
      <c r="Y213" s="67">
        <f t="shared" si="194"/>
        <v>34578.743494508322</v>
      </c>
      <c r="Z213" s="91">
        <f t="shared" si="195"/>
        <v>50</v>
      </c>
      <c r="AA213" s="66">
        <f t="shared" si="196"/>
        <v>34578.743494508322</v>
      </c>
      <c r="AB213" s="96">
        <f t="shared" si="197"/>
        <v>16845.484448392872</v>
      </c>
      <c r="AC213" s="97">
        <f t="shared" si="198"/>
        <v>0.94993731296577155</v>
      </c>
      <c r="AD213" s="67">
        <f t="shared" si="199"/>
        <v>0</v>
      </c>
      <c r="AE213" s="66">
        <v>10583.999347161385</v>
      </c>
      <c r="AG213" s="16"/>
      <c r="AH213" s="16"/>
    </row>
    <row r="214" spans="2:34" x14ac:dyDescent="0.25">
      <c r="B214" s="91">
        <v>2210</v>
      </c>
      <c r="C214" s="67" t="s">
        <v>305</v>
      </c>
      <c r="D214" s="91" t="s">
        <v>223</v>
      </c>
      <c r="E214" s="92">
        <v>111.60339999999999</v>
      </c>
      <c r="F214" s="92">
        <v>1.26</v>
      </c>
      <c r="G214" s="60">
        <f t="shared" si="180"/>
        <v>112.8634</v>
      </c>
      <c r="H214" s="93">
        <v>0</v>
      </c>
      <c r="I214" s="93">
        <v>0</v>
      </c>
      <c r="J214" s="93">
        <v>0</v>
      </c>
      <c r="K214" s="60">
        <f t="shared" si="181"/>
        <v>112.8634</v>
      </c>
      <c r="L214" s="94">
        <f t="shared" si="182"/>
        <v>0</v>
      </c>
      <c r="M214" s="95" t="str">
        <f t="shared" si="183"/>
        <v/>
      </c>
      <c r="N214" s="63" t="str">
        <f t="shared" si="184"/>
        <v/>
      </c>
      <c r="O214" s="67" t="str">
        <f t="shared" si="185"/>
        <v/>
      </c>
      <c r="P214" s="91" t="str">
        <f t="shared" si="186"/>
        <v/>
      </c>
      <c r="Q214" s="66">
        <f t="shared" si="187"/>
        <v>0</v>
      </c>
      <c r="R214" s="96">
        <f t="shared" si="188"/>
        <v>0</v>
      </c>
      <c r="S214" s="97" t="str">
        <f t="shared" si="189"/>
        <v/>
      </c>
      <c r="U214" s="60">
        <f t="shared" si="190"/>
        <v>112.8634</v>
      </c>
      <c r="V214" s="94">
        <f t="shared" si="191"/>
        <v>75298.566930976172</v>
      </c>
      <c r="W214" s="95" t="str">
        <f t="shared" si="192"/>
        <v/>
      </c>
      <c r="X214" s="63">
        <f t="shared" si="193"/>
        <v>0</v>
      </c>
      <c r="Y214" s="67" t="str">
        <f t="shared" si="194"/>
        <v/>
      </c>
      <c r="Z214" s="91" t="str">
        <f t="shared" si="195"/>
        <v/>
      </c>
      <c r="AA214" s="66">
        <f t="shared" si="196"/>
        <v>78053.491170361813</v>
      </c>
      <c r="AB214" s="96">
        <f t="shared" si="197"/>
        <v>2754.9242393856402</v>
      </c>
      <c r="AC214" s="97">
        <f t="shared" si="198"/>
        <v>3.6586675572604095E-2</v>
      </c>
      <c r="AD214" s="67">
        <f t="shared" si="199"/>
        <v>0</v>
      </c>
      <c r="AE214" s="66">
        <v>24451.409307796563</v>
      </c>
      <c r="AG214" s="16"/>
      <c r="AH214" s="16"/>
    </row>
    <row r="215" spans="2:34" x14ac:dyDescent="0.25">
      <c r="B215" s="91">
        <v>2204</v>
      </c>
      <c r="C215" s="67" t="s">
        <v>305</v>
      </c>
      <c r="D215" s="91" t="s">
        <v>90</v>
      </c>
      <c r="E215" s="92">
        <v>1744.095</v>
      </c>
      <c r="F215" s="92">
        <v>68.78</v>
      </c>
      <c r="G215" s="60">
        <f t="shared" si="180"/>
        <v>1812.875</v>
      </c>
      <c r="H215" s="93">
        <v>0</v>
      </c>
      <c r="I215" s="93">
        <v>0</v>
      </c>
      <c r="J215" s="93">
        <v>0</v>
      </c>
      <c r="K215" s="60">
        <f t="shared" si="181"/>
        <v>1812.875</v>
      </c>
      <c r="L215" s="94">
        <f t="shared" si="182"/>
        <v>0</v>
      </c>
      <c r="M215" s="95" t="str">
        <f t="shared" si="183"/>
        <v/>
      </c>
      <c r="N215" s="63" t="str">
        <f t="shared" si="184"/>
        <v/>
      </c>
      <c r="O215" s="67" t="str">
        <f t="shared" si="185"/>
        <v/>
      </c>
      <c r="P215" s="91" t="str">
        <f t="shared" si="186"/>
        <v/>
      </c>
      <c r="Q215" s="66">
        <f t="shared" si="187"/>
        <v>0</v>
      </c>
      <c r="R215" s="96">
        <f t="shared" si="188"/>
        <v>0</v>
      </c>
      <c r="S215" s="97" t="str">
        <f t="shared" si="189"/>
        <v/>
      </c>
      <c r="U215" s="60">
        <f t="shared" si="190"/>
        <v>1812.875</v>
      </c>
      <c r="V215" s="94">
        <f t="shared" si="191"/>
        <v>1209487.6596398251</v>
      </c>
      <c r="W215" s="95" t="str">
        <f t="shared" si="192"/>
        <v/>
      </c>
      <c r="X215" s="63">
        <f t="shared" si="193"/>
        <v>0</v>
      </c>
      <c r="Y215" s="67" t="str">
        <f t="shared" si="194"/>
        <v/>
      </c>
      <c r="Z215" s="91" t="str">
        <f t="shared" si="195"/>
        <v/>
      </c>
      <c r="AA215" s="66">
        <f t="shared" si="196"/>
        <v>1253738.7922521357</v>
      </c>
      <c r="AB215" s="96">
        <f t="shared" si="197"/>
        <v>44251.132612310583</v>
      </c>
      <c r="AC215" s="97">
        <f t="shared" si="198"/>
        <v>3.6586675572604178E-2</v>
      </c>
      <c r="AD215" s="67">
        <f t="shared" si="199"/>
        <v>0</v>
      </c>
      <c r="AE215" s="66">
        <v>401714.63682157564</v>
      </c>
      <c r="AG215" s="16"/>
      <c r="AH215" s="16"/>
    </row>
    <row r="216" spans="2:34" x14ac:dyDescent="0.25">
      <c r="B216" s="91">
        <v>2213</v>
      </c>
      <c r="C216" s="67" t="s">
        <v>306</v>
      </c>
      <c r="D216" s="91" t="s">
        <v>117</v>
      </c>
      <c r="E216" s="92">
        <v>464.1671</v>
      </c>
      <c r="F216" s="92">
        <v>10.78</v>
      </c>
      <c r="G216" s="60">
        <f t="shared" si="180"/>
        <v>474.94709999999998</v>
      </c>
      <c r="H216" s="93">
        <v>0</v>
      </c>
      <c r="I216" s="93">
        <v>0</v>
      </c>
      <c r="J216" s="93">
        <v>0</v>
      </c>
      <c r="K216" s="60">
        <f t="shared" si="181"/>
        <v>474.94709999999998</v>
      </c>
      <c r="L216" s="94">
        <f t="shared" si="182"/>
        <v>0</v>
      </c>
      <c r="M216" s="95" t="str">
        <f t="shared" si="183"/>
        <v/>
      </c>
      <c r="N216" s="63" t="str">
        <f t="shared" si="184"/>
        <v/>
      </c>
      <c r="O216" s="67" t="str">
        <f t="shared" si="185"/>
        <v/>
      </c>
      <c r="P216" s="91" t="str">
        <f t="shared" si="186"/>
        <v/>
      </c>
      <c r="Q216" s="66">
        <f t="shared" si="187"/>
        <v>0</v>
      </c>
      <c r="R216" s="96">
        <f t="shared" si="188"/>
        <v>0</v>
      </c>
      <c r="S216" s="97" t="str">
        <f t="shared" si="189"/>
        <v/>
      </c>
      <c r="U216" s="60">
        <f t="shared" si="190"/>
        <v>474.94709999999998</v>
      </c>
      <c r="V216" s="94">
        <f t="shared" si="191"/>
        <v>316868.32044775394</v>
      </c>
      <c r="W216" s="95" t="str">
        <f t="shared" si="192"/>
        <v/>
      </c>
      <c r="X216" s="63">
        <f t="shared" si="193"/>
        <v>0</v>
      </c>
      <c r="Y216" s="67" t="str">
        <f t="shared" si="194"/>
        <v/>
      </c>
      <c r="Z216" s="91" t="str">
        <f t="shared" si="195"/>
        <v/>
      </c>
      <c r="AA216" s="66">
        <f t="shared" si="196"/>
        <v>328461.47888721188</v>
      </c>
      <c r="AB216" s="96">
        <f t="shared" si="197"/>
        <v>11593.15843945794</v>
      </c>
      <c r="AC216" s="97">
        <f t="shared" si="198"/>
        <v>3.6586675572604144E-2</v>
      </c>
      <c r="AD216" s="67">
        <f t="shared" si="199"/>
        <v>0</v>
      </c>
      <c r="AE216" s="66">
        <v>107811.79254999002</v>
      </c>
      <c r="AG216" s="16"/>
      <c r="AH216" s="16"/>
    </row>
    <row r="217" spans="2:34" x14ac:dyDescent="0.25">
      <c r="B217" s="91">
        <v>2116</v>
      </c>
      <c r="C217" s="67" t="s">
        <v>297</v>
      </c>
      <c r="D217" s="91" t="s">
        <v>225</v>
      </c>
      <c r="E217" s="92">
        <v>1206.6352999999999</v>
      </c>
      <c r="F217" s="92">
        <v>59</v>
      </c>
      <c r="G217" s="60">
        <f t="shared" si="180"/>
        <v>1265.6352999999999</v>
      </c>
      <c r="H217" s="93">
        <v>0</v>
      </c>
      <c r="I217" s="93">
        <v>0</v>
      </c>
      <c r="J217" s="93">
        <v>0</v>
      </c>
      <c r="K217" s="60">
        <f t="shared" si="181"/>
        <v>1265.6352999999999</v>
      </c>
      <c r="L217" s="94">
        <f t="shared" si="182"/>
        <v>0</v>
      </c>
      <c r="M217" s="95" t="str">
        <f t="shared" si="183"/>
        <v/>
      </c>
      <c r="N217" s="63" t="str">
        <f t="shared" si="184"/>
        <v/>
      </c>
      <c r="O217" s="67" t="str">
        <f t="shared" si="185"/>
        <v/>
      </c>
      <c r="P217" s="91" t="str">
        <f t="shared" si="186"/>
        <v/>
      </c>
      <c r="Q217" s="66">
        <f t="shared" si="187"/>
        <v>0</v>
      </c>
      <c r="R217" s="96">
        <f t="shared" si="188"/>
        <v>0</v>
      </c>
      <c r="S217" s="97" t="str">
        <f t="shared" si="189"/>
        <v/>
      </c>
      <c r="U217" s="60">
        <f t="shared" si="190"/>
        <v>1265.6352999999999</v>
      </c>
      <c r="V217" s="94">
        <f t="shared" si="191"/>
        <v>844388.21041414759</v>
      </c>
      <c r="W217" s="95" t="str">
        <f t="shared" si="192"/>
        <v/>
      </c>
      <c r="X217" s="63">
        <f t="shared" si="193"/>
        <v>0</v>
      </c>
      <c r="Y217" s="67" t="str">
        <f t="shared" si="194"/>
        <v/>
      </c>
      <c r="Z217" s="91" t="str">
        <f t="shared" si="195"/>
        <v/>
      </c>
      <c r="AA217" s="66">
        <f t="shared" si="196"/>
        <v>875281.56792590173</v>
      </c>
      <c r="AB217" s="96">
        <f t="shared" si="197"/>
        <v>30893.357511754148</v>
      </c>
      <c r="AC217" s="97">
        <f t="shared" si="198"/>
        <v>3.6586675572604054E-2</v>
      </c>
      <c r="AD217" s="67">
        <f t="shared" si="199"/>
        <v>0</v>
      </c>
      <c r="AE217" s="66">
        <v>271589.76268789353</v>
      </c>
      <c r="AG217" s="16"/>
      <c r="AH217" s="16"/>
    </row>
    <row r="218" spans="2:34" x14ac:dyDescent="0.25">
      <c r="B218" s="91">
        <v>1947</v>
      </c>
      <c r="C218" s="67" t="s">
        <v>279</v>
      </c>
      <c r="D218" s="91" t="s">
        <v>123</v>
      </c>
      <c r="E218" s="92">
        <v>751.2962</v>
      </c>
      <c r="F218" s="92">
        <v>24.5425</v>
      </c>
      <c r="G218" s="60">
        <f t="shared" si="180"/>
        <v>775.83870000000002</v>
      </c>
      <c r="H218" s="93">
        <v>0</v>
      </c>
      <c r="I218" s="93">
        <v>0</v>
      </c>
      <c r="J218" s="93">
        <v>0</v>
      </c>
      <c r="K218" s="60">
        <f t="shared" si="181"/>
        <v>775.83870000000002</v>
      </c>
      <c r="L218" s="94">
        <f t="shared" si="182"/>
        <v>0</v>
      </c>
      <c r="M218" s="95" t="str">
        <f t="shared" si="183"/>
        <v/>
      </c>
      <c r="N218" s="63" t="str">
        <f t="shared" si="184"/>
        <v/>
      </c>
      <c r="O218" s="67" t="str">
        <f t="shared" si="185"/>
        <v/>
      </c>
      <c r="P218" s="91" t="str">
        <f t="shared" si="186"/>
        <v/>
      </c>
      <c r="Q218" s="66">
        <f t="shared" si="187"/>
        <v>0</v>
      </c>
      <c r="R218" s="96">
        <f t="shared" si="188"/>
        <v>0</v>
      </c>
      <c r="S218" s="97" t="str">
        <f t="shared" si="189"/>
        <v/>
      </c>
      <c r="U218" s="60">
        <f t="shared" si="190"/>
        <v>775.83870000000002</v>
      </c>
      <c r="V218" s="94">
        <f t="shared" si="191"/>
        <v>517612.81584279356</v>
      </c>
      <c r="W218" s="95" t="str">
        <f t="shared" si="192"/>
        <v/>
      </c>
      <c r="X218" s="63">
        <f t="shared" si="193"/>
        <v>0</v>
      </c>
      <c r="Y218" s="67" t="str">
        <f t="shared" si="194"/>
        <v/>
      </c>
      <c r="Z218" s="91" t="str">
        <f t="shared" si="195"/>
        <v/>
      </c>
      <c r="AA218" s="66">
        <f t="shared" si="196"/>
        <v>536550.54800825589</v>
      </c>
      <c r="AB218" s="96">
        <f t="shared" si="197"/>
        <v>18937.732165462337</v>
      </c>
      <c r="AC218" s="97">
        <f t="shared" si="198"/>
        <v>3.658667557260406E-2</v>
      </c>
      <c r="AD218" s="67">
        <f t="shared" si="199"/>
        <v>0</v>
      </c>
      <c r="AE218" s="66">
        <v>170959.46771093676</v>
      </c>
      <c r="AG218" s="16"/>
      <c r="AH218" s="16"/>
    </row>
    <row r="219" spans="2:34" x14ac:dyDescent="0.25">
      <c r="B219" s="6">
        <v>3229</v>
      </c>
      <c r="C219" s="6" t="s">
        <v>294</v>
      </c>
      <c r="D219" s="6" t="s">
        <v>319</v>
      </c>
      <c r="E219" s="92"/>
      <c r="F219" s="92"/>
      <c r="G219" s="60"/>
      <c r="H219" s="93"/>
      <c r="I219" s="93"/>
      <c r="J219" s="93"/>
      <c r="K219" s="60"/>
      <c r="L219" s="94"/>
      <c r="M219" s="95"/>
      <c r="N219" s="63"/>
      <c r="O219" s="67"/>
      <c r="P219" s="91"/>
      <c r="Q219" s="66"/>
      <c r="R219" s="96"/>
      <c r="S219" s="97"/>
      <c r="U219" s="60"/>
      <c r="V219" s="94"/>
      <c r="W219" s="95"/>
      <c r="X219" s="63"/>
      <c r="Y219" s="67"/>
      <c r="Z219" s="91"/>
      <c r="AA219" s="66"/>
      <c r="AB219" s="96"/>
      <c r="AC219" s="97"/>
      <c r="AD219" s="67"/>
      <c r="AE219" s="66">
        <v>48177.835828311268</v>
      </c>
      <c r="AG219" s="16"/>
      <c r="AH219" s="16"/>
    </row>
    <row r="220" spans="2:34" x14ac:dyDescent="0.25">
      <c r="B220" s="6">
        <v>5250</v>
      </c>
      <c r="C220" s="6" t="s">
        <v>308</v>
      </c>
      <c r="D220" s="6" t="s">
        <v>327</v>
      </c>
      <c r="E220" s="92"/>
      <c r="F220" s="92"/>
      <c r="G220" s="60"/>
      <c r="H220" s="93"/>
      <c r="I220" s="93"/>
      <c r="J220" s="93"/>
      <c r="K220" s="60"/>
      <c r="L220" s="94"/>
      <c r="M220" s="95"/>
      <c r="N220" s="63"/>
      <c r="O220" s="67"/>
      <c r="P220" s="91"/>
      <c r="Q220" s="66"/>
      <c r="R220" s="96"/>
      <c r="S220" s="97"/>
      <c r="U220" s="60"/>
      <c r="V220" s="94"/>
      <c r="W220" s="95"/>
      <c r="X220" s="63"/>
      <c r="Y220" s="67"/>
      <c r="Z220" s="91"/>
      <c r="AA220" s="66"/>
      <c r="AB220" s="96"/>
      <c r="AC220" s="97"/>
      <c r="AD220" s="67"/>
      <c r="AE220" s="66">
        <v>0</v>
      </c>
      <c r="AG220" s="16"/>
      <c r="AH220" s="16"/>
    </row>
    <row r="221" spans="2:34" x14ac:dyDescent="0.25">
      <c r="B221" s="91">
        <v>2220</v>
      </c>
      <c r="C221" s="67" t="s">
        <v>307</v>
      </c>
      <c r="D221" s="91" t="s">
        <v>226</v>
      </c>
      <c r="E221" s="92">
        <v>318.34780000000001</v>
      </c>
      <c r="F221" s="92">
        <v>11.07</v>
      </c>
      <c r="G221" s="60">
        <f>E221+F221</f>
        <v>329.4178</v>
      </c>
      <c r="H221" s="93">
        <v>0</v>
      </c>
      <c r="I221" s="93">
        <v>0</v>
      </c>
      <c r="J221" s="93">
        <v>0</v>
      </c>
      <c r="K221" s="60">
        <f>$G221+$H221+$I221+$J221</f>
        <v>329.4178</v>
      </c>
      <c r="L221" s="94">
        <f>K221*$D$16</f>
        <v>0</v>
      </c>
      <c r="M221" s="95" t="str">
        <f>IF(K221=0,"",IF(K221&lt;$W$16,"Yes",""))</f>
        <v/>
      </c>
      <c r="N221" s="63" t="str">
        <f>IF(K221=0,"",IF(K221&lt;$W$16,$W$16-K221,""))</f>
        <v/>
      </c>
      <c r="O221" s="67" t="str">
        <f>IF(K221=0,"",IF(K221&lt;$M$16,(K221+N221)*$Q$16,""))</f>
        <v/>
      </c>
      <c r="P221" s="91" t="str">
        <f>IF(K221=0,"",IF(K221&lt;$W$16,(K221+N221),""))</f>
        <v/>
      </c>
      <c r="Q221" s="66">
        <f>MAX(O221,(K221*$Q$16))</f>
        <v>0</v>
      </c>
      <c r="R221" s="96">
        <f>IF(Q221=0,0,(Q221-L221))</f>
        <v>0</v>
      </c>
      <c r="S221" s="97" t="str">
        <f>IF(R221=0,"",(R221/L221))</f>
        <v/>
      </c>
      <c r="U221" s="60">
        <f>$G221+$H221+$I221+$J221</f>
        <v>329.4178</v>
      </c>
      <c r="V221" s="94">
        <f>U221*$E$16</f>
        <v>219776.19194136382</v>
      </c>
      <c r="W221" s="95" t="str">
        <f>IF(U221=0,"",IF(U221&lt;$W$16,"Yes",""))</f>
        <v/>
      </c>
      <c r="X221" s="63">
        <f>IF(U221=0,0,IF(U221&lt;$W$16,$W$16-U221,0))</f>
        <v>0</v>
      </c>
      <c r="Y221" s="67" t="str">
        <f>IF(U221=0,"",IF(U221&lt;$W$16,(U221+X221)*$AA$16,""))</f>
        <v/>
      </c>
      <c r="Z221" s="91" t="str">
        <f>IF(U221=0,"",IF(U221&lt;$W$16,(U221+X221),""))</f>
        <v/>
      </c>
      <c r="AA221" s="66">
        <f>MAX(Y221,(U221*$AA$16))</f>
        <v>227817.07217450489</v>
      </c>
      <c r="AB221" s="96">
        <f>IF(AA221=0,"",(AA221-V221))</f>
        <v>8040.8802331410698</v>
      </c>
      <c r="AC221" s="97">
        <f>IF(AB221="","",(AB221/V221))</f>
        <v>3.6586675572604206E-2</v>
      </c>
      <c r="AD221" s="67">
        <f>IF(AA221=0,0,(U221+X221)/$AA$14)*$E$13</f>
        <v>0</v>
      </c>
      <c r="AE221" s="66">
        <v>71469.598663636731</v>
      </c>
      <c r="AG221" s="16"/>
      <c r="AH221" s="16"/>
    </row>
    <row r="222" spans="2:34" x14ac:dyDescent="0.25">
      <c r="B222" s="91">
        <v>1936</v>
      </c>
      <c r="C222" s="67" t="s">
        <v>278</v>
      </c>
      <c r="D222" s="91" t="s">
        <v>227</v>
      </c>
      <c r="E222" s="92">
        <v>1264.9012</v>
      </c>
      <c r="F222" s="92">
        <v>39.5</v>
      </c>
      <c r="G222" s="60">
        <f>E222+F222</f>
        <v>1304.4012</v>
      </c>
      <c r="H222" s="93">
        <v>0</v>
      </c>
      <c r="I222" s="93">
        <v>0</v>
      </c>
      <c r="J222" s="93">
        <v>0</v>
      </c>
      <c r="K222" s="60">
        <f>$G222+$H222+$I222+$J222</f>
        <v>1304.4012</v>
      </c>
      <c r="L222" s="94">
        <f>K222*$D$16</f>
        <v>0</v>
      </c>
      <c r="M222" s="95" t="str">
        <f>IF(K222=0,"",IF(K222&lt;$W$16,"Yes",""))</f>
        <v/>
      </c>
      <c r="N222" s="63" t="str">
        <f>IF(K222=0,"",IF(K222&lt;$W$16,$W$16-K222,""))</f>
        <v/>
      </c>
      <c r="O222" s="67" t="str">
        <f>IF(K222=0,"",IF(K222&lt;$M$16,(K222+N222)*$Q$16,""))</f>
        <v/>
      </c>
      <c r="P222" s="91" t="str">
        <f>IF(K222=0,"",IF(K222&lt;$W$16,(K222+N222),""))</f>
        <v/>
      </c>
      <c r="Q222" s="66">
        <f>MAX(O222,(K222*$Q$16))</f>
        <v>0</v>
      </c>
      <c r="R222" s="96">
        <f>IF(Q222=0,0,(Q222-L222))</f>
        <v>0</v>
      </c>
      <c r="S222" s="97" t="str">
        <f>IF(R222=0,"",(R222/L222))</f>
        <v/>
      </c>
      <c r="U222" s="60">
        <f>$G222+$H222+$I222+$J222</f>
        <v>1304.4012</v>
      </c>
      <c r="V222" s="94">
        <f>U222*$E$16</f>
        <v>870251.48155243986</v>
      </c>
      <c r="W222" s="95" t="str">
        <f>IF(U222=0,"",IF(U222&lt;$W$16,"Yes",""))</f>
        <v/>
      </c>
      <c r="X222" s="63">
        <f>IF(U222=0,0,IF(U222&lt;$W$16,$W$16-U222,0))</f>
        <v>0</v>
      </c>
      <c r="Y222" s="67" t="str">
        <f>IF(U222=0,"",IF(U222&lt;$W$16,(U222+X222)*$AA$16,""))</f>
        <v/>
      </c>
      <c r="Z222" s="91" t="str">
        <f>IF(U222=0,"",IF(U222&lt;$W$16,(U222+X222),""))</f>
        <v/>
      </c>
      <c r="AA222" s="66">
        <f>MAX(Y222,(U222*$AA$16))</f>
        <v>902091.09017457708</v>
      </c>
      <c r="AB222" s="96">
        <f>IF(AA222=0,"",(AA222-V222))</f>
        <v>31839.608622137224</v>
      </c>
      <c r="AC222" s="97">
        <f>IF(AB222="","",(AB222/V222))</f>
        <v>3.6586675572604151E-2</v>
      </c>
      <c r="AD222" s="67">
        <f>IF(AA222=0,0,(U222+X222)/$AA$14)*$E$13</f>
        <v>0</v>
      </c>
      <c r="AE222" s="66">
        <v>271358.50230215804</v>
      </c>
      <c r="AG222" s="16"/>
      <c r="AH222" s="16"/>
    </row>
    <row r="223" spans="2:34" x14ac:dyDescent="0.25">
      <c r="B223" s="91">
        <v>1922</v>
      </c>
      <c r="C223" s="67" t="s">
        <v>277</v>
      </c>
      <c r="D223" s="91" t="s">
        <v>141</v>
      </c>
      <c r="E223" s="92">
        <v>11298.243200000001</v>
      </c>
      <c r="F223" s="92">
        <v>128.75</v>
      </c>
      <c r="G223" s="60">
        <f>E223+F223</f>
        <v>11426.993200000001</v>
      </c>
      <c r="H223" s="93">
        <v>0</v>
      </c>
      <c r="I223" s="93">
        <v>0</v>
      </c>
      <c r="J223" s="93">
        <v>0</v>
      </c>
      <c r="K223" s="60">
        <f>$G223+$H223+$I223+$J223</f>
        <v>11426.993200000001</v>
      </c>
      <c r="L223" s="94">
        <f>K223*$D$16</f>
        <v>0</v>
      </c>
      <c r="M223" s="95" t="str">
        <f>IF(K223=0,"",IF(K223&lt;$W$16,"Yes",""))</f>
        <v/>
      </c>
      <c r="N223" s="63" t="str">
        <f>IF(K223=0,"",IF(K223&lt;$W$16,$W$16-K223,""))</f>
        <v/>
      </c>
      <c r="O223" s="67" t="str">
        <f>IF(K223=0,"",IF(K223&lt;$M$16,(K223+N223)*$Q$16,""))</f>
        <v/>
      </c>
      <c r="P223" s="91" t="str">
        <f>IF(K223=0,"",IF(K223&lt;$W$16,(K223+N223),""))</f>
        <v/>
      </c>
      <c r="Q223" s="66">
        <f>MAX(O223,(K223*$Q$16))</f>
        <v>0</v>
      </c>
      <c r="R223" s="96">
        <f>IF(Q223=0,0,(Q223-L223))</f>
        <v>0</v>
      </c>
      <c r="S223" s="97" t="str">
        <f>IF(R223=0,"",(R223/L223))</f>
        <v/>
      </c>
      <c r="U223" s="60">
        <f>$G223+$H223+$I223+$J223</f>
        <v>11426.993200000001</v>
      </c>
      <c r="V223" s="94">
        <f>U223*$E$16</f>
        <v>7623695.6558991633</v>
      </c>
      <c r="W223" s="95" t="str">
        <f>IF(U223=0,"",IF(U223&lt;$W$16,"Yes",""))</f>
        <v/>
      </c>
      <c r="X223" s="63">
        <f>IF(U223=0,0,IF(U223&lt;$W$16,$W$16-U223,0))</f>
        <v>0</v>
      </c>
      <c r="Y223" s="67" t="str">
        <f>IF(U223=0,"",IF(U223&lt;$W$16,(U223+X223)*$AA$16,""))</f>
        <v/>
      </c>
      <c r="Z223" s="91" t="str">
        <f>IF(U223=0,"",IF(U223&lt;$W$16,(U223+X223),""))</f>
        <v/>
      </c>
      <c r="AA223" s="66">
        <f>MAX(Y223,(U223*$AA$16))</f>
        <v>7902621.3355258182</v>
      </c>
      <c r="AB223" s="96">
        <f>IF(AA223=0,"",(AA223-V223))</f>
        <v>278925.67962665483</v>
      </c>
      <c r="AC223" s="97">
        <f>IF(AB223="","",(AB223/V223))</f>
        <v>3.658667557260422E-2</v>
      </c>
      <c r="AD223" s="67">
        <f>IF(AA223=0,0,(U223+X223)/$AA$14)*$E$13</f>
        <v>0</v>
      </c>
      <c r="AE223" s="66">
        <v>2410012.2347544529</v>
      </c>
      <c r="AG223" s="16"/>
      <c r="AH223" s="16"/>
    </row>
    <row r="224" spans="2:34" x14ac:dyDescent="0.25">
      <c r="B224" s="6">
        <v>4058</v>
      </c>
      <c r="C224" s="6" t="s">
        <v>294</v>
      </c>
      <c r="D224" s="6" t="s">
        <v>320</v>
      </c>
      <c r="E224" s="92"/>
      <c r="F224" s="92"/>
      <c r="G224" s="60"/>
      <c r="H224" s="93"/>
      <c r="I224" s="93"/>
      <c r="J224" s="93"/>
      <c r="K224" s="60"/>
      <c r="L224" s="94"/>
      <c r="M224" s="95"/>
      <c r="N224" s="63"/>
      <c r="O224" s="67"/>
      <c r="P224" s="91"/>
      <c r="Q224" s="66"/>
      <c r="R224" s="96"/>
      <c r="S224" s="97"/>
      <c r="U224" s="60"/>
      <c r="V224" s="94"/>
      <c r="W224" s="95"/>
      <c r="X224" s="63"/>
      <c r="Y224" s="67"/>
      <c r="Z224" s="91"/>
      <c r="AA224" s="66"/>
      <c r="AB224" s="96"/>
      <c r="AC224" s="97"/>
      <c r="AD224" s="67"/>
      <c r="AE224" s="66">
        <v>68656.286965166466</v>
      </c>
      <c r="AG224" s="16"/>
      <c r="AH224" s="16"/>
    </row>
    <row r="225" spans="2:34" x14ac:dyDescent="0.25">
      <c r="B225" s="91">
        <v>2255</v>
      </c>
      <c r="C225" s="67" t="s">
        <v>311</v>
      </c>
      <c r="D225" s="91" t="s">
        <v>58</v>
      </c>
      <c r="E225" s="92">
        <v>1091.2293</v>
      </c>
      <c r="F225" s="92">
        <v>28.487500000000001</v>
      </c>
      <c r="G225" s="60">
        <f>E225+F225</f>
        <v>1119.7167999999999</v>
      </c>
      <c r="H225" s="93">
        <v>0</v>
      </c>
      <c r="I225" s="93">
        <v>0</v>
      </c>
      <c r="J225" s="93">
        <v>0</v>
      </c>
      <c r="K225" s="60">
        <f>$G225+$H225+$I225+$J225</f>
        <v>1119.7167999999999</v>
      </c>
      <c r="L225" s="94">
        <f>K225*$D$16</f>
        <v>0</v>
      </c>
      <c r="M225" s="95" t="str">
        <f t="shared" ref="M225:M230" si="200">IF(K225=0,"",IF(K225&lt;$W$16,"Yes",""))</f>
        <v/>
      </c>
      <c r="N225" s="63" t="str">
        <f t="shared" ref="N225:N230" si="201">IF(K225=0,"",IF(K225&lt;$W$16,$W$16-K225,""))</f>
        <v/>
      </c>
      <c r="O225" s="67" t="str">
        <f>IF(K225=0,"",IF(K225&lt;$M$16,(K225+N225)*$Q$16,""))</f>
        <v/>
      </c>
      <c r="P225" s="91" t="str">
        <f t="shared" ref="P225:P230" si="202">IF(K225=0,"",IF(K225&lt;$W$16,(K225+N225),""))</f>
        <v/>
      </c>
      <c r="Q225" s="66">
        <f>MAX(O225,(K225*$Q$16))</f>
        <v>0</v>
      </c>
      <c r="R225" s="96">
        <f t="shared" ref="R225:R230" si="203">IF(Q225=0,0,(Q225-L225))</f>
        <v>0</v>
      </c>
      <c r="S225" s="97" t="str">
        <f t="shared" ref="S225:S230" si="204">IF(R225=0,"",(R225/L225))</f>
        <v/>
      </c>
      <c r="U225" s="60">
        <f>$G225+$H225+$I225+$J225</f>
        <v>1119.7167999999999</v>
      </c>
      <c r="V225" s="94">
        <f>U225*$E$16</f>
        <v>747036.42109433573</v>
      </c>
      <c r="W225" s="95" t="str">
        <f t="shared" ref="W225:W230" si="205">IF(U225=0,"",IF(U225&lt;$W$16,"Yes",""))</f>
        <v/>
      </c>
      <c r="X225" s="63">
        <f t="shared" ref="X225:X230" si="206">IF(U225=0,0,IF(U225&lt;$W$16,$W$16-U225,0))</f>
        <v>0</v>
      </c>
      <c r="Y225" s="67" t="str">
        <f t="shared" ref="Y225:Y230" si="207">IF(U225=0,"",IF(U225&lt;$W$16,(U225+X225)*$AA$16,""))</f>
        <v/>
      </c>
      <c r="Z225" s="91" t="str">
        <f t="shared" ref="Z225:Z230" si="208">IF(U225=0,"",IF(U225&lt;$W$16,(U225+X225),""))</f>
        <v/>
      </c>
      <c r="AA225" s="66">
        <f>MAX(Y225,(U225*$AA$16))</f>
        <v>774368.00027383352</v>
      </c>
      <c r="AB225" s="96">
        <f t="shared" ref="AB225:AB230" si="209">IF(AA225=0,"",(AA225-V225))</f>
        <v>27331.579179497785</v>
      </c>
      <c r="AC225" s="97">
        <f>IF(AB225="","",(AB225/V225))</f>
        <v>3.6586675572604185E-2</v>
      </c>
      <c r="AD225" s="67">
        <f>IF(AA225=0,0,(U225+X225)/$AA$14)*$E$13</f>
        <v>0</v>
      </c>
      <c r="AE225" s="66">
        <v>237237.2548388131</v>
      </c>
      <c r="AG225" s="16"/>
      <c r="AH225" s="16"/>
    </row>
    <row r="226" spans="2:34" x14ac:dyDescent="0.25">
      <c r="B226" s="91">
        <v>2002</v>
      </c>
      <c r="C226" s="67" t="s">
        <v>284</v>
      </c>
      <c r="D226" s="91" t="s">
        <v>56</v>
      </c>
      <c r="E226" s="92">
        <v>1622.6732</v>
      </c>
      <c r="F226" s="92">
        <v>67.072500000000005</v>
      </c>
      <c r="G226" s="60">
        <f>E226+F226</f>
        <v>1689.7456999999999</v>
      </c>
      <c r="H226" s="93">
        <v>0</v>
      </c>
      <c r="I226" s="93">
        <v>0</v>
      </c>
      <c r="J226" s="93">
        <v>0</v>
      </c>
      <c r="K226" s="60">
        <f>$G226+$H226+$I226+$J226</f>
        <v>1689.7456999999999</v>
      </c>
      <c r="L226" s="94">
        <f>K226*$D$16</f>
        <v>0</v>
      </c>
      <c r="M226" s="95" t="str">
        <f t="shared" si="200"/>
        <v/>
      </c>
      <c r="N226" s="63" t="str">
        <f t="shared" si="201"/>
        <v/>
      </c>
      <c r="O226" s="67" t="str">
        <f>IF(K226=0,"",IF(K226&lt;$M$16,(K226+N226)*$Q$16,""))</f>
        <v/>
      </c>
      <c r="P226" s="91" t="str">
        <f t="shared" si="202"/>
        <v/>
      </c>
      <c r="Q226" s="66">
        <f>MAX(O226,(K226*$Q$16))</f>
        <v>0</v>
      </c>
      <c r="R226" s="96">
        <f t="shared" si="203"/>
        <v>0</v>
      </c>
      <c r="S226" s="97" t="str">
        <f t="shared" si="204"/>
        <v/>
      </c>
      <c r="U226" s="60">
        <f>$G226+$H226+$I226+$J226</f>
        <v>1689.7456999999999</v>
      </c>
      <c r="V226" s="94">
        <f>U226*$E$16</f>
        <v>1127340.0383807255</v>
      </c>
      <c r="W226" s="95" t="str">
        <f t="shared" si="205"/>
        <v/>
      </c>
      <c r="X226" s="63">
        <f t="shared" si="206"/>
        <v>0</v>
      </c>
      <c r="Y226" s="67" t="str">
        <f t="shared" si="207"/>
        <v/>
      </c>
      <c r="Z226" s="91" t="str">
        <f t="shared" si="208"/>
        <v/>
      </c>
      <c r="AA226" s="66">
        <f>MAX(Y226,(U226*$AA$16))</f>
        <v>1168585.6626249682</v>
      </c>
      <c r="AB226" s="96">
        <f t="shared" si="209"/>
        <v>41245.624244242674</v>
      </c>
      <c r="AC226" s="97">
        <f>IF(AB226="","",(AB226/V226))</f>
        <v>3.6586675572604109E-2</v>
      </c>
      <c r="AD226" s="67">
        <f>IF(AA226=0,0,(U226+X226)/$AA$14)*$E$13</f>
        <v>0</v>
      </c>
      <c r="AE226" s="66">
        <v>360127.6902347274</v>
      </c>
      <c r="AG226" s="16"/>
      <c r="AH226" s="16"/>
    </row>
    <row r="227" spans="2:34" x14ac:dyDescent="0.25">
      <c r="B227" s="91">
        <v>2146</v>
      </c>
      <c r="C227" s="67" t="s">
        <v>299</v>
      </c>
      <c r="D227" s="91" t="s">
        <v>39</v>
      </c>
      <c r="E227" s="92">
        <v>7488.8977999999997</v>
      </c>
      <c r="F227" s="92">
        <v>413.15</v>
      </c>
      <c r="G227" s="60">
        <f>E227+F227</f>
        <v>7902.0477999999994</v>
      </c>
      <c r="H227" s="93">
        <v>0</v>
      </c>
      <c r="I227" s="93">
        <v>0</v>
      </c>
      <c r="J227" s="93">
        <v>0</v>
      </c>
      <c r="K227" s="60">
        <f>$G227+$H227+$I227+$J227</f>
        <v>7902.0477999999994</v>
      </c>
      <c r="L227" s="94">
        <f>K227*$D$16</f>
        <v>0</v>
      </c>
      <c r="M227" s="95" t="str">
        <f t="shared" si="200"/>
        <v/>
      </c>
      <c r="N227" s="63" t="str">
        <f t="shared" si="201"/>
        <v/>
      </c>
      <c r="O227" s="67" t="str">
        <f>IF(K227=0,"",IF(K227&lt;$M$16,(K227+N227)*$Q$16,""))</f>
        <v/>
      </c>
      <c r="P227" s="91" t="str">
        <f t="shared" si="202"/>
        <v/>
      </c>
      <c r="Q227" s="66">
        <f>MAX(O227,(K227*$Q$16))</f>
        <v>0</v>
      </c>
      <c r="R227" s="96">
        <f t="shared" si="203"/>
        <v>0</v>
      </c>
      <c r="S227" s="97" t="str">
        <f t="shared" si="204"/>
        <v/>
      </c>
      <c r="U227" s="60">
        <f>$G227+$H227+$I227+$J227</f>
        <v>7902.0477999999994</v>
      </c>
      <c r="V227" s="94">
        <f>U227*$E$16</f>
        <v>5271973.6881936304</v>
      </c>
      <c r="W227" s="95" t="str">
        <f t="shared" si="205"/>
        <v/>
      </c>
      <c r="X227" s="63">
        <f t="shared" si="206"/>
        <v>0</v>
      </c>
      <c r="Y227" s="67" t="str">
        <f t="shared" si="207"/>
        <v/>
      </c>
      <c r="Z227" s="91" t="str">
        <f t="shared" si="208"/>
        <v/>
      </c>
      <c r="AA227" s="66">
        <f>MAX(Y227,(U227*$AA$16))</f>
        <v>5464857.6791508757</v>
      </c>
      <c r="AB227" s="96">
        <f t="shared" si="209"/>
        <v>192883.99095724523</v>
      </c>
      <c r="AC227" s="97">
        <f>IF(AB227="","",(AB227/V227))</f>
        <v>3.658667557260406E-2</v>
      </c>
      <c r="AD227" s="67">
        <f>IF(AA227=0,0,(U227+X227)/$AA$14)*$E$13</f>
        <v>0</v>
      </c>
      <c r="AE227" s="66">
        <v>1677244.7042727678</v>
      </c>
      <c r="AG227" s="16"/>
      <c r="AH227" s="16"/>
    </row>
    <row r="228" spans="2:34" x14ac:dyDescent="0.25">
      <c r="B228" s="91">
        <v>2251</v>
      </c>
      <c r="C228" s="67" t="s">
        <v>311</v>
      </c>
      <c r="D228" s="91" t="s">
        <v>97</v>
      </c>
      <c r="E228" s="92">
        <v>1171.6360999999999</v>
      </c>
      <c r="F228" s="92">
        <v>18.787500000000001</v>
      </c>
      <c r="G228" s="60">
        <f>E228+F228</f>
        <v>1190.4235999999999</v>
      </c>
      <c r="H228" s="93">
        <v>0</v>
      </c>
      <c r="I228" s="93">
        <v>0</v>
      </c>
      <c r="J228" s="93">
        <v>0</v>
      </c>
      <c r="K228" s="60">
        <f>$G228+$H228+$I228+$J228</f>
        <v>1190.4235999999999</v>
      </c>
      <c r="L228" s="94">
        <f>K228*$D$16</f>
        <v>0</v>
      </c>
      <c r="M228" s="95" t="str">
        <f t="shared" si="200"/>
        <v/>
      </c>
      <c r="N228" s="63" t="str">
        <f t="shared" si="201"/>
        <v/>
      </c>
      <c r="O228" s="67" t="str">
        <f>IF(K228=0,"",IF(K228&lt;$M$16,(K228+N228)*$Q$16,""))</f>
        <v/>
      </c>
      <c r="P228" s="91" t="str">
        <f t="shared" si="202"/>
        <v/>
      </c>
      <c r="Q228" s="66">
        <f>MAX(O228,(K228*$Q$16))</f>
        <v>0</v>
      </c>
      <c r="R228" s="96">
        <f t="shared" si="203"/>
        <v>0</v>
      </c>
      <c r="S228" s="97" t="str">
        <f t="shared" si="204"/>
        <v/>
      </c>
      <c r="U228" s="60">
        <f>$G228+$H228+$I228+$J228</f>
        <v>1190.4235999999999</v>
      </c>
      <c r="V228" s="94">
        <f>U228*$E$16</f>
        <v>794209.5588190112</v>
      </c>
      <c r="W228" s="95" t="str">
        <f t="shared" si="205"/>
        <v/>
      </c>
      <c r="X228" s="63">
        <f t="shared" si="206"/>
        <v>0</v>
      </c>
      <c r="Y228" s="67" t="str">
        <f t="shared" si="207"/>
        <v/>
      </c>
      <c r="Z228" s="91" t="str">
        <f t="shared" si="208"/>
        <v/>
      </c>
      <c r="AA228" s="66">
        <f>MAX(Y228,(U228*$AA$16))</f>
        <v>823267.04628418351</v>
      </c>
      <c r="AB228" s="96">
        <f t="shared" si="209"/>
        <v>29057.487465172308</v>
      </c>
      <c r="AC228" s="97">
        <f>IF(AB228="","",(AB228/V228))</f>
        <v>3.6586675572604241E-2</v>
      </c>
      <c r="AD228" s="67">
        <f>IF(AA228=0,0,(U228+X228)/$AA$14)*$E$13</f>
        <v>0</v>
      </c>
      <c r="AE228" s="66">
        <v>253048.35277555833</v>
      </c>
      <c r="AG228" s="16"/>
      <c r="AH228" s="16"/>
    </row>
    <row r="229" spans="2:34" x14ac:dyDescent="0.25">
      <c r="B229" s="91">
        <v>1997</v>
      </c>
      <c r="C229" s="67" t="s">
        <v>284</v>
      </c>
      <c r="D229" s="91" t="s">
        <v>228</v>
      </c>
      <c r="E229" s="92">
        <v>427.24430000000001</v>
      </c>
      <c r="F229" s="92">
        <v>13.5525</v>
      </c>
      <c r="G229" s="60">
        <f>E229+F229</f>
        <v>440.79680000000002</v>
      </c>
      <c r="H229" s="93">
        <v>0</v>
      </c>
      <c r="I229" s="93">
        <v>0</v>
      </c>
      <c r="J229" s="93">
        <v>0</v>
      </c>
      <c r="K229" s="60">
        <f>$G229+$H229+$I229+$J229</f>
        <v>440.79680000000002</v>
      </c>
      <c r="L229" s="94">
        <f>K229*$D$16</f>
        <v>0</v>
      </c>
      <c r="M229" s="95" t="str">
        <f t="shared" si="200"/>
        <v/>
      </c>
      <c r="N229" s="63" t="str">
        <f t="shared" si="201"/>
        <v/>
      </c>
      <c r="O229" s="67" t="str">
        <f>IF(K229=0,"",IF(K229&lt;$M$16,(K229+N229)*$Q$16,""))</f>
        <v/>
      </c>
      <c r="P229" s="91" t="str">
        <f t="shared" si="202"/>
        <v/>
      </c>
      <c r="Q229" s="66">
        <f>MAX(O229,(K229*$Q$16))</f>
        <v>0</v>
      </c>
      <c r="R229" s="96">
        <f t="shared" si="203"/>
        <v>0</v>
      </c>
      <c r="S229" s="97" t="str">
        <f t="shared" si="204"/>
        <v/>
      </c>
      <c r="U229" s="60">
        <f>$G229+$H229+$I229+$J229</f>
        <v>440.79680000000002</v>
      </c>
      <c r="V229" s="94">
        <f>U229*$E$16</f>
        <v>294084.41840100614</v>
      </c>
      <c r="W229" s="95" t="str">
        <f t="shared" si="205"/>
        <v/>
      </c>
      <c r="X229" s="63">
        <f t="shared" si="206"/>
        <v>0</v>
      </c>
      <c r="Y229" s="67" t="str">
        <f t="shared" si="207"/>
        <v/>
      </c>
      <c r="Z229" s="91" t="str">
        <f t="shared" si="208"/>
        <v/>
      </c>
      <c r="AA229" s="66">
        <f>MAX(Y229,(U229*$AA$16))</f>
        <v>304843.98960800178</v>
      </c>
      <c r="AB229" s="96">
        <f t="shared" si="209"/>
        <v>10759.571206995635</v>
      </c>
      <c r="AC229" s="97">
        <f>IF(AB229="","",(AB229/V229))</f>
        <v>3.6586675572604303E-2</v>
      </c>
      <c r="AD229" s="67">
        <f>IF(AA229=0,0,(U229+X229)/$AA$14)*$E$13</f>
        <v>0</v>
      </c>
      <c r="AE229" s="66">
        <v>97747.975602742925</v>
      </c>
      <c r="AG229" s="16"/>
      <c r="AH229" s="16"/>
    </row>
    <row r="230" spans="2:34" x14ac:dyDescent="0.25">
      <c r="B230" s="91"/>
      <c r="C230" s="67"/>
      <c r="D230" s="91"/>
      <c r="E230" s="92"/>
      <c r="F230" s="92"/>
      <c r="G230" s="60"/>
      <c r="H230" s="93"/>
      <c r="I230" s="93"/>
      <c r="J230" s="93"/>
      <c r="K230" s="60"/>
      <c r="L230" s="94"/>
      <c r="M230" s="95" t="str">
        <f t="shared" si="200"/>
        <v/>
      </c>
      <c r="N230" s="63" t="str">
        <f t="shared" si="201"/>
        <v/>
      </c>
      <c r="O230" s="67" t="str">
        <f>IF(K230=0,"",IF(K230&lt;$W$16,(K230+N230)*$AA$16,""))</f>
        <v/>
      </c>
      <c r="P230" s="91" t="str">
        <f t="shared" si="202"/>
        <v/>
      </c>
      <c r="Q230" s="66">
        <f>-I232*Q16</f>
        <v>0</v>
      </c>
      <c r="R230" s="96">
        <f t="shared" si="203"/>
        <v>0</v>
      </c>
      <c r="S230" s="97" t="str">
        <f t="shared" si="204"/>
        <v/>
      </c>
      <c r="U230" s="60"/>
      <c r="V230" s="94"/>
      <c r="W230" s="95" t="str">
        <f t="shared" si="205"/>
        <v/>
      </c>
      <c r="X230" s="63">
        <f t="shared" si="206"/>
        <v>0</v>
      </c>
      <c r="Y230" s="67" t="str">
        <f t="shared" si="207"/>
        <v/>
      </c>
      <c r="Z230" s="91" t="str">
        <f t="shared" si="208"/>
        <v/>
      </c>
      <c r="AA230" s="66">
        <f>-I232*AA16</f>
        <v>1885798.4577767288</v>
      </c>
      <c r="AB230" s="96">
        <f t="shared" si="209"/>
        <v>1885798.4577767288</v>
      </c>
      <c r="AC230" s="96"/>
      <c r="AD230" s="67">
        <f>(AA12/AA14)*E13</f>
        <v>0</v>
      </c>
      <c r="AE230" s="91"/>
      <c r="AG230" s="16"/>
      <c r="AH230" s="16"/>
    </row>
    <row r="231" spans="2:34" ht="6.75" customHeight="1" thickBot="1" x14ac:dyDescent="0.3">
      <c r="B231" s="98"/>
      <c r="C231" s="99"/>
      <c r="D231" s="100"/>
      <c r="E231" s="98"/>
      <c r="F231" s="98"/>
      <c r="G231" s="98"/>
      <c r="H231" s="98"/>
      <c r="I231" s="98"/>
      <c r="J231" s="98"/>
      <c r="K231" s="98"/>
      <c r="L231" s="98"/>
      <c r="M231" s="101"/>
      <c r="N231" s="102"/>
      <c r="O231" s="98"/>
      <c r="P231" s="98"/>
      <c r="Q231" s="98"/>
      <c r="R231" s="98"/>
      <c r="S231" s="103"/>
      <c r="U231" s="98"/>
      <c r="V231" s="98"/>
      <c r="W231" s="101"/>
      <c r="X231" s="102"/>
      <c r="Y231" s="98"/>
      <c r="Z231" s="98"/>
      <c r="AA231" s="98"/>
      <c r="AB231" s="104"/>
      <c r="AC231" s="103"/>
      <c r="AD231" s="98"/>
      <c r="AE231" s="98"/>
    </row>
    <row r="232" spans="2:34" ht="16.5" thickTop="1" x14ac:dyDescent="0.25">
      <c r="B232" s="105">
        <f>COUNTA(B19:B215)</f>
        <v>197</v>
      </c>
      <c r="C232" s="106"/>
      <c r="D232" s="107"/>
      <c r="E232" s="108">
        <f t="shared" ref="E232:J232" si="210">SUM(E19:E215)</f>
        <v>675697.14249999973</v>
      </c>
      <c r="F232" s="108">
        <f t="shared" si="210"/>
        <v>19281.29</v>
      </c>
      <c r="G232" s="108">
        <f t="shared" si="210"/>
        <v>694978.43249999953</v>
      </c>
      <c r="H232" s="109">
        <f t="shared" si="210"/>
        <v>-12890.554266564239</v>
      </c>
      <c r="I232" s="109">
        <f t="shared" si="210"/>
        <v>-2726.8174999999997</v>
      </c>
      <c r="J232" s="109">
        <f t="shared" si="210"/>
        <v>0</v>
      </c>
      <c r="K232" s="108">
        <f>SUM(K19:K230)</f>
        <v>707281.02473343548</v>
      </c>
      <c r="L232" s="107">
        <f>SUM(L19:L215)</f>
        <v>0</v>
      </c>
      <c r="M232" s="110"/>
      <c r="N232" s="111">
        <f>SUM(N19:N215)</f>
        <v>229.42470000000003</v>
      </c>
      <c r="O232" s="107">
        <f>SUM(O19:O215)</f>
        <v>0</v>
      </c>
      <c r="P232" s="108">
        <f>SUM(P19:P215)</f>
        <v>650</v>
      </c>
      <c r="Q232" s="107">
        <f>SUM(Q19:Q230)</f>
        <v>0</v>
      </c>
      <c r="R232" s="112">
        <f>SUM(R19:R230)</f>
        <v>0</v>
      </c>
      <c r="S232" s="113"/>
      <c r="T232" s="114"/>
      <c r="U232" s="108">
        <f>SUM(U19:U215)</f>
        <v>679361.06073343556</v>
      </c>
      <c r="V232" s="107">
        <f>SUM(V19:V215)</f>
        <v>453246263.19901371</v>
      </c>
      <c r="W232" s="110"/>
      <c r="X232" s="111">
        <f>SUM(X19:X215)</f>
        <v>229.42470000000003</v>
      </c>
      <c r="Y232" s="107">
        <f>SUM(Y19:Y215)</f>
        <v>449523.66542860819</v>
      </c>
      <c r="Z232" s="108">
        <f>SUM(Z19:Z215)</f>
        <v>650</v>
      </c>
      <c r="AA232" s="107">
        <f>SUM(AA19:AA230)</f>
        <v>491182245.47063822</v>
      </c>
      <c r="AB232" s="112">
        <f>SUM(AB19:AB230)</f>
        <v>19308745.47063807</v>
      </c>
      <c r="AC232" s="113"/>
      <c r="AD232" s="107">
        <f>SUM(AD19:AD230)</f>
        <v>0</v>
      </c>
      <c r="AE232" s="107">
        <f>SUM(AE19:AE230)</f>
        <v>150000000.00000003</v>
      </c>
      <c r="AG232" s="113"/>
    </row>
    <row r="234" spans="2:34" x14ac:dyDescent="0.25">
      <c r="B234" s="18" t="s">
        <v>312</v>
      </c>
      <c r="L234" s="59"/>
      <c r="N234" s="64"/>
      <c r="V234" s="59"/>
      <c r="X234" s="64"/>
      <c r="AD234" s="16"/>
      <c r="AE234" s="16"/>
      <c r="AG234" s="16"/>
    </row>
    <row r="235" spans="2:34" x14ac:dyDescent="0.25">
      <c r="B235" s="18" t="s">
        <v>313</v>
      </c>
      <c r="N235" s="70"/>
      <c r="X235" s="70"/>
    </row>
    <row r="236" spans="2:34" x14ac:dyDescent="0.25">
      <c r="B236" s="18" t="s">
        <v>314</v>
      </c>
      <c r="N236" s="70"/>
      <c r="X236" s="70"/>
    </row>
    <row r="237" spans="2:34" x14ac:dyDescent="0.25">
      <c r="L237" s="115"/>
      <c r="R237" s="17"/>
      <c r="S237" s="17"/>
      <c r="V237" s="115"/>
      <c r="AB237" s="17"/>
      <c r="AC237" s="17"/>
    </row>
    <row r="238" spans="2:34" x14ac:dyDescent="0.25">
      <c r="B238" s="26"/>
      <c r="L238" s="59"/>
      <c r="Q238" s="16"/>
      <c r="V238" s="59"/>
      <c r="AA238" s="16"/>
    </row>
    <row r="239" spans="2:34" x14ac:dyDescent="0.25">
      <c r="B239" s="116"/>
      <c r="C239" s="117"/>
      <c r="L239" s="17"/>
      <c r="O239" s="16"/>
      <c r="V239" s="17"/>
      <c r="Y239" s="16"/>
    </row>
    <row r="240" spans="2:34" x14ac:dyDescent="0.25">
      <c r="B240" s="116"/>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291"/>
  <sheetViews>
    <sheetView workbookViewId="0">
      <pane ySplit="1" topLeftCell="A174" activePane="bottomLeft" state="frozen"/>
      <selection activeCell="C228" sqref="C228"/>
      <selection pane="bottomLeft" activeCell="C228" sqref="C228"/>
    </sheetView>
  </sheetViews>
  <sheetFormatPr defaultColWidth="10.625" defaultRowHeight="15.75" x14ac:dyDescent="0.25"/>
  <cols>
    <col min="2" max="2" width="54.625" customWidth="1"/>
    <col min="3" max="5" width="33.875" style="165" customWidth="1"/>
    <col min="6" max="7" width="33.875" style="168" customWidth="1"/>
    <col min="8" max="30" width="33.875" customWidth="1"/>
  </cols>
  <sheetData>
    <row r="1" spans="2:9" x14ac:dyDescent="0.25">
      <c r="B1" s="211" t="s">
        <v>409</v>
      </c>
      <c r="C1" s="212" t="s">
        <v>382</v>
      </c>
      <c r="D1" s="212" t="s">
        <v>377</v>
      </c>
      <c r="E1" s="212" t="s">
        <v>343</v>
      </c>
      <c r="F1" s="212" t="s">
        <v>376</v>
      </c>
      <c r="G1" s="212" t="s">
        <v>477</v>
      </c>
      <c r="H1" s="212" t="s">
        <v>410</v>
      </c>
      <c r="I1" s="212" t="s">
        <v>478</v>
      </c>
    </row>
    <row r="2" spans="2:9" x14ac:dyDescent="0.25">
      <c r="B2" t="s">
        <v>70</v>
      </c>
      <c r="C2" s="169">
        <v>26924.641256556453</v>
      </c>
      <c r="D2" s="167">
        <f>C2-F2</f>
        <v>26924.641256556453</v>
      </c>
      <c r="E2" s="168">
        <f t="shared" ref="E2:E76" si="0">MIN((C2*0.05),500000)</f>
        <v>1346.2320628278228</v>
      </c>
    </row>
    <row r="3" spans="2:9" x14ac:dyDescent="0.25">
      <c r="B3" t="s">
        <v>73</v>
      </c>
      <c r="C3" s="169">
        <v>255085.12825026611</v>
      </c>
      <c r="D3" s="167">
        <f>C3-F3</f>
        <v>255085.12825026611</v>
      </c>
      <c r="E3" s="168">
        <f t="shared" si="0"/>
        <v>12754.256412513307</v>
      </c>
    </row>
    <row r="4" spans="2:9" x14ac:dyDescent="0.25">
      <c r="B4" t="s">
        <v>131</v>
      </c>
      <c r="C4" s="169">
        <v>253290.97785549422</v>
      </c>
      <c r="D4" s="167">
        <f>C4-F4</f>
        <v>253290.97785549422</v>
      </c>
      <c r="E4" s="168">
        <f t="shared" si="0"/>
        <v>12664.548892774712</v>
      </c>
    </row>
    <row r="5" spans="2:9" x14ac:dyDescent="0.25">
      <c r="B5" t="s">
        <v>168</v>
      </c>
      <c r="C5" s="169">
        <v>554179.44422289392</v>
      </c>
      <c r="D5" s="167">
        <f t="shared" ref="D5:D18" si="1">C5-F5</f>
        <v>554179.44422289392</v>
      </c>
      <c r="E5" s="168">
        <f t="shared" si="0"/>
        <v>27708.972211144697</v>
      </c>
    </row>
    <row r="6" spans="2:9" x14ac:dyDescent="0.25">
      <c r="B6" t="s">
        <v>75</v>
      </c>
      <c r="C6" s="169">
        <v>101853.22540942741</v>
      </c>
      <c r="D6" s="167">
        <f t="shared" si="1"/>
        <v>101853.22540942741</v>
      </c>
      <c r="E6" s="168">
        <f t="shared" si="0"/>
        <v>5092.6612704713707</v>
      </c>
    </row>
    <row r="7" spans="2:9" x14ac:dyDescent="0.25">
      <c r="B7" t="s">
        <v>494</v>
      </c>
      <c r="C7" s="169">
        <v>243122.78</v>
      </c>
      <c r="D7" s="167">
        <f t="shared" si="1"/>
        <v>243122.78</v>
      </c>
      <c r="E7" s="168">
        <f t="shared" si="0"/>
        <v>12156.139000000001</v>
      </c>
    </row>
    <row r="8" spans="2:9" x14ac:dyDescent="0.25">
      <c r="B8" t="s">
        <v>81</v>
      </c>
      <c r="C8" s="169">
        <v>176692.5274518916</v>
      </c>
      <c r="D8" s="167">
        <f t="shared" si="1"/>
        <v>176692.5274518916</v>
      </c>
      <c r="E8" s="168">
        <f t="shared" si="0"/>
        <v>8834.626372594581</v>
      </c>
    </row>
    <row r="9" spans="2:9" x14ac:dyDescent="0.25">
      <c r="B9" t="s">
        <v>485</v>
      </c>
      <c r="C9" s="169">
        <v>50462.16</v>
      </c>
      <c r="D9" s="167">
        <f t="shared" si="1"/>
        <v>50462.16</v>
      </c>
      <c r="E9" s="168">
        <f t="shared" si="0"/>
        <v>2523.1080000000002</v>
      </c>
    </row>
    <row r="10" spans="2:9" x14ac:dyDescent="0.25">
      <c r="B10" t="s">
        <v>82</v>
      </c>
      <c r="C10" s="169">
        <v>26924.641256556453</v>
      </c>
      <c r="D10" s="167">
        <f t="shared" si="1"/>
        <v>26924.641256556453</v>
      </c>
      <c r="E10" s="168">
        <f t="shared" si="0"/>
        <v>1346.2320628278228</v>
      </c>
    </row>
    <row r="11" spans="2:9" x14ac:dyDescent="0.25">
      <c r="B11" t="s">
        <v>84</v>
      </c>
      <c r="C11" s="169">
        <v>1858802.8664935071</v>
      </c>
      <c r="D11" s="167">
        <f t="shared" si="1"/>
        <v>1858802.8664935071</v>
      </c>
      <c r="E11" s="168">
        <f t="shared" si="0"/>
        <v>92940.143324675359</v>
      </c>
    </row>
    <row r="12" spans="2:9" x14ac:dyDescent="0.25">
      <c r="B12" t="s">
        <v>87</v>
      </c>
      <c r="C12" s="169">
        <v>26924.641256556453</v>
      </c>
      <c r="D12" s="167">
        <f t="shared" si="1"/>
        <v>26924.641256556453</v>
      </c>
      <c r="E12" s="168">
        <f t="shared" si="0"/>
        <v>1346.2320628278228</v>
      </c>
    </row>
    <row r="13" spans="2:9" x14ac:dyDescent="0.25">
      <c r="B13" t="s">
        <v>88</v>
      </c>
      <c r="C13" s="169">
        <v>1222617.6423141735</v>
      </c>
      <c r="D13" s="167">
        <f t="shared" si="1"/>
        <v>1222617.6423141735</v>
      </c>
      <c r="E13" s="168">
        <f t="shared" si="0"/>
        <v>61130.882115708679</v>
      </c>
    </row>
    <row r="14" spans="2:9" x14ac:dyDescent="0.25">
      <c r="B14" t="s">
        <v>91</v>
      </c>
      <c r="C14" s="169">
        <v>416003.36997846147</v>
      </c>
      <c r="D14" s="167">
        <f t="shared" si="1"/>
        <v>416003.36997846147</v>
      </c>
      <c r="E14" s="168">
        <f t="shared" si="0"/>
        <v>20800.168498923074</v>
      </c>
    </row>
    <row r="15" spans="2:9" x14ac:dyDescent="0.25">
      <c r="B15" t="s">
        <v>63</v>
      </c>
      <c r="C15" s="169">
        <v>1479167.1111803791</v>
      </c>
      <c r="D15" s="167">
        <f>C15-F16</f>
        <v>1304959.301180379</v>
      </c>
      <c r="E15" s="168">
        <f t="shared" si="0"/>
        <v>73958.35555901895</v>
      </c>
      <c r="G15" s="168">
        <f>F16</f>
        <v>174207.81</v>
      </c>
    </row>
    <row r="16" spans="2:9" x14ac:dyDescent="0.25">
      <c r="B16" s="134" t="s">
        <v>411</v>
      </c>
      <c r="C16" s="169"/>
      <c r="D16" s="167"/>
      <c r="E16" s="168"/>
      <c r="F16" s="168">
        <v>174207.81</v>
      </c>
      <c r="G16" s="168">
        <f>F16</f>
        <v>174207.81</v>
      </c>
      <c r="I16" t="s">
        <v>479</v>
      </c>
    </row>
    <row r="17" spans="2:9" x14ac:dyDescent="0.25">
      <c r="B17" t="s">
        <v>92</v>
      </c>
      <c r="C17" s="169">
        <v>502698.93779825035</v>
      </c>
      <c r="D17" s="167">
        <f t="shared" si="1"/>
        <v>502698.93779825035</v>
      </c>
      <c r="E17" s="168">
        <f t="shared" si="0"/>
        <v>25134.94688991252</v>
      </c>
    </row>
    <row r="18" spans="2:9" x14ac:dyDescent="0.25">
      <c r="B18" t="s">
        <v>170</v>
      </c>
      <c r="C18" s="169">
        <v>707088.52061506652</v>
      </c>
      <c r="D18" s="167">
        <f t="shared" si="1"/>
        <v>707088.52061506652</v>
      </c>
      <c r="E18" s="168">
        <f t="shared" si="0"/>
        <v>35354.426030753326</v>
      </c>
    </row>
    <row r="19" spans="2:9" x14ac:dyDescent="0.25">
      <c r="B19" t="s">
        <v>118</v>
      </c>
      <c r="C19" s="169">
        <v>26790868.438143119</v>
      </c>
      <c r="D19" s="167">
        <f>C19-G19</f>
        <v>26790868.438143119</v>
      </c>
      <c r="E19" s="168">
        <f t="shared" si="0"/>
        <v>500000</v>
      </c>
    </row>
    <row r="20" spans="2:9" x14ac:dyDescent="0.25">
      <c r="B20" t="s">
        <v>315</v>
      </c>
      <c r="C20" s="169">
        <v>111415.51</v>
      </c>
      <c r="D20" s="167">
        <f t="shared" ref="D20" si="2">C20-F20</f>
        <v>111415.51</v>
      </c>
      <c r="E20" s="168">
        <f t="shared" si="0"/>
        <v>5570.7754999999997</v>
      </c>
    </row>
    <row r="21" spans="2:9" x14ac:dyDescent="0.25">
      <c r="B21" t="s">
        <v>38</v>
      </c>
      <c r="C21" s="169">
        <v>11511965.581024354</v>
      </c>
      <c r="D21" s="167">
        <f>C21-F22</f>
        <v>11426676.391024355</v>
      </c>
      <c r="E21" s="168">
        <f t="shared" si="0"/>
        <v>500000</v>
      </c>
      <c r="G21" s="168">
        <f>F22</f>
        <v>85289.19</v>
      </c>
    </row>
    <row r="22" spans="2:9" x14ac:dyDescent="0.25">
      <c r="B22" s="134" t="s">
        <v>412</v>
      </c>
      <c r="C22" s="169"/>
      <c r="D22" s="167"/>
      <c r="E22" s="168"/>
      <c r="F22" s="168">
        <v>85289.19</v>
      </c>
      <c r="G22" s="168">
        <f>F22</f>
        <v>85289.19</v>
      </c>
      <c r="I22" t="s">
        <v>479</v>
      </c>
    </row>
    <row r="23" spans="2:9" x14ac:dyDescent="0.25">
      <c r="B23" t="s">
        <v>139</v>
      </c>
      <c r="C23" s="169">
        <v>3759820.6626160387</v>
      </c>
      <c r="D23" s="167">
        <f t="shared" ref="D23:D40" si="3">C23-F23</f>
        <v>3759820.6626160387</v>
      </c>
      <c r="E23" s="168">
        <f t="shared" si="0"/>
        <v>187991.03313080195</v>
      </c>
    </row>
    <row r="24" spans="2:9" x14ac:dyDescent="0.25">
      <c r="B24" t="s">
        <v>171</v>
      </c>
      <c r="C24" s="169">
        <v>209200.69311366772</v>
      </c>
      <c r="D24" s="167">
        <f t="shared" si="3"/>
        <v>209200.69311366772</v>
      </c>
      <c r="E24" s="168">
        <f t="shared" si="0"/>
        <v>10460.034655683387</v>
      </c>
    </row>
    <row r="25" spans="2:9" x14ac:dyDescent="0.25">
      <c r="B25" t="s">
        <v>98</v>
      </c>
      <c r="C25" s="169">
        <v>33433.673280328978</v>
      </c>
      <c r="D25" s="167">
        <f t="shared" si="3"/>
        <v>33433.673280328978</v>
      </c>
      <c r="E25" s="168">
        <f t="shared" si="0"/>
        <v>1671.683664016449</v>
      </c>
    </row>
    <row r="26" spans="2:9" x14ac:dyDescent="0.25">
      <c r="B26" t="s">
        <v>100</v>
      </c>
      <c r="C26" s="169">
        <v>1018207.2198250248</v>
      </c>
      <c r="D26" s="167">
        <f t="shared" si="3"/>
        <v>1018207.2198250248</v>
      </c>
      <c r="E26" s="168">
        <f t="shared" si="0"/>
        <v>50910.360991251247</v>
      </c>
    </row>
    <row r="27" spans="2:9" x14ac:dyDescent="0.25">
      <c r="B27" t="s">
        <v>101</v>
      </c>
      <c r="C27" s="169">
        <v>77887.386829836454</v>
      </c>
      <c r="D27" s="167">
        <f t="shared" si="3"/>
        <v>77887.386829836454</v>
      </c>
      <c r="E27" s="168">
        <f t="shared" si="0"/>
        <v>3894.369341491823</v>
      </c>
    </row>
    <row r="28" spans="2:9" x14ac:dyDescent="0.25">
      <c r="B28" t="s">
        <v>102</v>
      </c>
      <c r="C28" s="169">
        <v>217284.65510310125</v>
      </c>
      <c r="D28" s="167">
        <f t="shared" si="3"/>
        <v>217284.65510310125</v>
      </c>
      <c r="E28" s="168">
        <f t="shared" si="0"/>
        <v>10864.232755155062</v>
      </c>
    </row>
    <row r="29" spans="2:9" x14ac:dyDescent="0.25">
      <c r="B29" t="s">
        <v>103</v>
      </c>
      <c r="C29" s="169">
        <v>197768.43658685134</v>
      </c>
      <c r="D29" s="167">
        <f t="shared" si="3"/>
        <v>197768.43658685134</v>
      </c>
      <c r="E29" s="168">
        <f t="shared" si="0"/>
        <v>9888.4218293425674</v>
      </c>
    </row>
    <row r="30" spans="2:9" x14ac:dyDescent="0.25">
      <c r="B30" t="s">
        <v>62</v>
      </c>
      <c r="C30" s="169">
        <v>3068902.4891975522</v>
      </c>
      <c r="D30" s="167">
        <f t="shared" si="3"/>
        <v>3068902.4891975522</v>
      </c>
      <c r="E30" s="168">
        <f t="shared" si="0"/>
        <v>153445.12445987761</v>
      </c>
    </row>
    <row r="31" spans="2:9" x14ac:dyDescent="0.25">
      <c r="B31" t="s">
        <v>104</v>
      </c>
      <c r="C31" s="169">
        <v>1656614.965441522</v>
      </c>
      <c r="D31" s="167">
        <f t="shared" si="3"/>
        <v>1656614.965441522</v>
      </c>
      <c r="E31" s="168">
        <f t="shared" si="0"/>
        <v>82830.748272076104</v>
      </c>
    </row>
    <row r="32" spans="2:9" x14ac:dyDescent="0.25">
      <c r="B32" t="s">
        <v>47</v>
      </c>
      <c r="C32" s="169">
        <v>4296088.5969415726</v>
      </c>
      <c r="D32" s="167">
        <f t="shared" si="3"/>
        <v>4296088.5969415726</v>
      </c>
      <c r="E32" s="168">
        <f t="shared" si="0"/>
        <v>214804.42984707863</v>
      </c>
    </row>
    <row r="33" spans="2:9" x14ac:dyDescent="0.25">
      <c r="B33" t="s">
        <v>129</v>
      </c>
      <c r="C33" s="169">
        <v>347125.39890732896</v>
      </c>
      <c r="D33" s="167">
        <f t="shared" si="3"/>
        <v>347125.39890732896</v>
      </c>
      <c r="E33" s="168">
        <f t="shared" si="0"/>
        <v>17356.26994536645</v>
      </c>
    </row>
    <row r="34" spans="2:9" x14ac:dyDescent="0.25">
      <c r="B34" t="s">
        <v>105</v>
      </c>
      <c r="C34" s="169">
        <v>467761.95409800281</v>
      </c>
      <c r="D34" s="167">
        <f t="shared" si="3"/>
        <v>467761.95409800281</v>
      </c>
      <c r="E34" s="168">
        <f t="shared" si="0"/>
        <v>23388.097704900141</v>
      </c>
    </row>
    <row r="35" spans="2:9" x14ac:dyDescent="0.25">
      <c r="B35" t="s">
        <v>59</v>
      </c>
      <c r="C35" s="169">
        <v>3113275.0518783126</v>
      </c>
      <c r="D35" s="167">
        <f t="shared" si="3"/>
        <v>3113275.0518783126</v>
      </c>
      <c r="E35" s="168">
        <f t="shared" si="0"/>
        <v>155663.75259391565</v>
      </c>
    </row>
    <row r="36" spans="2:9" x14ac:dyDescent="0.25">
      <c r="B36" t="s">
        <v>106</v>
      </c>
      <c r="C36" s="169">
        <v>2195906.4292816031</v>
      </c>
      <c r="D36" s="167">
        <f t="shared" si="3"/>
        <v>2195906.4292816031</v>
      </c>
      <c r="E36" s="168">
        <f t="shared" si="0"/>
        <v>109795.32146408016</v>
      </c>
    </row>
    <row r="37" spans="2:9" x14ac:dyDescent="0.25">
      <c r="B37" t="s">
        <v>488</v>
      </c>
      <c r="C37" s="169">
        <v>24859.52</v>
      </c>
      <c r="D37" s="167">
        <f t="shared" si="3"/>
        <v>24859.52</v>
      </c>
      <c r="E37" s="168">
        <f t="shared" si="0"/>
        <v>1242.9760000000001</v>
      </c>
    </row>
    <row r="38" spans="2:9" x14ac:dyDescent="0.25">
      <c r="B38" t="s">
        <v>95</v>
      </c>
      <c r="C38" s="169">
        <v>520912.05752696545</v>
      </c>
      <c r="D38" s="167">
        <f t="shared" si="3"/>
        <v>520912.05752696545</v>
      </c>
      <c r="E38" s="168">
        <f t="shared" si="0"/>
        <v>26045.602876348275</v>
      </c>
    </row>
    <row r="39" spans="2:9" x14ac:dyDescent="0.25">
      <c r="B39" t="s">
        <v>120</v>
      </c>
      <c r="C39" s="169">
        <v>425220.80551551352</v>
      </c>
      <c r="D39" s="167">
        <f t="shared" si="3"/>
        <v>425220.80551551352</v>
      </c>
      <c r="E39" s="168">
        <f t="shared" si="0"/>
        <v>21261.040275775678</v>
      </c>
    </row>
    <row r="40" spans="2:9" x14ac:dyDescent="0.25">
      <c r="B40" t="s">
        <v>109</v>
      </c>
      <c r="C40" s="169">
        <v>152626.20611113121</v>
      </c>
      <c r="D40" s="167">
        <f t="shared" si="3"/>
        <v>152626.20611113121</v>
      </c>
      <c r="E40" s="168">
        <f t="shared" si="0"/>
        <v>7631.3103055565607</v>
      </c>
    </row>
    <row r="41" spans="2:9" x14ac:dyDescent="0.25">
      <c r="B41" t="s">
        <v>42</v>
      </c>
      <c r="C41" s="169">
        <v>2194899.8246435849</v>
      </c>
      <c r="D41" s="167">
        <f>C41-F41</f>
        <v>2194899.8246435849</v>
      </c>
      <c r="E41" s="168">
        <f t="shared" si="0"/>
        <v>109744.99123217925</v>
      </c>
    </row>
    <row r="42" spans="2:9" x14ac:dyDescent="0.25">
      <c r="B42" t="s">
        <v>114</v>
      </c>
      <c r="C42" s="169">
        <v>863532.37160996476</v>
      </c>
      <c r="D42" s="167">
        <f t="shared" ref="D42:D43" si="4">C42-F42</f>
        <v>863532.37160996476</v>
      </c>
      <c r="E42" s="168">
        <f t="shared" si="0"/>
        <v>43176.618580498238</v>
      </c>
    </row>
    <row r="43" spans="2:9" x14ac:dyDescent="0.25">
      <c r="B43" t="s">
        <v>111</v>
      </c>
      <c r="C43" s="169">
        <v>746675.92835314642</v>
      </c>
      <c r="D43" s="167">
        <f t="shared" si="4"/>
        <v>746675.92835314642</v>
      </c>
      <c r="E43" s="168">
        <f t="shared" si="0"/>
        <v>37333.796417657322</v>
      </c>
    </row>
    <row r="44" spans="2:9" x14ac:dyDescent="0.25">
      <c r="B44" t="s">
        <v>51</v>
      </c>
      <c r="C44" s="169">
        <v>4322652.8787995512</v>
      </c>
      <c r="D44" s="167">
        <f>C44-F45</f>
        <v>4250645.6187995514</v>
      </c>
      <c r="E44" s="168">
        <f t="shared" si="0"/>
        <v>216132.64393997757</v>
      </c>
      <c r="G44" s="168">
        <f>F45</f>
        <v>72007.259999999995</v>
      </c>
    </row>
    <row r="45" spans="2:9" x14ac:dyDescent="0.25">
      <c r="B45" s="134" t="s">
        <v>413</v>
      </c>
      <c r="C45" s="169"/>
      <c r="D45" s="167"/>
      <c r="E45" s="168"/>
      <c r="F45" s="168">
        <v>72007.259999999995</v>
      </c>
      <c r="G45" s="168">
        <f>F45</f>
        <v>72007.259999999995</v>
      </c>
      <c r="I45" t="s">
        <v>479</v>
      </c>
    </row>
    <row r="46" spans="2:9" s="213" customFormat="1" x14ac:dyDescent="0.25">
      <c r="B46" s="213" t="s">
        <v>414</v>
      </c>
      <c r="C46" s="214"/>
      <c r="D46" s="215"/>
      <c r="E46" s="168"/>
      <c r="F46" s="168">
        <v>112940.79</v>
      </c>
      <c r="G46" s="168">
        <f>F46</f>
        <v>112940.79</v>
      </c>
      <c r="I46" s="213" t="s">
        <v>479</v>
      </c>
    </row>
    <row r="47" spans="2:9" x14ac:dyDescent="0.25">
      <c r="B47" t="s">
        <v>112</v>
      </c>
      <c r="C47" s="169">
        <v>252149.96540832386</v>
      </c>
      <c r="D47" s="167">
        <f t="shared" ref="D47:D48" si="5">C47-F47</f>
        <v>252149.96540832386</v>
      </c>
      <c r="E47" s="168">
        <f t="shared" si="0"/>
        <v>12607.498270416194</v>
      </c>
    </row>
    <row r="48" spans="2:9" x14ac:dyDescent="0.25">
      <c r="B48" t="s">
        <v>113</v>
      </c>
      <c r="C48" s="169">
        <v>864414.26130968216</v>
      </c>
      <c r="D48" s="167">
        <f t="shared" si="5"/>
        <v>864414.26130968216</v>
      </c>
      <c r="E48" s="168">
        <f t="shared" si="0"/>
        <v>43220.713065484109</v>
      </c>
    </row>
    <row r="49" spans="2:9" x14ac:dyDescent="0.25">
      <c r="B49" t="s">
        <v>147</v>
      </c>
      <c r="C49" s="169">
        <v>2019371.3571317797</v>
      </c>
      <c r="D49" s="167">
        <f>C49-F50</f>
        <v>1888531.0671317796</v>
      </c>
      <c r="E49" s="168">
        <f t="shared" si="0"/>
        <v>100968.56785658898</v>
      </c>
      <c r="G49" s="168">
        <f>F50</f>
        <v>130840.29</v>
      </c>
    </row>
    <row r="50" spans="2:9" x14ac:dyDescent="0.25">
      <c r="B50" s="134" t="s">
        <v>415</v>
      </c>
      <c r="C50" s="169"/>
      <c r="D50" s="167"/>
      <c r="E50" s="168"/>
      <c r="F50" s="168">
        <v>130840.29</v>
      </c>
      <c r="G50" s="168">
        <f>F50</f>
        <v>130840.29</v>
      </c>
      <c r="I50" t="s">
        <v>479</v>
      </c>
    </row>
    <row r="51" spans="2:9" x14ac:dyDescent="0.25">
      <c r="B51" t="s">
        <v>124</v>
      </c>
      <c r="C51" s="169">
        <v>230612.40637437921</v>
      </c>
      <c r="D51" s="167">
        <f t="shared" ref="D51:D52" si="6">C51-F51</f>
        <v>230612.40637437921</v>
      </c>
      <c r="E51" s="168">
        <f t="shared" si="0"/>
        <v>11530.62031871896</v>
      </c>
    </row>
    <row r="52" spans="2:9" x14ac:dyDescent="0.25">
      <c r="B52" t="s">
        <v>176</v>
      </c>
      <c r="C52" s="169">
        <v>507956.24325000559</v>
      </c>
      <c r="D52" s="167">
        <f t="shared" si="6"/>
        <v>507956.24325000559</v>
      </c>
      <c r="E52" s="168">
        <f t="shared" si="0"/>
        <v>25397.812162500282</v>
      </c>
    </row>
    <row r="53" spans="2:9" x14ac:dyDescent="0.25">
      <c r="B53" t="s">
        <v>116</v>
      </c>
      <c r="C53" s="169">
        <v>2128100.8128224364</v>
      </c>
      <c r="D53" s="167">
        <f>C53-G53</f>
        <v>2017997.8728224365</v>
      </c>
      <c r="E53" s="168">
        <f t="shared" si="0"/>
        <v>106405.04064112183</v>
      </c>
      <c r="G53" s="168">
        <f>F54</f>
        <v>110102.94</v>
      </c>
    </row>
    <row r="54" spans="2:9" x14ac:dyDescent="0.25">
      <c r="B54" s="134" t="s">
        <v>416</v>
      </c>
      <c r="C54" s="169"/>
      <c r="D54" s="167"/>
      <c r="E54" s="168"/>
      <c r="F54" s="168">
        <v>110102.94</v>
      </c>
      <c r="G54" s="168">
        <f>F54</f>
        <v>110102.94</v>
      </c>
      <c r="I54" t="s">
        <v>479</v>
      </c>
    </row>
    <row r="55" spans="2:9" x14ac:dyDescent="0.25">
      <c r="B55" t="s">
        <v>61</v>
      </c>
      <c r="C55" s="169">
        <v>7134145.9431657242</v>
      </c>
      <c r="D55" s="167">
        <f>C55-F56</f>
        <v>7037172.8131657243</v>
      </c>
      <c r="E55" s="168">
        <f t="shared" si="0"/>
        <v>356707.29715828621</v>
      </c>
      <c r="G55" s="168">
        <f>F56</f>
        <v>96973.13</v>
      </c>
    </row>
    <row r="56" spans="2:9" x14ac:dyDescent="0.25">
      <c r="B56" s="134" t="s">
        <v>417</v>
      </c>
      <c r="C56" s="169"/>
      <c r="D56" s="167"/>
      <c r="E56" s="168"/>
      <c r="F56" s="168">
        <v>96973.13</v>
      </c>
      <c r="G56" s="168">
        <f>F56</f>
        <v>96973.13</v>
      </c>
      <c r="I56" t="s">
        <v>479</v>
      </c>
    </row>
    <row r="57" spans="2:9" x14ac:dyDescent="0.25">
      <c r="B57" t="s">
        <v>110</v>
      </c>
      <c r="C57" s="169">
        <v>679873.30863006937</v>
      </c>
      <c r="D57" s="167">
        <f t="shared" ref="D57:D69" si="7">C57-F57</f>
        <v>679873.30863006937</v>
      </c>
      <c r="E57" s="168">
        <f t="shared" si="0"/>
        <v>33993.665431503468</v>
      </c>
    </row>
    <row r="58" spans="2:9" x14ac:dyDescent="0.25">
      <c r="B58" t="s">
        <v>122</v>
      </c>
      <c r="C58" s="169">
        <v>76971.033589310813</v>
      </c>
      <c r="D58" s="167">
        <f t="shared" si="7"/>
        <v>76971.033589310813</v>
      </c>
      <c r="E58" s="168">
        <f t="shared" si="0"/>
        <v>3848.5516794655409</v>
      </c>
    </row>
    <row r="59" spans="2:9" x14ac:dyDescent="0.25">
      <c r="B59" t="s">
        <v>179</v>
      </c>
      <c r="C59" s="169">
        <v>201336.0592519101</v>
      </c>
      <c r="D59" s="167">
        <f t="shared" si="7"/>
        <v>201336.0592519101</v>
      </c>
      <c r="E59" s="168">
        <f t="shared" si="0"/>
        <v>10066.802962595506</v>
      </c>
    </row>
    <row r="60" spans="2:9" x14ac:dyDescent="0.25">
      <c r="B60" t="s">
        <v>54</v>
      </c>
      <c r="C60" s="169">
        <v>3744115.6270696539</v>
      </c>
      <c r="D60" s="167">
        <f t="shared" si="7"/>
        <v>3744115.6270696539</v>
      </c>
      <c r="E60" s="168">
        <f t="shared" si="0"/>
        <v>187205.78135348271</v>
      </c>
    </row>
    <row r="61" spans="2:9" x14ac:dyDescent="0.25">
      <c r="B61" t="s">
        <v>99</v>
      </c>
      <c r="C61" s="169">
        <v>270555.86556843587</v>
      </c>
      <c r="D61" s="167">
        <f t="shared" si="7"/>
        <v>270555.86556843587</v>
      </c>
      <c r="E61" s="168">
        <f t="shared" si="0"/>
        <v>13527.793278421794</v>
      </c>
    </row>
    <row r="62" spans="2:9" x14ac:dyDescent="0.25">
      <c r="B62" t="s">
        <v>44</v>
      </c>
      <c r="C62" s="169">
        <v>2598370.3148928657</v>
      </c>
      <c r="D62" s="167">
        <f t="shared" si="7"/>
        <v>2598370.3148928657</v>
      </c>
      <c r="E62" s="168">
        <f t="shared" si="0"/>
        <v>129918.51574464329</v>
      </c>
    </row>
    <row r="63" spans="2:9" x14ac:dyDescent="0.25">
      <c r="B63" t="s">
        <v>486</v>
      </c>
      <c r="C63" s="169">
        <v>103898.15</v>
      </c>
      <c r="D63" s="167">
        <f t="shared" si="7"/>
        <v>103898.15</v>
      </c>
      <c r="E63" s="168">
        <f t="shared" si="0"/>
        <v>5194.9075000000003</v>
      </c>
    </row>
    <row r="64" spans="2:9" x14ac:dyDescent="0.25">
      <c r="B64" t="s">
        <v>132</v>
      </c>
      <c r="C64" s="169">
        <v>234686.69693860383</v>
      </c>
      <c r="D64" s="167">
        <f t="shared" si="7"/>
        <v>234686.69693860383</v>
      </c>
      <c r="E64" s="168">
        <f t="shared" si="0"/>
        <v>11734.334846930193</v>
      </c>
    </row>
    <row r="65" spans="2:9" x14ac:dyDescent="0.25">
      <c r="B65" t="s">
        <v>133</v>
      </c>
      <c r="C65" s="169">
        <v>305854.39335147646</v>
      </c>
      <c r="D65" s="167">
        <f t="shared" si="7"/>
        <v>305854.39335147646</v>
      </c>
      <c r="E65" s="168">
        <f t="shared" si="0"/>
        <v>15292.719667573823</v>
      </c>
    </row>
    <row r="66" spans="2:9" x14ac:dyDescent="0.25">
      <c r="B66" t="s">
        <v>134</v>
      </c>
      <c r="C66" s="169">
        <v>223695.30448772234</v>
      </c>
      <c r="D66" s="167">
        <f t="shared" si="7"/>
        <v>223695.30448772234</v>
      </c>
      <c r="E66" s="168">
        <f t="shared" si="0"/>
        <v>11184.765224386118</v>
      </c>
    </row>
    <row r="67" spans="2:9" x14ac:dyDescent="0.25">
      <c r="B67" t="s">
        <v>135</v>
      </c>
      <c r="C67" s="169">
        <v>320415.9932329774</v>
      </c>
      <c r="D67" s="167">
        <f t="shared" si="7"/>
        <v>320415.9932329774</v>
      </c>
      <c r="E67" s="168">
        <f t="shared" si="0"/>
        <v>16020.799661648871</v>
      </c>
    </row>
    <row r="68" spans="2:9" x14ac:dyDescent="0.25">
      <c r="B68" t="s">
        <v>328</v>
      </c>
      <c r="C68" s="169">
        <v>18066.43</v>
      </c>
      <c r="D68" s="167">
        <f t="shared" si="7"/>
        <v>18066.43</v>
      </c>
      <c r="E68" s="168">
        <f t="shared" si="0"/>
        <v>903.32150000000001</v>
      </c>
    </row>
    <row r="69" spans="2:9" x14ac:dyDescent="0.25">
      <c r="B69" t="s">
        <v>69</v>
      </c>
      <c r="C69" s="169">
        <v>1228784.1702123799</v>
      </c>
      <c r="D69" s="167">
        <f t="shared" si="7"/>
        <v>1228784.1702123799</v>
      </c>
      <c r="E69" s="168">
        <f t="shared" si="0"/>
        <v>61439.208510618999</v>
      </c>
    </row>
    <row r="70" spans="2:9" x14ac:dyDescent="0.25">
      <c r="B70" t="s">
        <v>37</v>
      </c>
      <c r="C70" s="169">
        <v>11059204.63695316</v>
      </c>
      <c r="D70" s="167">
        <f>C70-G70</f>
        <v>10773532.846953161</v>
      </c>
      <c r="E70" s="168">
        <f t="shared" si="0"/>
        <v>500000</v>
      </c>
      <c r="G70" s="168">
        <f>F71+F72+F73</f>
        <v>285671.79000000004</v>
      </c>
    </row>
    <row r="71" spans="2:9" x14ac:dyDescent="0.25">
      <c r="B71" s="134" t="s">
        <v>418</v>
      </c>
      <c r="C71" s="169"/>
      <c r="D71" s="167"/>
      <c r="E71" s="168"/>
      <c r="F71" s="168">
        <v>124397.23</v>
      </c>
      <c r="G71" s="168">
        <f>F71</f>
        <v>124397.23</v>
      </c>
      <c r="I71" t="s">
        <v>479</v>
      </c>
    </row>
    <row r="72" spans="2:9" x14ac:dyDescent="0.25">
      <c r="B72" s="134" t="s">
        <v>419</v>
      </c>
      <c r="C72" s="169"/>
      <c r="D72" s="167"/>
      <c r="E72" s="168"/>
      <c r="F72" s="168">
        <v>22950.560000000001</v>
      </c>
      <c r="G72" s="168">
        <f>F72</f>
        <v>22950.560000000001</v>
      </c>
      <c r="I72" t="s">
        <v>479</v>
      </c>
    </row>
    <row r="73" spans="2:9" x14ac:dyDescent="0.25">
      <c r="B73" s="134" t="s">
        <v>420</v>
      </c>
      <c r="C73" s="169"/>
      <c r="D73" s="167"/>
      <c r="E73" s="168"/>
      <c r="F73" s="168">
        <v>138324</v>
      </c>
      <c r="G73" s="168">
        <f>F73</f>
        <v>138324</v>
      </c>
      <c r="I73" t="s">
        <v>479</v>
      </c>
    </row>
    <row r="74" spans="2:9" x14ac:dyDescent="0.25">
      <c r="B74" t="s">
        <v>85</v>
      </c>
      <c r="C74" s="169">
        <v>207872.12361550421</v>
      </c>
      <c r="D74" s="167">
        <f>C74-F72</f>
        <v>184921.56361550422</v>
      </c>
      <c r="E74" s="168">
        <f t="shared" si="0"/>
        <v>10393.606180775212</v>
      </c>
    </row>
    <row r="75" spans="2:9" x14ac:dyDescent="0.25">
      <c r="B75" t="s">
        <v>142</v>
      </c>
      <c r="C75" s="169">
        <v>956157.06339874619</v>
      </c>
      <c r="D75" s="167">
        <f>C75-F73</f>
        <v>817833.06339874619</v>
      </c>
      <c r="E75" s="168">
        <f t="shared" si="0"/>
        <v>47807.853169937312</v>
      </c>
    </row>
    <row r="76" spans="2:9" x14ac:dyDescent="0.25">
      <c r="B76" t="s">
        <v>107</v>
      </c>
      <c r="C76" s="169">
        <v>4149358.8334163455</v>
      </c>
      <c r="D76" s="167">
        <f>C76-F77</f>
        <v>4036116.4834163454</v>
      </c>
      <c r="E76" s="168">
        <f t="shared" si="0"/>
        <v>207467.94167081729</v>
      </c>
      <c r="G76" s="168">
        <f>F77</f>
        <v>113242.35</v>
      </c>
    </row>
    <row r="77" spans="2:9" x14ac:dyDescent="0.25">
      <c r="B77" s="134" t="s">
        <v>421</v>
      </c>
      <c r="C77" s="169"/>
      <c r="D77" s="167"/>
      <c r="E77" s="168"/>
      <c r="F77" s="168">
        <v>113242.35</v>
      </c>
      <c r="G77" s="168">
        <f>F77</f>
        <v>113242.35</v>
      </c>
      <c r="I77" t="s">
        <v>479</v>
      </c>
    </row>
    <row r="78" spans="2:9" x14ac:dyDescent="0.25">
      <c r="B78" t="s">
        <v>137</v>
      </c>
      <c r="C78" s="169">
        <v>67429.589987176398</v>
      </c>
      <c r="D78" s="167">
        <f t="shared" ref="D78:D87" si="8">C78-F78</f>
        <v>67429.589987176398</v>
      </c>
      <c r="E78" s="168">
        <f t="shared" ref="E78:E138" si="9">MIN((C78*0.05),500000)</f>
        <v>3371.4794993588202</v>
      </c>
    </row>
    <row r="79" spans="2:9" x14ac:dyDescent="0.25">
      <c r="B79" t="s">
        <v>324</v>
      </c>
      <c r="C79" s="169">
        <v>226166.99</v>
      </c>
      <c r="D79" s="167">
        <f t="shared" si="8"/>
        <v>226166.99</v>
      </c>
      <c r="E79" s="168">
        <f t="shared" si="9"/>
        <v>11308.3495</v>
      </c>
    </row>
    <row r="80" spans="2:9" x14ac:dyDescent="0.25">
      <c r="B80" t="s">
        <v>138</v>
      </c>
      <c r="C80" s="169">
        <v>409318.46619800112</v>
      </c>
      <c r="D80" s="167">
        <f>C80-F77</f>
        <v>296076.11619800108</v>
      </c>
      <c r="E80" s="168">
        <f t="shared" si="9"/>
        <v>20465.923309900056</v>
      </c>
    </row>
    <row r="81" spans="2:9" x14ac:dyDescent="0.25">
      <c r="B81" t="s">
        <v>60</v>
      </c>
      <c r="C81" s="169">
        <v>769801.8661485773</v>
      </c>
      <c r="D81" s="167">
        <f t="shared" si="8"/>
        <v>769801.8661485773</v>
      </c>
      <c r="E81" s="168">
        <f t="shared" si="9"/>
        <v>38490.09330742887</v>
      </c>
    </row>
    <row r="82" spans="2:9" x14ac:dyDescent="0.25">
      <c r="B82" t="s">
        <v>94</v>
      </c>
      <c r="C82" s="169">
        <v>1293896.0528518932</v>
      </c>
      <c r="D82" s="167">
        <f t="shared" si="8"/>
        <v>1293896.0528518932</v>
      </c>
      <c r="E82" s="168">
        <f t="shared" si="9"/>
        <v>64694.802642594666</v>
      </c>
    </row>
    <row r="83" spans="2:9" x14ac:dyDescent="0.25">
      <c r="B83" t="s">
        <v>72</v>
      </c>
      <c r="C83" s="169">
        <v>261925.17181364671</v>
      </c>
      <c r="D83" s="167">
        <f>C83-F84</f>
        <v>170156.5718136467</v>
      </c>
      <c r="E83" s="168">
        <f t="shared" si="9"/>
        <v>13096.258590682337</v>
      </c>
      <c r="G83" s="168">
        <f>F84</f>
        <v>91768.6</v>
      </c>
    </row>
    <row r="84" spans="2:9" x14ac:dyDescent="0.25">
      <c r="B84" s="134" t="s">
        <v>502</v>
      </c>
      <c r="C84" s="169"/>
      <c r="D84" s="167"/>
      <c r="E84" s="168"/>
      <c r="F84" s="168">
        <v>91768.6</v>
      </c>
      <c r="G84" s="168">
        <f>F84</f>
        <v>91768.6</v>
      </c>
    </row>
    <row r="85" spans="2:9" x14ac:dyDescent="0.25">
      <c r="B85" t="s">
        <v>140</v>
      </c>
      <c r="C85" s="169">
        <v>538327.45398453134</v>
      </c>
      <c r="D85" s="167">
        <f t="shared" si="8"/>
        <v>538327.45398453134</v>
      </c>
      <c r="E85" s="168">
        <f t="shared" si="9"/>
        <v>26916.372699226569</v>
      </c>
    </row>
    <row r="86" spans="2:9" x14ac:dyDescent="0.25">
      <c r="B86" t="s">
        <v>185</v>
      </c>
      <c r="C86" s="169">
        <v>4013180.5137038669</v>
      </c>
      <c r="D86" s="167">
        <f t="shared" si="8"/>
        <v>4013180.5137038669</v>
      </c>
      <c r="E86" s="168">
        <f t="shared" si="9"/>
        <v>200659.02568519337</v>
      </c>
    </row>
    <row r="87" spans="2:9" x14ac:dyDescent="0.25">
      <c r="B87" t="s">
        <v>50</v>
      </c>
      <c r="C87" s="169">
        <v>6098127.2115609674</v>
      </c>
      <c r="D87" s="167">
        <f t="shared" si="8"/>
        <v>6098127.2115609674</v>
      </c>
      <c r="E87" s="168">
        <f t="shared" si="9"/>
        <v>304906.36057804839</v>
      </c>
    </row>
    <row r="88" spans="2:9" x14ac:dyDescent="0.25">
      <c r="B88" t="s">
        <v>48</v>
      </c>
      <c r="C88" s="169">
        <v>7575013.6232426716</v>
      </c>
      <c r="D88" s="167">
        <f>C88-G88</f>
        <v>7272406.2332426719</v>
      </c>
      <c r="E88" s="168">
        <f t="shared" si="9"/>
        <v>378750.68116213358</v>
      </c>
      <c r="G88" s="168">
        <f>F89+F90</f>
        <v>302607.39</v>
      </c>
    </row>
    <row r="89" spans="2:9" x14ac:dyDescent="0.25">
      <c r="B89" s="134" t="s">
        <v>422</v>
      </c>
      <c r="C89" s="169"/>
      <c r="D89" s="167"/>
      <c r="E89" s="168"/>
      <c r="F89" s="168">
        <v>203827.61</v>
      </c>
      <c r="G89" s="168">
        <f>F89</f>
        <v>203827.61</v>
      </c>
      <c r="I89" t="s">
        <v>479</v>
      </c>
    </row>
    <row r="90" spans="2:9" x14ac:dyDescent="0.25">
      <c r="B90" s="134" t="s">
        <v>423</v>
      </c>
      <c r="C90" s="169"/>
      <c r="D90" s="167"/>
      <c r="E90" s="168"/>
      <c r="F90" s="168">
        <v>98779.78</v>
      </c>
      <c r="G90" s="168">
        <f>F90</f>
        <v>98779.78</v>
      </c>
      <c r="I90" t="s">
        <v>479</v>
      </c>
    </row>
    <row r="91" spans="2:9" x14ac:dyDescent="0.25">
      <c r="B91" s="213" t="s">
        <v>424</v>
      </c>
      <c r="C91" s="169">
        <f>SUM(H92:H98)</f>
        <v>190661.4621300532</v>
      </c>
      <c r="D91" s="167">
        <f>C91-F91</f>
        <v>190661.4621300532</v>
      </c>
      <c r="E91" s="168">
        <f t="shared" si="9"/>
        <v>9533.0731065026612</v>
      </c>
    </row>
    <row r="92" spans="2:9" x14ac:dyDescent="0.25">
      <c r="B92" s="134" t="s">
        <v>425</v>
      </c>
      <c r="D92" s="167"/>
      <c r="E92" s="168"/>
      <c r="H92" s="168">
        <v>26924.641256556453</v>
      </c>
    </row>
    <row r="93" spans="2:9" x14ac:dyDescent="0.25">
      <c r="B93" s="134" t="s">
        <v>426</v>
      </c>
      <c r="D93" s="167"/>
      <c r="E93" s="168"/>
      <c r="H93" s="168">
        <v>26924.641256556453</v>
      </c>
    </row>
    <row r="94" spans="2:9" x14ac:dyDescent="0.25">
      <c r="B94" s="134" t="s">
        <v>427</v>
      </c>
      <c r="D94" s="167"/>
      <c r="E94" s="168"/>
      <c r="H94" s="168">
        <v>26924.641256556453</v>
      </c>
    </row>
    <row r="95" spans="2:9" x14ac:dyDescent="0.25">
      <c r="B95" s="134" t="s">
        <v>428</v>
      </c>
      <c r="D95" s="167"/>
      <c r="E95" s="168"/>
      <c r="H95" s="168">
        <v>29113.614590714493</v>
      </c>
    </row>
    <row r="96" spans="2:9" x14ac:dyDescent="0.25">
      <c r="B96" s="134" t="s">
        <v>429</v>
      </c>
      <c r="D96" s="167"/>
      <c r="E96" s="168"/>
      <c r="H96" s="168">
        <v>26924.641256556453</v>
      </c>
    </row>
    <row r="97" spans="2:9" x14ac:dyDescent="0.25">
      <c r="B97" s="134" t="s">
        <v>430</v>
      </c>
      <c r="D97" s="167"/>
      <c r="E97" s="168"/>
      <c r="H97" s="168">
        <v>26924.641256556453</v>
      </c>
    </row>
    <row r="98" spans="2:9" x14ac:dyDescent="0.25">
      <c r="B98" s="134" t="s">
        <v>431</v>
      </c>
      <c r="D98" s="167"/>
      <c r="E98" s="168"/>
      <c r="H98" s="168">
        <v>26924.641256556453</v>
      </c>
    </row>
    <row r="99" spans="2:9" x14ac:dyDescent="0.25">
      <c r="B99" s="217" t="s">
        <v>187</v>
      </c>
      <c r="C99" s="169">
        <v>608148.27214318595</v>
      </c>
      <c r="D99" s="167">
        <f t="shared" ref="D99:D134" si="10">C99-F99</f>
        <v>608148.27214318595</v>
      </c>
      <c r="E99" s="168">
        <f t="shared" si="9"/>
        <v>30407.413607159298</v>
      </c>
    </row>
    <row r="100" spans="2:9" x14ac:dyDescent="0.25">
      <c r="B100" t="s">
        <v>143</v>
      </c>
      <c r="C100" s="169">
        <v>138216.22046836105</v>
      </c>
      <c r="D100" s="167">
        <f t="shared" si="10"/>
        <v>138216.22046836105</v>
      </c>
      <c r="E100" s="168">
        <f t="shared" si="9"/>
        <v>6910.8110234180531</v>
      </c>
    </row>
    <row r="101" spans="2:9" x14ac:dyDescent="0.25">
      <c r="B101" t="s">
        <v>144</v>
      </c>
      <c r="C101" s="169">
        <v>99963.779622182119</v>
      </c>
      <c r="D101" s="167">
        <f t="shared" si="10"/>
        <v>99963.779622182119</v>
      </c>
      <c r="E101" s="168">
        <f t="shared" si="9"/>
        <v>4998.188981109106</v>
      </c>
    </row>
    <row r="102" spans="2:9" x14ac:dyDescent="0.25">
      <c r="B102" t="s">
        <v>145</v>
      </c>
      <c r="C102" s="169">
        <v>133167.39093004027</v>
      </c>
      <c r="D102" s="167">
        <f t="shared" si="10"/>
        <v>133167.39093004027</v>
      </c>
      <c r="E102" s="168">
        <f t="shared" si="9"/>
        <v>6658.3695465020137</v>
      </c>
    </row>
    <row r="103" spans="2:9" x14ac:dyDescent="0.25">
      <c r="B103" t="s">
        <v>146</v>
      </c>
      <c r="C103" s="169">
        <v>571549.33803673624</v>
      </c>
      <c r="D103" s="167">
        <f t="shared" si="10"/>
        <v>571549.33803673624</v>
      </c>
      <c r="E103" s="168">
        <f t="shared" si="9"/>
        <v>28577.466901836815</v>
      </c>
    </row>
    <row r="104" spans="2:9" x14ac:dyDescent="0.25">
      <c r="B104" t="s">
        <v>190</v>
      </c>
      <c r="C104" s="169">
        <v>177575.65568510667</v>
      </c>
      <c r="D104" s="167">
        <f t="shared" si="10"/>
        <v>177575.65568510667</v>
      </c>
      <c r="E104" s="168">
        <f t="shared" si="9"/>
        <v>8878.7827842553343</v>
      </c>
    </row>
    <row r="105" spans="2:9" x14ac:dyDescent="0.25">
      <c r="B105" t="s">
        <v>148</v>
      </c>
      <c r="C105" s="169">
        <v>3947361.1818794794</v>
      </c>
      <c r="D105" s="167">
        <f t="shared" si="10"/>
        <v>3947361.1818794794</v>
      </c>
      <c r="E105" s="168">
        <f t="shared" si="9"/>
        <v>197368.05909397398</v>
      </c>
    </row>
    <row r="106" spans="2:9" x14ac:dyDescent="0.25">
      <c r="B106" t="s">
        <v>45</v>
      </c>
      <c r="C106" s="169">
        <v>13625585.460190495</v>
      </c>
      <c r="D106" s="167">
        <f>C106-F107</f>
        <v>13500667.240190495</v>
      </c>
      <c r="E106" s="168">
        <f t="shared" si="9"/>
        <v>500000</v>
      </c>
      <c r="G106" s="168">
        <f>F107</f>
        <v>124918.22</v>
      </c>
    </row>
    <row r="107" spans="2:9" x14ac:dyDescent="0.25">
      <c r="B107" s="134" t="s">
        <v>432</v>
      </c>
      <c r="C107" s="169"/>
      <c r="D107" s="167"/>
      <c r="E107" s="168"/>
      <c r="F107" s="168">
        <v>124918.22</v>
      </c>
      <c r="G107" s="168">
        <f>F107</f>
        <v>124918.22</v>
      </c>
      <c r="I107" t="s">
        <v>479</v>
      </c>
    </row>
    <row r="108" spans="2:9" x14ac:dyDescent="0.25">
      <c r="B108" t="s">
        <v>149</v>
      </c>
      <c r="C108" s="169">
        <v>2770241.8214970022</v>
      </c>
      <c r="D108" s="167">
        <f t="shared" si="10"/>
        <v>2770241.8214970022</v>
      </c>
      <c r="E108" s="168">
        <f t="shared" si="9"/>
        <v>138512.09107485012</v>
      </c>
    </row>
    <row r="109" spans="2:9" x14ac:dyDescent="0.25">
      <c r="B109" t="s">
        <v>496</v>
      </c>
      <c r="C109" s="169">
        <v>174428.6</v>
      </c>
      <c r="D109" s="167"/>
      <c r="E109" s="168">
        <f t="shared" si="9"/>
        <v>8721.43</v>
      </c>
    </row>
    <row r="110" spans="2:9" x14ac:dyDescent="0.25">
      <c r="B110" t="s">
        <v>150</v>
      </c>
      <c r="C110" s="169">
        <v>119141.53756026231</v>
      </c>
      <c r="D110" s="167">
        <f>C110</f>
        <v>119141.53756026231</v>
      </c>
      <c r="E110" s="168">
        <f t="shared" si="9"/>
        <v>5957.0768780131157</v>
      </c>
    </row>
    <row r="111" spans="2:9" x14ac:dyDescent="0.25">
      <c r="B111" t="s">
        <v>151</v>
      </c>
      <c r="C111" s="169">
        <v>239460.4358333913</v>
      </c>
      <c r="D111" s="167">
        <f t="shared" si="10"/>
        <v>239460.4358333913</v>
      </c>
      <c r="E111" s="168">
        <f t="shared" si="9"/>
        <v>11973.021791669566</v>
      </c>
    </row>
    <row r="112" spans="2:9" x14ac:dyDescent="0.25">
      <c r="B112" t="s">
        <v>152</v>
      </c>
      <c r="C112" s="169">
        <v>183931.80959582445</v>
      </c>
      <c r="D112" s="167">
        <f>C112-F107</f>
        <v>59013.589595824451</v>
      </c>
      <c r="E112" s="168">
        <f t="shared" si="9"/>
        <v>9196.5904797912226</v>
      </c>
    </row>
    <row r="113" spans="2:5" x14ac:dyDescent="0.25">
      <c r="B113" t="s">
        <v>52</v>
      </c>
      <c r="C113" s="169">
        <v>2141766.4683414847</v>
      </c>
      <c r="D113" s="167">
        <f t="shared" si="10"/>
        <v>2141766.4683414847</v>
      </c>
      <c r="E113" s="168">
        <f t="shared" si="9"/>
        <v>107088.32341707424</v>
      </c>
    </row>
    <row r="114" spans="2:5" x14ac:dyDescent="0.25">
      <c r="B114" t="s">
        <v>108</v>
      </c>
      <c r="C114" s="169">
        <v>598096.4419735932</v>
      </c>
      <c r="D114" s="167">
        <f t="shared" si="10"/>
        <v>598096.4419735932</v>
      </c>
      <c r="E114" s="168">
        <f t="shared" si="9"/>
        <v>29904.822098679662</v>
      </c>
    </row>
    <row r="115" spans="2:5" x14ac:dyDescent="0.25">
      <c r="B115" t="s">
        <v>154</v>
      </c>
      <c r="C115" s="169">
        <v>168965.58620552</v>
      </c>
      <c r="D115" s="167">
        <f t="shared" si="10"/>
        <v>168965.58620552</v>
      </c>
      <c r="E115" s="168">
        <f t="shared" si="9"/>
        <v>8448.2793102760006</v>
      </c>
    </row>
    <row r="116" spans="2:5" x14ac:dyDescent="0.25">
      <c r="B116" t="s">
        <v>155</v>
      </c>
      <c r="C116" s="169">
        <v>446077.76346777496</v>
      </c>
      <c r="D116" s="167">
        <f t="shared" si="10"/>
        <v>446077.76346777496</v>
      </c>
      <c r="E116" s="168">
        <f t="shared" si="9"/>
        <v>22303.88817338875</v>
      </c>
    </row>
    <row r="117" spans="2:5" x14ac:dyDescent="0.25">
      <c r="B117" t="s">
        <v>156</v>
      </c>
      <c r="C117" s="169">
        <v>93390.810662491713</v>
      </c>
      <c r="D117" s="167">
        <f t="shared" si="10"/>
        <v>93390.810662491713</v>
      </c>
      <c r="E117" s="168">
        <f t="shared" si="9"/>
        <v>4669.5405331245856</v>
      </c>
    </row>
    <row r="118" spans="2:5" x14ac:dyDescent="0.25">
      <c r="B118" t="s">
        <v>493</v>
      </c>
      <c r="C118" s="169">
        <v>199916.81</v>
      </c>
      <c r="D118" s="167">
        <f t="shared" si="10"/>
        <v>199916.81</v>
      </c>
      <c r="E118" s="168">
        <f t="shared" si="9"/>
        <v>9995.8405000000002</v>
      </c>
    </row>
    <row r="119" spans="2:5" x14ac:dyDescent="0.25">
      <c r="B119" t="s">
        <v>157</v>
      </c>
      <c r="C119" s="169">
        <v>240474.7409188083</v>
      </c>
      <c r="D119" s="167">
        <f>C119-F119</f>
        <v>240474.7409188083</v>
      </c>
      <c r="E119" s="168">
        <f t="shared" si="9"/>
        <v>12023.737045940416</v>
      </c>
    </row>
    <row r="120" spans="2:5" x14ac:dyDescent="0.25">
      <c r="B120" t="s">
        <v>158</v>
      </c>
      <c r="C120" s="169">
        <v>1100215.6922455898</v>
      </c>
      <c r="D120" s="167">
        <f t="shared" si="10"/>
        <v>1100215.6922455898</v>
      </c>
      <c r="E120" s="168">
        <f t="shared" si="9"/>
        <v>55010.784612279494</v>
      </c>
    </row>
    <row r="121" spans="2:5" x14ac:dyDescent="0.25">
      <c r="B121" t="s">
        <v>159</v>
      </c>
      <c r="C121" s="169">
        <v>26924.641256556453</v>
      </c>
      <c r="D121" s="167">
        <f t="shared" si="10"/>
        <v>26924.641256556453</v>
      </c>
      <c r="E121" s="168">
        <f t="shared" si="9"/>
        <v>1346.2320628278228</v>
      </c>
    </row>
    <row r="122" spans="2:5" x14ac:dyDescent="0.25">
      <c r="B122" t="s">
        <v>325</v>
      </c>
      <c r="C122" s="169">
        <v>117042.76</v>
      </c>
      <c r="D122" s="167">
        <f t="shared" si="10"/>
        <v>117042.76</v>
      </c>
      <c r="E122" s="168">
        <f t="shared" si="9"/>
        <v>5852.1379999999999</v>
      </c>
    </row>
    <row r="123" spans="2:5" x14ac:dyDescent="0.25">
      <c r="B123" t="s">
        <v>317</v>
      </c>
      <c r="C123" s="169">
        <v>310262.06</v>
      </c>
      <c r="D123" s="167">
        <f>C123-F123</f>
        <v>310262.06</v>
      </c>
      <c r="E123" s="168">
        <f t="shared" si="9"/>
        <v>15513.103000000001</v>
      </c>
    </row>
    <row r="124" spans="2:5" x14ac:dyDescent="0.25">
      <c r="B124" t="s">
        <v>43</v>
      </c>
      <c r="C124" s="169">
        <v>4756348.4305476965</v>
      </c>
      <c r="D124" s="167">
        <f t="shared" si="10"/>
        <v>4756348.4305476965</v>
      </c>
      <c r="E124" s="168">
        <f t="shared" si="9"/>
        <v>237817.42152738484</v>
      </c>
    </row>
    <row r="125" spans="2:5" x14ac:dyDescent="0.25">
      <c r="B125" t="s">
        <v>64</v>
      </c>
      <c r="C125" s="169">
        <v>2018369.8681756007</v>
      </c>
      <c r="D125" s="167">
        <f>C125-F125</f>
        <v>2018369.8681756007</v>
      </c>
      <c r="E125" s="168">
        <f t="shared" si="9"/>
        <v>100918.49340878004</v>
      </c>
    </row>
    <row r="126" spans="2:5" x14ac:dyDescent="0.25">
      <c r="B126" t="s">
        <v>83</v>
      </c>
      <c r="C126" s="169">
        <v>367464.8652546393</v>
      </c>
      <c r="D126" s="167">
        <f t="shared" si="10"/>
        <v>367464.8652546393</v>
      </c>
      <c r="E126" s="168">
        <f t="shared" si="9"/>
        <v>18373.243262731965</v>
      </c>
    </row>
    <row r="127" spans="2:5" x14ac:dyDescent="0.25">
      <c r="B127" t="s">
        <v>65</v>
      </c>
      <c r="C127" s="169">
        <v>1517715.1568401132</v>
      </c>
      <c r="D127" s="167">
        <f t="shared" si="10"/>
        <v>1517715.1568401132</v>
      </c>
      <c r="E127" s="168">
        <f t="shared" si="9"/>
        <v>75885.757842005667</v>
      </c>
    </row>
    <row r="128" spans="2:5" x14ac:dyDescent="0.25">
      <c r="B128" t="s">
        <v>161</v>
      </c>
      <c r="C128" s="169">
        <v>555731.11129850917</v>
      </c>
      <c r="D128" s="167">
        <f t="shared" si="10"/>
        <v>555731.11129850917</v>
      </c>
      <c r="E128" s="168">
        <f t="shared" si="9"/>
        <v>27786.55556492546</v>
      </c>
    </row>
    <row r="129" spans="2:9" x14ac:dyDescent="0.25">
      <c r="B129" t="s">
        <v>162</v>
      </c>
      <c r="C129" s="169">
        <v>4285770.1589742582</v>
      </c>
      <c r="D129" s="167">
        <f>C129-F129</f>
        <v>4285770.1589742582</v>
      </c>
      <c r="E129" s="168">
        <f t="shared" si="9"/>
        <v>214288.50794871291</v>
      </c>
      <c r="G129" s="168">
        <f>F130</f>
        <v>8945.7099999999991</v>
      </c>
    </row>
    <row r="130" spans="2:9" x14ac:dyDescent="0.25">
      <c r="B130" s="134" t="s">
        <v>480</v>
      </c>
      <c r="C130" s="169"/>
      <c r="D130" s="167"/>
      <c r="E130" s="168"/>
      <c r="F130" s="168">
        <v>8945.7099999999991</v>
      </c>
      <c r="G130" s="168">
        <f>F130</f>
        <v>8945.7099999999991</v>
      </c>
    </row>
    <row r="131" spans="2:9" x14ac:dyDescent="0.25">
      <c r="B131" t="s">
        <v>163</v>
      </c>
      <c r="C131" s="169">
        <v>2744979.6691394732</v>
      </c>
      <c r="D131" s="167">
        <f>C131-F132</f>
        <v>2556719.8891394734</v>
      </c>
      <c r="E131" s="168">
        <f t="shared" si="9"/>
        <v>137248.98345697366</v>
      </c>
      <c r="G131" s="168">
        <f>F132</f>
        <v>188259.78</v>
      </c>
    </row>
    <row r="132" spans="2:9" x14ac:dyDescent="0.25">
      <c r="B132" s="134" t="s">
        <v>501</v>
      </c>
      <c r="C132" s="169"/>
      <c r="D132" s="167"/>
      <c r="E132" s="168"/>
      <c r="F132" s="168">
        <v>188259.78</v>
      </c>
      <c r="G132" s="168">
        <f>F132</f>
        <v>188259.78</v>
      </c>
    </row>
    <row r="133" spans="2:9" x14ac:dyDescent="0.25">
      <c r="B133" t="s">
        <v>483</v>
      </c>
      <c r="C133" s="169">
        <v>124854.95</v>
      </c>
      <c r="D133" s="167">
        <f>C133-F133</f>
        <v>124854.95</v>
      </c>
      <c r="E133" s="168">
        <f t="shared" si="9"/>
        <v>6242.7475000000004</v>
      </c>
    </row>
    <row r="134" spans="2:9" x14ac:dyDescent="0.25">
      <c r="B134" t="s">
        <v>321</v>
      </c>
      <c r="C134" s="169">
        <v>26050.94</v>
      </c>
      <c r="D134" s="167">
        <f t="shared" si="10"/>
        <v>26050.94</v>
      </c>
      <c r="E134" s="168">
        <f t="shared" si="9"/>
        <v>1302.547</v>
      </c>
    </row>
    <row r="135" spans="2:9" x14ac:dyDescent="0.25">
      <c r="B135" t="s">
        <v>36</v>
      </c>
      <c r="C135" s="169">
        <v>3732847.5570052206</v>
      </c>
      <c r="D135" s="167">
        <f>C135-F136</f>
        <v>3549653.6470052204</v>
      </c>
      <c r="E135" s="168">
        <f t="shared" si="9"/>
        <v>186642.37785026105</v>
      </c>
      <c r="G135" s="168">
        <f>F136</f>
        <v>183193.91</v>
      </c>
    </row>
    <row r="136" spans="2:9" x14ac:dyDescent="0.25">
      <c r="B136" s="134" t="s">
        <v>433</v>
      </c>
      <c r="C136" s="169"/>
      <c r="D136" s="167"/>
      <c r="E136" s="168"/>
      <c r="F136" s="168">
        <v>183193.91</v>
      </c>
      <c r="G136" s="168">
        <f>F136</f>
        <v>183193.91</v>
      </c>
      <c r="I136" t="s">
        <v>479</v>
      </c>
    </row>
    <row r="137" spans="2:9" x14ac:dyDescent="0.25">
      <c r="B137" t="s">
        <v>164</v>
      </c>
      <c r="C137" s="169">
        <v>68490.902428428308</v>
      </c>
      <c r="D137" s="167">
        <f>C137-F137</f>
        <v>68490.902428428308</v>
      </c>
      <c r="E137" s="168">
        <f t="shared" si="9"/>
        <v>3424.5451214214154</v>
      </c>
    </row>
    <row r="138" spans="2:9" x14ac:dyDescent="0.25">
      <c r="B138" t="s">
        <v>165</v>
      </c>
      <c r="C138" s="169">
        <v>594768.0178214577</v>
      </c>
      <c r="D138" s="167">
        <f>C138-G138</f>
        <v>313172.61782145768</v>
      </c>
      <c r="E138" s="168">
        <f t="shared" si="9"/>
        <v>29738.400891072888</v>
      </c>
      <c r="G138" s="168">
        <f>F139+F140</f>
        <v>281595.40000000002</v>
      </c>
    </row>
    <row r="139" spans="2:9" x14ac:dyDescent="0.25">
      <c r="B139" s="134" t="s">
        <v>434</v>
      </c>
      <c r="C139" s="169"/>
      <c r="D139" s="167"/>
      <c r="E139" s="168"/>
      <c r="F139" s="168">
        <v>73400.61</v>
      </c>
      <c r="G139" s="168">
        <f>F139</f>
        <v>73400.61</v>
      </c>
      <c r="I139" t="s">
        <v>479</v>
      </c>
    </row>
    <row r="140" spans="2:9" x14ac:dyDescent="0.25">
      <c r="B140" s="134" t="s">
        <v>435</v>
      </c>
      <c r="C140" s="169"/>
      <c r="D140" s="167"/>
      <c r="E140" s="168"/>
      <c r="F140" s="168">
        <v>208194.79</v>
      </c>
      <c r="G140" s="168">
        <f>F140</f>
        <v>208194.79</v>
      </c>
      <c r="I140" t="s">
        <v>479</v>
      </c>
    </row>
    <row r="141" spans="2:9" x14ac:dyDescent="0.25">
      <c r="B141" s="1" t="s">
        <v>492</v>
      </c>
      <c r="C141" s="169">
        <v>135934.44</v>
      </c>
      <c r="D141" s="167">
        <f>C141-F141</f>
        <v>135934.44</v>
      </c>
      <c r="E141" s="168">
        <f t="shared" ref="E141:E203" si="11">MIN((C141*0.05),500000)</f>
        <v>6796.7220000000007</v>
      </c>
    </row>
    <row r="142" spans="2:9" x14ac:dyDescent="0.25">
      <c r="B142" t="s">
        <v>298</v>
      </c>
      <c r="C142" s="169">
        <v>26924.641256556453</v>
      </c>
      <c r="D142" s="167">
        <f t="shared" ref="D142:D146" si="12">C142-F142</f>
        <v>26924.641256556453</v>
      </c>
      <c r="E142" s="168">
        <f t="shared" si="11"/>
        <v>1346.2320628278228</v>
      </c>
    </row>
    <row r="143" spans="2:9" x14ac:dyDescent="0.25">
      <c r="B143" t="s">
        <v>166</v>
      </c>
      <c r="C143" s="169">
        <v>167638.6860351144</v>
      </c>
      <c r="D143" s="167">
        <f>C143-G138</f>
        <v>-113956.71396488562</v>
      </c>
      <c r="E143" s="168">
        <f t="shared" si="11"/>
        <v>8381.9343017557203</v>
      </c>
    </row>
    <row r="144" spans="2:9" x14ac:dyDescent="0.25">
      <c r="B144" t="s">
        <v>167</v>
      </c>
      <c r="C144" s="169">
        <v>263909.94866853231</v>
      </c>
      <c r="D144" s="167">
        <f>C144-F139</f>
        <v>190509.33866853232</v>
      </c>
      <c r="E144" s="168">
        <f t="shared" si="11"/>
        <v>13195.497433426615</v>
      </c>
    </row>
    <row r="145" spans="2:9" x14ac:dyDescent="0.25">
      <c r="B145" t="s">
        <v>121</v>
      </c>
      <c r="C145" s="169">
        <v>219120.43099325581</v>
      </c>
      <c r="D145" s="167">
        <f>C145-F140</f>
        <v>10925.640993255802</v>
      </c>
      <c r="E145" s="168">
        <f t="shared" si="11"/>
        <v>10956.021549662792</v>
      </c>
    </row>
    <row r="146" spans="2:9" x14ac:dyDescent="0.25">
      <c r="B146" t="s">
        <v>169</v>
      </c>
      <c r="C146" s="169">
        <v>4355710.5225400925</v>
      </c>
      <c r="D146" s="167">
        <f t="shared" si="12"/>
        <v>4355710.5225400925</v>
      </c>
      <c r="E146" s="168">
        <f t="shared" si="11"/>
        <v>217785.52612700465</v>
      </c>
    </row>
    <row r="147" spans="2:9" x14ac:dyDescent="0.25">
      <c r="B147" t="s">
        <v>78</v>
      </c>
      <c r="C147" s="169">
        <v>9350050.1650970932</v>
      </c>
      <c r="D147" s="167">
        <f>C147-G147</f>
        <v>8609547.045097094</v>
      </c>
      <c r="E147" s="168">
        <f t="shared" si="11"/>
        <v>467502.50825485471</v>
      </c>
      <c r="G147" s="168">
        <f>F148+F149+F150</f>
        <v>740503.12</v>
      </c>
    </row>
    <row r="148" spans="2:9" x14ac:dyDescent="0.25">
      <c r="B148" s="134" t="s">
        <v>436</v>
      </c>
      <c r="C148" s="169"/>
      <c r="D148" s="167"/>
      <c r="E148" s="168"/>
      <c r="F148" s="168">
        <v>129189.91</v>
      </c>
      <c r="G148" s="168">
        <f>F148</f>
        <v>129189.91</v>
      </c>
      <c r="I148" t="s">
        <v>479</v>
      </c>
    </row>
    <row r="149" spans="2:9" x14ac:dyDescent="0.25">
      <c r="B149" s="134" t="s">
        <v>437</v>
      </c>
      <c r="C149" s="169"/>
      <c r="D149" s="167"/>
      <c r="E149" s="168"/>
      <c r="F149" s="168">
        <v>546189.23</v>
      </c>
      <c r="G149" s="168">
        <f>F149</f>
        <v>546189.23</v>
      </c>
      <c r="I149" t="s">
        <v>479</v>
      </c>
    </row>
    <row r="150" spans="2:9" x14ac:dyDescent="0.25">
      <c r="B150" s="134" t="s">
        <v>438</v>
      </c>
      <c r="C150" s="169"/>
      <c r="D150" s="167"/>
      <c r="E150" s="168"/>
      <c r="F150" s="168">
        <v>65123.98</v>
      </c>
      <c r="G150" s="168">
        <f>F150</f>
        <v>65123.98</v>
      </c>
      <c r="I150" t="s">
        <v>479</v>
      </c>
    </row>
    <row r="151" spans="2:9" x14ac:dyDescent="0.25">
      <c r="B151" t="s">
        <v>93</v>
      </c>
      <c r="C151" s="169">
        <v>1226216.6052616548</v>
      </c>
      <c r="D151" s="167">
        <f>C151-G147</f>
        <v>485713.48526165483</v>
      </c>
      <c r="E151" s="168">
        <f t="shared" si="11"/>
        <v>61310.830263082746</v>
      </c>
    </row>
    <row r="152" spans="2:9" x14ac:dyDescent="0.25">
      <c r="B152" t="s">
        <v>96</v>
      </c>
      <c r="C152" s="169">
        <v>130218.06815252043</v>
      </c>
      <c r="D152" s="167">
        <f>C152-F148</f>
        <v>1028.1581525204238</v>
      </c>
      <c r="E152" s="168">
        <f t="shared" si="11"/>
        <v>6510.9034076260214</v>
      </c>
    </row>
    <row r="153" spans="2:9" x14ac:dyDescent="0.25">
      <c r="B153" t="s">
        <v>193</v>
      </c>
      <c r="C153" s="169">
        <v>1781996.7732565338</v>
      </c>
      <c r="D153" s="167">
        <f>C153-G153</f>
        <v>1610358.9232565337</v>
      </c>
      <c r="E153" s="168">
        <f t="shared" si="11"/>
        <v>89099.838662826689</v>
      </c>
      <c r="G153" s="168">
        <f>F154+F155</f>
        <v>171637.85</v>
      </c>
    </row>
    <row r="154" spans="2:9" x14ac:dyDescent="0.25">
      <c r="B154" s="134" t="s">
        <v>439</v>
      </c>
      <c r="C154" s="169"/>
      <c r="D154" s="167"/>
      <c r="E154" s="168"/>
      <c r="F154" s="168">
        <v>120436.61</v>
      </c>
      <c r="G154" s="168">
        <f>F154</f>
        <v>120436.61</v>
      </c>
      <c r="I154" t="s">
        <v>479</v>
      </c>
    </row>
    <row r="155" spans="2:9" x14ac:dyDescent="0.25">
      <c r="B155" s="134" t="s">
        <v>440</v>
      </c>
      <c r="C155" s="169"/>
      <c r="D155" s="167"/>
      <c r="E155" s="168"/>
      <c r="F155" s="168">
        <v>51201.24</v>
      </c>
      <c r="G155" s="168">
        <f>F155</f>
        <v>51201.24</v>
      </c>
      <c r="I155" t="s">
        <v>479</v>
      </c>
    </row>
    <row r="156" spans="2:9" x14ac:dyDescent="0.25">
      <c r="B156" t="s">
        <v>172</v>
      </c>
      <c r="C156" s="169">
        <v>291906.0290992349</v>
      </c>
      <c r="D156" s="167">
        <f t="shared" ref="D156:D166" si="13">C156-F156</f>
        <v>291906.0290992349</v>
      </c>
      <c r="E156" s="168">
        <f t="shared" si="11"/>
        <v>14595.301454961746</v>
      </c>
    </row>
    <row r="157" spans="2:9" x14ac:dyDescent="0.25">
      <c r="B157" t="s">
        <v>173</v>
      </c>
      <c r="C157" s="169">
        <v>76878.412823388251</v>
      </c>
      <c r="D157" s="167">
        <f>C157-G153</f>
        <v>-94759.437176611755</v>
      </c>
      <c r="E157" s="168">
        <f t="shared" si="11"/>
        <v>3843.9206411694126</v>
      </c>
    </row>
    <row r="158" spans="2:9" x14ac:dyDescent="0.25">
      <c r="B158" t="s">
        <v>55</v>
      </c>
      <c r="C158" s="169">
        <v>1730080.8953827717</v>
      </c>
      <c r="D158" s="167">
        <f>C158-F154</f>
        <v>1609644.2853827716</v>
      </c>
      <c r="E158" s="168">
        <f t="shared" si="11"/>
        <v>86504.044769138593</v>
      </c>
    </row>
    <row r="159" spans="2:9" x14ac:dyDescent="0.25">
      <c r="B159" t="s">
        <v>174</v>
      </c>
      <c r="C159" s="169">
        <v>525527.91032542451</v>
      </c>
      <c r="D159" s="167">
        <f>C159-F155</f>
        <v>474326.67032542452</v>
      </c>
      <c r="E159" s="168">
        <f t="shared" si="11"/>
        <v>26276.395516271226</v>
      </c>
    </row>
    <row r="160" spans="2:9" x14ac:dyDescent="0.25">
      <c r="B160" t="s">
        <v>71</v>
      </c>
      <c r="C160" s="169">
        <v>391376.10066176194</v>
      </c>
      <c r="D160" s="167">
        <f t="shared" si="13"/>
        <v>391376.10066176194</v>
      </c>
      <c r="E160" s="168">
        <f t="shared" si="11"/>
        <v>19568.805033088098</v>
      </c>
    </row>
    <row r="161" spans="2:9" x14ac:dyDescent="0.25">
      <c r="B161" t="s">
        <v>175</v>
      </c>
      <c r="C161" s="169">
        <v>574707.00611402257</v>
      </c>
      <c r="D161" s="167">
        <f t="shared" si="13"/>
        <v>574707.00611402257</v>
      </c>
      <c r="E161" s="168">
        <f t="shared" si="11"/>
        <v>28735.350305701129</v>
      </c>
    </row>
    <row r="162" spans="2:9" x14ac:dyDescent="0.25">
      <c r="B162" t="s">
        <v>487</v>
      </c>
      <c r="C162" s="169">
        <v>57990.29</v>
      </c>
      <c r="D162" s="167">
        <f>C162-F162</f>
        <v>57990.29</v>
      </c>
      <c r="E162" s="168">
        <f t="shared" si="11"/>
        <v>2899.5145000000002</v>
      </c>
    </row>
    <row r="163" spans="2:9" x14ac:dyDescent="0.25">
      <c r="B163" t="s">
        <v>199</v>
      </c>
      <c r="C163" s="169">
        <v>382057.8592678454</v>
      </c>
      <c r="D163" s="167">
        <f t="shared" si="13"/>
        <v>382057.8592678454</v>
      </c>
      <c r="E163" s="168">
        <f t="shared" si="11"/>
        <v>19102.892963392271</v>
      </c>
    </row>
    <row r="164" spans="2:9" x14ac:dyDescent="0.25">
      <c r="B164" t="s">
        <v>177</v>
      </c>
      <c r="C164" s="169">
        <v>3151853.8625549218</v>
      </c>
      <c r="D164" s="167">
        <f t="shared" si="13"/>
        <v>3151853.8625549218</v>
      </c>
      <c r="E164" s="168">
        <f t="shared" si="11"/>
        <v>157592.69312774611</v>
      </c>
    </row>
    <row r="165" spans="2:9" x14ac:dyDescent="0.25">
      <c r="B165" t="s">
        <v>326</v>
      </c>
      <c r="C165" s="169">
        <v>50439.28</v>
      </c>
      <c r="D165" s="167">
        <f t="shared" si="13"/>
        <v>50439.28</v>
      </c>
      <c r="E165" s="168">
        <f t="shared" si="11"/>
        <v>2521.9639999999999</v>
      </c>
    </row>
    <row r="166" spans="2:9" x14ac:dyDescent="0.25">
      <c r="B166" t="s">
        <v>86</v>
      </c>
      <c r="C166" s="169">
        <v>1606451.5791086748</v>
      </c>
      <c r="D166" s="167">
        <f t="shared" si="13"/>
        <v>1606451.5791086748</v>
      </c>
      <c r="E166" s="168">
        <f t="shared" si="11"/>
        <v>80322.578955433739</v>
      </c>
    </row>
    <row r="167" spans="2:9" x14ac:dyDescent="0.25">
      <c r="B167" t="s">
        <v>46</v>
      </c>
      <c r="C167" s="169">
        <v>10972066.070528004</v>
      </c>
      <c r="D167" s="167">
        <f>C167-G167</f>
        <v>10524128.890528005</v>
      </c>
      <c r="E167" s="168">
        <f t="shared" si="11"/>
        <v>500000</v>
      </c>
      <c r="G167" s="168">
        <f>F168+F169+F170</f>
        <v>447937.18</v>
      </c>
    </row>
    <row r="168" spans="2:9" x14ac:dyDescent="0.25">
      <c r="B168" s="134" t="s">
        <v>441</v>
      </c>
      <c r="C168" s="169"/>
      <c r="D168" s="167"/>
      <c r="E168" s="168"/>
      <c r="F168" s="168">
        <v>160597.41</v>
      </c>
      <c r="G168" s="168">
        <f>F168</f>
        <v>160597.41</v>
      </c>
      <c r="I168" t="s">
        <v>479</v>
      </c>
    </row>
    <row r="169" spans="2:9" x14ac:dyDescent="0.25">
      <c r="B169" s="134" t="s">
        <v>442</v>
      </c>
      <c r="C169" s="169"/>
      <c r="D169" s="167"/>
      <c r="E169" s="168"/>
      <c r="F169" s="168">
        <v>162397.32</v>
      </c>
      <c r="G169" s="168">
        <f>F169</f>
        <v>162397.32</v>
      </c>
      <c r="I169" t="s">
        <v>479</v>
      </c>
    </row>
    <row r="170" spans="2:9" x14ac:dyDescent="0.25">
      <c r="B170" s="134" t="s">
        <v>443</v>
      </c>
      <c r="C170" s="169"/>
      <c r="D170" s="167"/>
      <c r="E170" s="168"/>
      <c r="F170" s="168">
        <v>124942.45</v>
      </c>
      <c r="G170" s="168">
        <f>F170</f>
        <v>124942.45</v>
      </c>
      <c r="I170" t="s">
        <v>479</v>
      </c>
    </row>
    <row r="171" spans="2:9" x14ac:dyDescent="0.25">
      <c r="B171" t="s">
        <v>178</v>
      </c>
      <c r="C171" s="169">
        <v>246585.39595054879</v>
      </c>
      <c r="D171" s="167">
        <f>C171-G167</f>
        <v>-201351.78404945121</v>
      </c>
      <c r="E171" s="168">
        <f t="shared" si="11"/>
        <v>12329.26979752744</v>
      </c>
    </row>
    <row r="172" spans="2:9" x14ac:dyDescent="0.25">
      <c r="B172" t="s">
        <v>200</v>
      </c>
      <c r="C172" s="169">
        <v>220431.98411814516</v>
      </c>
      <c r="D172" s="167">
        <f>C172-F168</f>
        <v>59834.574118145159</v>
      </c>
      <c r="E172" s="168">
        <f t="shared" si="11"/>
        <v>11021.59920590726</v>
      </c>
    </row>
    <row r="173" spans="2:9" x14ac:dyDescent="0.25">
      <c r="B173" t="s">
        <v>180</v>
      </c>
      <c r="C173" s="169">
        <v>1278220.2036166312</v>
      </c>
      <c r="D173" s="167">
        <f>C173-F169</f>
        <v>1115822.8836166312</v>
      </c>
      <c r="E173" s="168">
        <f t="shared" si="11"/>
        <v>63911.010180831567</v>
      </c>
    </row>
    <row r="174" spans="2:9" x14ac:dyDescent="0.25">
      <c r="B174" t="s">
        <v>181</v>
      </c>
      <c r="C174" s="169">
        <v>245822.62086375055</v>
      </c>
      <c r="D174" s="167">
        <f>C174-F170</f>
        <v>120880.17086375055</v>
      </c>
      <c r="E174" s="168">
        <f t="shared" si="11"/>
        <v>12291.131043187528</v>
      </c>
    </row>
    <row r="175" spans="2:9" x14ac:dyDescent="0.25">
      <c r="B175" t="s">
        <v>182</v>
      </c>
      <c r="C175" s="169">
        <v>1473991.8549586134</v>
      </c>
      <c r="D175" s="167">
        <f t="shared" ref="D175:D180" si="14">C175-F175</f>
        <v>1473991.8549586134</v>
      </c>
      <c r="E175" s="168">
        <f t="shared" si="11"/>
        <v>73699.59274793067</v>
      </c>
    </row>
    <row r="176" spans="2:9" x14ac:dyDescent="0.25">
      <c r="B176" t="s">
        <v>66</v>
      </c>
      <c r="C176" s="169">
        <v>2020092.2374767824</v>
      </c>
      <c r="D176" s="167">
        <f>C176-F177</f>
        <v>1878259.9574767824</v>
      </c>
      <c r="E176" s="168">
        <f t="shared" si="11"/>
        <v>101004.61187383912</v>
      </c>
      <c r="G176" s="168">
        <f>F177</f>
        <v>141832.28</v>
      </c>
    </row>
    <row r="177" spans="2:9" x14ac:dyDescent="0.25">
      <c r="B177" s="134" t="s">
        <v>444</v>
      </c>
      <c r="C177" s="169"/>
      <c r="D177" s="167"/>
      <c r="E177" s="168"/>
      <c r="F177" s="168">
        <v>141832.28</v>
      </c>
      <c r="G177" s="168">
        <f>F177</f>
        <v>141832.28</v>
      </c>
      <c r="I177" t="s">
        <v>479</v>
      </c>
    </row>
    <row r="178" spans="2:9" x14ac:dyDescent="0.25">
      <c r="B178" t="s">
        <v>183</v>
      </c>
      <c r="C178" s="169">
        <v>900277.12957346009</v>
      </c>
      <c r="D178" s="167">
        <f t="shared" si="14"/>
        <v>900277.12957346009</v>
      </c>
      <c r="E178" s="168">
        <f t="shared" si="11"/>
        <v>45013.856478673006</v>
      </c>
    </row>
    <row r="179" spans="2:9" x14ac:dyDescent="0.25">
      <c r="B179" t="s">
        <v>184</v>
      </c>
      <c r="C179" s="169">
        <v>458261.64827990934</v>
      </c>
      <c r="D179" s="167">
        <f t="shared" si="14"/>
        <v>458261.64827990934</v>
      </c>
      <c r="E179" s="168">
        <f t="shared" si="11"/>
        <v>22913.082413995468</v>
      </c>
    </row>
    <row r="180" spans="2:9" x14ac:dyDescent="0.25">
      <c r="B180" t="s">
        <v>80</v>
      </c>
      <c r="C180" s="169">
        <v>470516.99108993867</v>
      </c>
      <c r="D180" s="167">
        <f t="shared" si="14"/>
        <v>470516.99108993867</v>
      </c>
      <c r="E180" s="168">
        <f t="shared" si="11"/>
        <v>23525.849554496934</v>
      </c>
    </row>
    <row r="181" spans="2:9" x14ac:dyDescent="0.25">
      <c r="B181" t="s">
        <v>186</v>
      </c>
      <c r="C181" s="169">
        <v>1721248.966859231</v>
      </c>
      <c r="D181" s="167">
        <f>C181-F177</f>
        <v>1579416.686859231</v>
      </c>
      <c r="E181" s="168">
        <f t="shared" si="11"/>
        <v>86062.44834296155</v>
      </c>
    </row>
    <row r="182" spans="2:9" x14ac:dyDescent="0.25">
      <c r="B182" t="s">
        <v>53</v>
      </c>
      <c r="C182" s="169">
        <v>5076933.8336234605</v>
      </c>
      <c r="D182" s="167">
        <f>C182-G182</f>
        <v>4616531.8936234601</v>
      </c>
      <c r="E182" s="168">
        <f t="shared" si="11"/>
        <v>253846.69168117305</v>
      </c>
      <c r="G182" s="168">
        <f>F183+F184+F185</f>
        <v>460401.93999999994</v>
      </c>
    </row>
    <row r="183" spans="2:9" x14ac:dyDescent="0.25">
      <c r="B183" s="134" t="s">
        <v>445</v>
      </c>
      <c r="C183" s="169"/>
      <c r="D183" s="167"/>
      <c r="E183" s="168"/>
      <c r="F183" s="168">
        <v>107621.83</v>
      </c>
      <c r="G183" s="168">
        <f>F183</f>
        <v>107621.83</v>
      </c>
      <c r="I183" t="s">
        <v>479</v>
      </c>
    </row>
    <row r="184" spans="2:9" x14ac:dyDescent="0.25">
      <c r="B184" s="134" t="s">
        <v>446</v>
      </c>
      <c r="C184" s="169"/>
      <c r="D184" s="167"/>
      <c r="E184" s="168"/>
      <c r="F184" s="168">
        <v>209456.21</v>
      </c>
      <c r="G184" s="168">
        <f>F184</f>
        <v>209456.21</v>
      </c>
      <c r="I184" t="s">
        <v>479</v>
      </c>
    </row>
    <row r="185" spans="2:9" x14ac:dyDescent="0.25">
      <c r="B185" s="134" t="s">
        <v>447</v>
      </c>
      <c r="C185" s="169"/>
      <c r="D185" s="167"/>
      <c r="E185" s="168"/>
      <c r="F185" s="168">
        <v>143323.9</v>
      </c>
      <c r="G185" s="168">
        <f>F185</f>
        <v>143323.9</v>
      </c>
      <c r="I185" t="s">
        <v>479</v>
      </c>
    </row>
    <row r="186" spans="2:9" x14ac:dyDescent="0.25">
      <c r="B186" s="1" t="s">
        <v>481</v>
      </c>
      <c r="C186" s="169">
        <v>89611.94</v>
      </c>
      <c r="D186" s="167">
        <f>C186-F186</f>
        <v>89611.94</v>
      </c>
      <c r="E186" s="168">
        <f t="shared" si="11"/>
        <v>4480.5970000000007</v>
      </c>
    </row>
    <row r="187" spans="2:9" x14ac:dyDescent="0.25">
      <c r="B187" t="s">
        <v>188</v>
      </c>
      <c r="C187" s="169">
        <v>2843861.4911398273</v>
      </c>
      <c r="D187" s="167">
        <f>C187-F188</f>
        <v>2656235.7811398273</v>
      </c>
      <c r="E187" s="168">
        <f t="shared" si="11"/>
        <v>142193.07455699137</v>
      </c>
      <c r="G187" s="168">
        <f>F188</f>
        <v>187625.71</v>
      </c>
    </row>
    <row r="188" spans="2:9" x14ac:dyDescent="0.25">
      <c r="B188" s="134" t="s">
        <v>448</v>
      </c>
      <c r="C188" s="169"/>
      <c r="D188" s="167"/>
      <c r="E188" s="168"/>
      <c r="F188" s="168">
        <v>187625.71</v>
      </c>
      <c r="G188" s="168">
        <f>F188</f>
        <v>187625.71</v>
      </c>
      <c r="I188" t="s">
        <v>479</v>
      </c>
    </row>
    <row r="189" spans="2:9" x14ac:dyDescent="0.25">
      <c r="B189" t="s">
        <v>189</v>
      </c>
      <c r="C189" s="169">
        <v>75484.869381603014</v>
      </c>
      <c r="D189" s="167">
        <f>C189-F184</f>
        <v>-133971.34061839699</v>
      </c>
      <c r="E189" s="168">
        <f t="shared" si="11"/>
        <v>3774.243469080151</v>
      </c>
    </row>
    <row r="190" spans="2:9" x14ac:dyDescent="0.25">
      <c r="B190" t="s">
        <v>203</v>
      </c>
      <c r="C190" s="169">
        <v>2170835.2264798651</v>
      </c>
      <c r="D190" s="167">
        <f>C190-F185</f>
        <v>2027511.3264798652</v>
      </c>
      <c r="E190" s="168">
        <f t="shared" si="11"/>
        <v>108541.76132399327</v>
      </c>
    </row>
    <row r="191" spans="2:9" x14ac:dyDescent="0.25">
      <c r="B191" t="s">
        <v>76</v>
      </c>
      <c r="C191" s="169">
        <v>1968395.4723335663</v>
      </c>
      <c r="D191" s="167">
        <f t="shared" ref="D191:D202" si="15">C191-F191</f>
        <v>1968395.4723335663</v>
      </c>
      <c r="E191" s="168">
        <f t="shared" si="11"/>
        <v>98419.773616678314</v>
      </c>
    </row>
    <row r="192" spans="2:9" x14ac:dyDescent="0.25">
      <c r="B192" t="s">
        <v>191</v>
      </c>
      <c r="C192" s="169">
        <v>251139.10667698769</v>
      </c>
      <c r="D192" s="167">
        <f>C192-F188</f>
        <v>63513.396676987701</v>
      </c>
      <c r="E192" s="168">
        <f t="shared" si="11"/>
        <v>12556.955333849386</v>
      </c>
    </row>
    <row r="193" spans="2:9" x14ac:dyDescent="0.25">
      <c r="B193" t="s">
        <v>192</v>
      </c>
      <c r="C193" s="169">
        <v>1063158.5007449535</v>
      </c>
      <c r="D193" s="167">
        <f>C193-F194</f>
        <v>913367.30074495357</v>
      </c>
      <c r="E193" s="168">
        <f t="shared" si="11"/>
        <v>53157.925037247682</v>
      </c>
      <c r="G193" s="168">
        <f>F194</f>
        <v>149791.20000000001</v>
      </c>
    </row>
    <row r="194" spans="2:9" x14ac:dyDescent="0.25">
      <c r="B194" s="134" t="s">
        <v>449</v>
      </c>
      <c r="C194" s="169"/>
      <c r="D194" s="167"/>
      <c r="E194" s="168"/>
      <c r="F194" s="168">
        <v>149791.20000000001</v>
      </c>
      <c r="G194" s="168">
        <f>F194</f>
        <v>149791.20000000001</v>
      </c>
      <c r="I194" t="s">
        <v>479</v>
      </c>
    </row>
    <row r="195" spans="2:9" x14ac:dyDescent="0.25">
      <c r="B195" t="s">
        <v>316</v>
      </c>
      <c r="C195" s="169">
        <v>105408.62</v>
      </c>
      <c r="D195" s="167">
        <f t="shared" si="15"/>
        <v>105408.62</v>
      </c>
      <c r="E195" s="168">
        <f t="shared" si="11"/>
        <v>5270.4310000000005</v>
      </c>
    </row>
    <row r="196" spans="2:9" x14ac:dyDescent="0.25">
      <c r="B196" t="s">
        <v>49</v>
      </c>
      <c r="C196" s="169">
        <v>1813220.9566260672</v>
      </c>
      <c r="D196" s="167">
        <f>C196-F196</f>
        <v>1813220.9566260672</v>
      </c>
      <c r="E196" s="168">
        <f t="shared" si="11"/>
        <v>90661.047831303367</v>
      </c>
    </row>
    <row r="197" spans="2:9" x14ac:dyDescent="0.25">
      <c r="B197" t="s">
        <v>214</v>
      </c>
      <c r="C197" s="169">
        <v>259718.32051769432</v>
      </c>
      <c r="D197" s="167">
        <f>C197-F194</f>
        <v>109927.1205176943</v>
      </c>
      <c r="E197" s="168">
        <f t="shared" si="11"/>
        <v>12985.916025884717</v>
      </c>
    </row>
    <row r="198" spans="2:9" x14ac:dyDescent="0.25">
      <c r="B198" t="s">
        <v>195</v>
      </c>
      <c r="C198" s="169">
        <v>207540.41203522345</v>
      </c>
      <c r="D198" s="167">
        <f t="shared" si="15"/>
        <v>207540.41203522345</v>
      </c>
      <c r="E198" s="168">
        <f t="shared" si="11"/>
        <v>10377.020601761173</v>
      </c>
    </row>
    <row r="199" spans="2:9" x14ac:dyDescent="0.25">
      <c r="B199" t="s">
        <v>196</v>
      </c>
      <c r="C199" s="169">
        <v>27080.642627996942</v>
      </c>
      <c r="D199" s="167">
        <f t="shared" si="15"/>
        <v>27080.642627996942</v>
      </c>
      <c r="E199" s="168">
        <f t="shared" si="11"/>
        <v>1354.0321313998472</v>
      </c>
    </row>
    <row r="200" spans="2:9" x14ac:dyDescent="0.25">
      <c r="B200" t="s">
        <v>197</v>
      </c>
      <c r="C200" s="169">
        <v>674250.09730363742</v>
      </c>
      <c r="D200" s="167">
        <f>C200-F200</f>
        <v>674250.09730363742</v>
      </c>
      <c r="E200" s="168">
        <f t="shared" si="11"/>
        <v>33712.504865181872</v>
      </c>
    </row>
    <row r="201" spans="2:9" x14ac:dyDescent="0.25">
      <c r="B201" t="s">
        <v>198</v>
      </c>
      <c r="C201" s="169">
        <v>0</v>
      </c>
      <c r="D201" s="167">
        <f t="shared" si="15"/>
        <v>0</v>
      </c>
      <c r="E201" s="168"/>
    </row>
    <row r="202" spans="2:9" x14ac:dyDescent="0.25">
      <c r="B202" t="s">
        <v>220</v>
      </c>
      <c r="C202" s="169">
        <v>222987.50951836994</v>
      </c>
      <c r="D202" s="167">
        <f t="shared" si="15"/>
        <v>222987.50951836994</v>
      </c>
      <c r="E202" s="168">
        <f t="shared" si="11"/>
        <v>11149.375475918498</v>
      </c>
    </row>
    <row r="203" spans="2:9" x14ac:dyDescent="0.25">
      <c r="B203" t="s">
        <v>33</v>
      </c>
      <c r="C203" s="169">
        <v>31525892.929760594</v>
      </c>
      <c r="D203" s="167">
        <f>C203-G203</f>
        <v>30607508.229760595</v>
      </c>
      <c r="E203" s="168">
        <f t="shared" si="11"/>
        <v>500000</v>
      </c>
      <c r="G203" s="168">
        <f>F204+F205+F206+F207+F208+F46+F266</f>
        <v>918384.70000000007</v>
      </c>
    </row>
    <row r="204" spans="2:9" x14ac:dyDescent="0.25">
      <c r="B204" s="134" t="s">
        <v>450</v>
      </c>
      <c r="C204" s="169"/>
      <c r="D204" s="167"/>
      <c r="E204" s="168"/>
      <c r="F204" s="168">
        <v>49037.85</v>
      </c>
      <c r="G204" s="168">
        <f>F204</f>
        <v>49037.85</v>
      </c>
      <c r="I204" t="s">
        <v>479</v>
      </c>
    </row>
    <row r="205" spans="2:9" x14ac:dyDescent="0.25">
      <c r="B205" s="134" t="s">
        <v>451</v>
      </c>
      <c r="C205" s="169"/>
      <c r="D205" s="167"/>
      <c r="E205" s="168"/>
      <c r="F205" s="168">
        <v>78520.33</v>
      </c>
      <c r="G205" s="168">
        <f t="shared" ref="G205:G208" si="16">F205</f>
        <v>78520.33</v>
      </c>
      <c r="I205" t="s">
        <v>479</v>
      </c>
    </row>
    <row r="206" spans="2:9" x14ac:dyDescent="0.25">
      <c r="B206" s="134" t="s">
        <v>452</v>
      </c>
      <c r="C206" s="169"/>
      <c r="D206" s="167"/>
      <c r="E206" s="168"/>
      <c r="F206" s="168">
        <v>97537.21</v>
      </c>
      <c r="G206" s="168">
        <f t="shared" si="16"/>
        <v>97537.21</v>
      </c>
      <c r="I206" t="s">
        <v>479</v>
      </c>
    </row>
    <row r="207" spans="2:9" x14ac:dyDescent="0.25">
      <c r="B207" s="134" t="s">
        <v>453</v>
      </c>
      <c r="C207" s="169"/>
      <c r="D207" s="167"/>
      <c r="E207" s="168"/>
      <c r="F207" s="168">
        <v>216812.02</v>
      </c>
      <c r="G207" s="168">
        <f t="shared" si="16"/>
        <v>216812.02</v>
      </c>
      <c r="I207" t="s">
        <v>479</v>
      </c>
    </row>
    <row r="208" spans="2:9" x14ac:dyDescent="0.25">
      <c r="B208" s="134" t="s">
        <v>454</v>
      </c>
      <c r="C208" s="169"/>
      <c r="D208" s="167"/>
      <c r="E208" s="168"/>
      <c r="F208" s="168">
        <v>201615.75</v>
      </c>
      <c r="G208" s="168">
        <f t="shared" si="16"/>
        <v>201615.75</v>
      </c>
      <c r="I208" t="s">
        <v>479</v>
      </c>
    </row>
    <row r="209" spans="2:9" x14ac:dyDescent="0.25">
      <c r="B209" t="s">
        <v>126</v>
      </c>
      <c r="C209" s="169">
        <v>128141.1527495488</v>
      </c>
      <c r="D209" s="167">
        <f>C209-F204</f>
        <v>79103.302749548806</v>
      </c>
      <c r="E209" s="168">
        <f t="shared" ref="E209:E267" si="17">MIN((C209*0.05),500000)</f>
        <v>6407.05763747744</v>
      </c>
    </row>
    <row r="210" spans="2:9" x14ac:dyDescent="0.25">
      <c r="B210" t="s">
        <v>201</v>
      </c>
      <c r="C210" s="169">
        <v>175606.54897144967</v>
      </c>
      <c r="D210" s="167">
        <f>C210-F205</f>
        <v>97086.218971449664</v>
      </c>
      <c r="E210" s="168">
        <f t="shared" si="17"/>
        <v>8780.3274485724833</v>
      </c>
    </row>
    <row r="211" spans="2:9" x14ac:dyDescent="0.25">
      <c r="B211" t="s">
        <v>202</v>
      </c>
      <c r="C211" s="169">
        <v>200965.52233893736</v>
      </c>
      <c r="D211" s="167">
        <f>C211-F206</f>
        <v>103428.31233893735</v>
      </c>
      <c r="E211" s="168">
        <f t="shared" si="17"/>
        <v>10048.276116946869</v>
      </c>
    </row>
    <row r="212" spans="2:9" x14ac:dyDescent="0.25">
      <c r="B212" t="s">
        <v>153</v>
      </c>
      <c r="C212" s="169">
        <v>584610.10456531413</v>
      </c>
      <c r="D212" s="167">
        <f>C212-F207</f>
        <v>367798.08456531412</v>
      </c>
      <c r="E212" s="168">
        <f t="shared" si="17"/>
        <v>29230.505228265709</v>
      </c>
    </row>
    <row r="213" spans="2:9" x14ac:dyDescent="0.25">
      <c r="B213" t="s">
        <v>77</v>
      </c>
      <c r="C213" s="169">
        <v>4728999.94158848</v>
      </c>
      <c r="D213" s="167">
        <f>C213-F214</f>
        <v>4236244.0015884796</v>
      </c>
      <c r="E213" s="168">
        <f t="shared" si="17"/>
        <v>236449.99707942401</v>
      </c>
      <c r="G213" s="168">
        <f>F214</f>
        <v>492755.94</v>
      </c>
    </row>
    <row r="214" spans="2:9" x14ac:dyDescent="0.25">
      <c r="B214" s="134" t="s">
        <v>455</v>
      </c>
      <c r="C214" s="169"/>
      <c r="D214" s="167"/>
      <c r="E214" s="168"/>
      <c r="F214" s="168">
        <v>492755.94</v>
      </c>
      <c r="G214" s="168">
        <f>F214</f>
        <v>492755.94</v>
      </c>
      <c r="I214" t="s">
        <v>479</v>
      </c>
    </row>
    <row r="215" spans="2:9" x14ac:dyDescent="0.25">
      <c r="B215" s="1" t="s">
        <v>497</v>
      </c>
      <c r="C215" s="169">
        <v>193449.51</v>
      </c>
      <c r="D215" s="167">
        <f>C215-F215</f>
        <v>193449.51</v>
      </c>
      <c r="E215" s="168">
        <f t="shared" si="17"/>
        <v>9672.4755000000005</v>
      </c>
    </row>
    <row r="216" spans="2:9" x14ac:dyDescent="0.25">
      <c r="B216" t="s">
        <v>67</v>
      </c>
      <c r="C216" s="169">
        <v>506787.4445730584</v>
      </c>
      <c r="D216" s="167">
        <f>C216-F216</f>
        <v>506787.4445730584</v>
      </c>
      <c r="E216" s="168">
        <f t="shared" si="17"/>
        <v>25339.372228652923</v>
      </c>
    </row>
    <row r="217" spans="2:9" x14ac:dyDescent="0.25">
      <c r="B217" t="s">
        <v>498</v>
      </c>
      <c r="C217" s="169">
        <v>37539.68</v>
      </c>
      <c r="D217" s="167">
        <f>C217-F217</f>
        <v>37539.68</v>
      </c>
      <c r="E217" s="168">
        <f t="shared" si="17"/>
        <v>1876.9840000000002</v>
      </c>
    </row>
    <row r="218" spans="2:9" x14ac:dyDescent="0.25">
      <c r="B218" t="s">
        <v>35</v>
      </c>
      <c r="C218" s="169">
        <v>8038059.2993901651</v>
      </c>
      <c r="D218" s="167">
        <f>C218-G218</f>
        <v>7614793.1693901652</v>
      </c>
      <c r="E218" s="168">
        <f t="shared" si="17"/>
        <v>401902.96496950829</v>
      </c>
      <c r="G218" s="168">
        <f>F219+F220</f>
        <v>423266.13</v>
      </c>
    </row>
    <row r="219" spans="2:9" x14ac:dyDescent="0.25">
      <c r="B219" s="134" t="s">
        <v>456</v>
      </c>
      <c r="C219" s="169"/>
      <c r="D219" s="167"/>
      <c r="E219" s="168"/>
      <c r="F219" s="168">
        <v>319001.8</v>
      </c>
      <c r="G219" s="168">
        <f>F219</f>
        <v>319001.8</v>
      </c>
      <c r="I219" t="s">
        <v>479</v>
      </c>
    </row>
    <row r="220" spans="2:9" x14ac:dyDescent="0.25">
      <c r="B220" s="134" t="s">
        <v>457</v>
      </c>
      <c r="C220" s="169"/>
      <c r="D220" s="167"/>
      <c r="E220" s="168"/>
      <c r="F220" s="168">
        <v>104264.33</v>
      </c>
      <c r="G220" s="168">
        <f>F220</f>
        <v>104264.33</v>
      </c>
      <c r="I220" t="s">
        <v>479</v>
      </c>
    </row>
    <row r="221" spans="2:9" x14ac:dyDescent="0.25">
      <c r="B221" t="s">
        <v>204</v>
      </c>
      <c r="C221" s="169">
        <v>303530.4737153406</v>
      </c>
      <c r="D221" s="167">
        <f>C221-F221</f>
        <v>303530.4737153406</v>
      </c>
      <c r="E221" s="168">
        <f t="shared" si="17"/>
        <v>15176.523685767032</v>
      </c>
    </row>
    <row r="222" spans="2:9" x14ac:dyDescent="0.25">
      <c r="B222" t="s">
        <v>458</v>
      </c>
      <c r="C222" s="169">
        <v>19536.52</v>
      </c>
      <c r="D222" s="167">
        <f>C222</f>
        <v>19536.52</v>
      </c>
      <c r="E222" s="168">
        <f t="shared" si="17"/>
        <v>976.82600000000002</v>
      </c>
    </row>
    <row r="223" spans="2:9" x14ac:dyDescent="0.25">
      <c r="B223" t="s">
        <v>205</v>
      </c>
      <c r="C223" s="169">
        <v>395603.75398258393</v>
      </c>
      <c r="D223" s="167">
        <f>C223-F219</f>
        <v>76601.953982583946</v>
      </c>
      <c r="E223" s="168">
        <f t="shared" si="17"/>
        <v>19780.187699129197</v>
      </c>
    </row>
    <row r="224" spans="2:9" x14ac:dyDescent="0.25">
      <c r="B224" t="s">
        <v>491</v>
      </c>
      <c r="C224" s="169">
        <v>197377.81</v>
      </c>
      <c r="D224" s="167">
        <f>C224-F224</f>
        <v>197377.81</v>
      </c>
      <c r="E224" s="168">
        <f t="shared" si="17"/>
        <v>9868.8905000000013</v>
      </c>
    </row>
    <row r="225" spans="2:9" x14ac:dyDescent="0.25">
      <c r="B225" t="s">
        <v>127</v>
      </c>
      <c r="C225" s="169">
        <v>756964.69536579691</v>
      </c>
      <c r="D225" s="167">
        <f>C225-F226</f>
        <v>652616.90536579688</v>
      </c>
      <c r="E225" s="168">
        <f t="shared" si="17"/>
        <v>37848.234768289847</v>
      </c>
      <c r="G225" s="168">
        <f>F226</f>
        <v>104347.79</v>
      </c>
    </row>
    <row r="226" spans="2:9" x14ac:dyDescent="0.25">
      <c r="B226" s="134" t="s">
        <v>459</v>
      </c>
      <c r="C226" s="169"/>
      <c r="D226" s="167"/>
      <c r="E226" s="168"/>
      <c r="F226" s="168">
        <v>104347.79</v>
      </c>
      <c r="G226" s="168">
        <f>F226</f>
        <v>104347.79</v>
      </c>
      <c r="I226" t="s">
        <v>479</v>
      </c>
    </row>
    <row r="227" spans="2:9" x14ac:dyDescent="0.25">
      <c r="B227" t="s">
        <v>34</v>
      </c>
      <c r="C227" s="169">
        <v>29070666.503104053</v>
      </c>
      <c r="D227" s="167">
        <f>C227-G227</f>
        <v>28666038.963104054</v>
      </c>
      <c r="E227" s="168">
        <f t="shared" si="17"/>
        <v>500000</v>
      </c>
      <c r="G227" s="168">
        <f>F229+F230+F231+F232+F228</f>
        <v>404627.54</v>
      </c>
    </row>
    <row r="228" spans="2:9" x14ac:dyDescent="0.25">
      <c r="B228" s="134" t="s">
        <v>460</v>
      </c>
      <c r="C228" s="169"/>
      <c r="D228" s="167"/>
      <c r="E228" s="168"/>
      <c r="F228" s="168">
        <v>74330.86</v>
      </c>
      <c r="G228" s="168">
        <f>F228</f>
        <v>74330.86</v>
      </c>
      <c r="I228" t="s">
        <v>479</v>
      </c>
    </row>
    <row r="229" spans="2:9" x14ac:dyDescent="0.25">
      <c r="B229" s="134" t="s">
        <v>461</v>
      </c>
      <c r="C229" s="169"/>
      <c r="D229" s="167"/>
      <c r="E229" s="168"/>
      <c r="F229" s="168">
        <v>54810.49</v>
      </c>
      <c r="G229" s="168">
        <f t="shared" ref="G229:G232" si="18">F229</f>
        <v>54810.49</v>
      </c>
      <c r="I229" t="s">
        <v>479</v>
      </c>
    </row>
    <row r="230" spans="2:9" x14ac:dyDescent="0.25">
      <c r="B230" s="134" t="s">
        <v>462</v>
      </c>
      <c r="C230" s="169"/>
      <c r="D230" s="167"/>
      <c r="E230" s="168"/>
      <c r="F230" s="168">
        <v>93468.89</v>
      </c>
      <c r="G230" s="168">
        <f t="shared" si="18"/>
        <v>93468.89</v>
      </c>
      <c r="I230" t="s">
        <v>479</v>
      </c>
    </row>
    <row r="231" spans="2:9" x14ac:dyDescent="0.25">
      <c r="B231" s="134" t="s">
        <v>463</v>
      </c>
      <c r="C231" s="169"/>
      <c r="D231" s="167"/>
      <c r="E231" s="168"/>
      <c r="F231" s="168">
        <v>80209.850000000006</v>
      </c>
      <c r="G231" s="168">
        <f t="shared" si="18"/>
        <v>80209.850000000006</v>
      </c>
      <c r="I231" t="s">
        <v>479</v>
      </c>
    </row>
    <row r="232" spans="2:9" x14ac:dyDescent="0.25">
      <c r="B232" s="134" t="s">
        <v>464</v>
      </c>
      <c r="C232" s="169"/>
      <c r="D232" s="167"/>
      <c r="E232" s="168"/>
      <c r="F232" s="168">
        <v>101807.45</v>
      </c>
      <c r="G232" s="168">
        <f t="shared" si="18"/>
        <v>101807.45</v>
      </c>
      <c r="I232" t="s">
        <v>479</v>
      </c>
    </row>
    <row r="233" spans="2:9" x14ac:dyDescent="0.25">
      <c r="B233" t="s">
        <v>57</v>
      </c>
      <c r="C233" s="169">
        <v>859123.91477213951</v>
      </c>
      <c r="D233" s="167">
        <f>C233-F228</f>
        <v>784793.05477213953</v>
      </c>
      <c r="E233" s="168">
        <f t="shared" si="17"/>
        <v>42956.195738606977</v>
      </c>
    </row>
    <row r="234" spans="2:9" x14ac:dyDescent="0.25">
      <c r="B234" t="s">
        <v>206</v>
      </c>
      <c r="C234" s="169">
        <v>1531613.0104653575</v>
      </c>
      <c r="D234" s="167">
        <f>C234-G234</f>
        <v>1353571.1304653576</v>
      </c>
      <c r="E234" s="168">
        <f t="shared" si="17"/>
        <v>76580.650523267876</v>
      </c>
      <c r="G234" s="168">
        <f>F235+F236</f>
        <v>178041.88</v>
      </c>
    </row>
    <row r="235" spans="2:9" x14ac:dyDescent="0.25">
      <c r="B235" s="134" t="s">
        <v>465</v>
      </c>
      <c r="C235" s="169"/>
      <c r="D235" s="167"/>
      <c r="E235" s="168"/>
      <c r="F235" s="168">
        <v>39056.879999999997</v>
      </c>
      <c r="G235" s="168">
        <f>F235</f>
        <v>39056.879999999997</v>
      </c>
      <c r="I235" t="s">
        <v>479</v>
      </c>
    </row>
    <row r="236" spans="2:9" x14ac:dyDescent="0.25">
      <c r="B236" s="134" t="s">
        <v>466</v>
      </c>
      <c r="C236" s="169"/>
      <c r="D236" s="167"/>
      <c r="E236" s="168"/>
      <c r="F236" s="168">
        <v>138985</v>
      </c>
      <c r="G236" s="168">
        <f>F236</f>
        <v>138985</v>
      </c>
      <c r="I236" t="s">
        <v>479</v>
      </c>
    </row>
    <row r="237" spans="2:9" x14ac:dyDescent="0.25">
      <c r="B237" t="s">
        <v>160</v>
      </c>
      <c r="C237" s="169">
        <v>532224.34134471579</v>
      </c>
      <c r="D237" s="167">
        <f>C237-F238</f>
        <v>505147.57134471578</v>
      </c>
      <c r="E237" s="168">
        <f t="shared" si="17"/>
        <v>26611.21706723579</v>
      </c>
      <c r="G237" s="168">
        <f>F238</f>
        <v>27076.77</v>
      </c>
    </row>
    <row r="238" spans="2:9" x14ac:dyDescent="0.25">
      <c r="B238" s="134" t="s">
        <v>467</v>
      </c>
      <c r="C238" s="169"/>
      <c r="D238" s="167"/>
      <c r="E238" s="168"/>
      <c r="F238" s="168">
        <v>27076.77</v>
      </c>
      <c r="G238" s="168">
        <f>F238</f>
        <v>27076.77</v>
      </c>
      <c r="I238" t="s">
        <v>479</v>
      </c>
    </row>
    <row r="239" spans="2:9" x14ac:dyDescent="0.25">
      <c r="B239" t="s">
        <v>207</v>
      </c>
      <c r="C239" s="169">
        <v>1102386.1414265635</v>
      </c>
      <c r="D239" s="167">
        <f>C239-F239</f>
        <v>1102386.1414265635</v>
      </c>
      <c r="E239" s="168">
        <f t="shared" si="17"/>
        <v>55119.307071328178</v>
      </c>
    </row>
    <row r="240" spans="2:9" x14ac:dyDescent="0.25">
      <c r="B240" t="s">
        <v>68</v>
      </c>
      <c r="C240" s="169">
        <v>592268.51842356287</v>
      </c>
      <c r="D240" s="167">
        <f>C240-F241</f>
        <v>544691.32842356293</v>
      </c>
      <c r="E240" s="168">
        <f t="shared" si="17"/>
        <v>29613.425921178146</v>
      </c>
      <c r="G240" s="168">
        <f>F241</f>
        <v>47577.19</v>
      </c>
    </row>
    <row r="241" spans="2:9" x14ac:dyDescent="0.25">
      <c r="B241" s="134" t="s">
        <v>468</v>
      </c>
      <c r="C241" s="169"/>
      <c r="D241" s="167"/>
      <c r="E241" s="168"/>
      <c r="F241" s="168">
        <v>47577.19</v>
      </c>
      <c r="G241" s="168">
        <f>F241</f>
        <v>47577.19</v>
      </c>
      <c r="I241" t="s">
        <v>479</v>
      </c>
    </row>
    <row r="242" spans="2:9" x14ac:dyDescent="0.25">
      <c r="B242" t="s">
        <v>208</v>
      </c>
      <c r="C242" s="169">
        <v>235762.87484962842</v>
      </c>
      <c r="D242" s="167">
        <f>C242-F238</f>
        <v>208686.10484962843</v>
      </c>
      <c r="E242" s="168">
        <f t="shared" si="17"/>
        <v>11788.143742481421</v>
      </c>
    </row>
    <row r="243" spans="2:9" x14ac:dyDescent="0.25">
      <c r="B243" t="s">
        <v>209</v>
      </c>
      <c r="C243" s="169">
        <v>3249093.3891371903</v>
      </c>
      <c r="D243" s="167">
        <f>C243-F244</f>
        <v>3127797.8791371905</v>
      </c>
      <c r="E243" s="168">
        <f t="shared" si="17"/>
        <v>162454.66945685953</v>
      </c>
      <c r="G243" s="168">
        <f>F244</f>
        <v>121295.51</v>
      </c>
    </row>
    <row r="244" spans="2:9" x14ac:dyDescent="0.25">
      <c r="B244" s="134" t="s">
        <v>500</v>
      </c>
      <c r="C244" s="169"/>
      <c r="D244" s="167"/>
      <c r="E244" s="168"/>
      <c r="F244" s="168">
        <v>121295.51</v>
      </c>
      <c r="G244" s="168">
        <f>F244</f>
        <v>121295.51</v>
      </c>
    </row>
    <row r="245" spans="2:9" x14ac:dyDescent="0.25">
      <c r="B245" t="s">
        <v>322</v>
      </c>
      <c r="C245" s="169">
        <v>167132.01999999999</v>
      </c>
      <c r="D245" s="167">
        <f>C245-F245</f>
        <v>167132.01999999999</v>
      </c>
      <c r="E245" s="168">
        <f t="shared" si="17"/>
        <v>8356.6010000000006</v>
      </c>
    </row>
    <row r="246" spans="2:9" x14ac:dyDescent="0.25">
      <c r="B246" t="s">
        <v>210</v>
      </c>
      <c r="C246" s="169">
        <v>2518873.7476707688</v>
      </c>
      <c r="D246" s="167">
        <f>C246-G246</f>
        <v>2376252.5776707688</v>
      </c>
      <c r="E246" s="168">
        <f t="shared" si="17"/>
        <v>125943.68738353845</v>
      </c>
      <c r="G246" s="168">
        <f>F247+F248</f>
        <v>142621.16999999998</v>
      </c>
    </row>
    <row r="247" spans="2:9" x14ac:dyDescent="0.25">
      <c r="B247" s="134" t="s">
        <v>469</v>
      </c>
      <c r="C247" s="169"/>
      <c r="D247" s="167"/>
      <c r="E247" s="168"/>
      <c r="F247" s="168">
        <v>73789.67</v>
      </c>
      <c r="G247" s="168">
        <f>F247</f>
        <v>73789.67</v>
      </c>
      <c r="I247" t="s">
        <v>479</v>
      </c>
    </row>
    <row r="248" spans="2:9" x14ac:dyDescent="0.25">
      <c r="B248" s="134" t="s">
        <v>489</v>
      </c>
      <c r="C248" s="169"/>
      <c r="D248" s="167"/>
      <c r="E248" s="168"/>
      <c r="F248" s="167">
        <v>68831.5</v>
      </c>
      <c r="G248" s="168">
        <f>F248</f>
        <v>68831.5</v>
      </c>
    </row>
    <row r="249" spans="2:9" x14ac:dyDescent="0.25">
      <c r="B249" t="s">
        <v>211</v>
      </c>
      <c r="C249" s="169">
        <v>676780.47508892871</v>
      </c>
      <c r="D249" s="167">
        <f t="shared" ref="D249:D250" si="19">C249-F249</f>
        <v>676780.47508892871</v>
      </c>
      <c r="E249" s="168">
        <f t="shared" si="17"/>
        <v>33839.02375444644</v>
      </c>
    </row>
    <row r="250" spans="2:9" x14ac:dyDescent="0.25">
      <c r="B250" t="s">
        <v>212</v>
      </c>
      <c r="C250" s="169">
        <v>948399.27164489089</v>
      </c>
      <c r="D250" s="167">
        <f t="shared" si="19"/>
        <v>948399.27164489089</v>
      </c>
      <c r="E250" s="168">
        <f t="shared" si="17"/>
        <v>47419.963582244549</v>
      </c>
    </row>
    <row r="251" spans="2:9" x14ac:dyDescent="0.25">
      <c r="B251" t="s">
        <v>74</v>
      </c>
      <c r="C251" s="169">
        <v>1910394.7332343876</v>
      </c>
      <c r="D251" s="167">
        <f>C251-G251</f>
        <v>1828510.1632343875</v>
      </c>
      <c r="E251" s="168">
        <f t="shared" si="17"/>
        <v>95519.736661719391</v>
      </c>
      <c r="G251" s="168">
        <f>F252</f>
        <v>81884.570000000007</v>
      </c>
    </row>
    <row r="252" spans="2:9" x14ac:dyDescent="0.25">
      <c r="B252" s="134" t="s">
        <v>470</v>
      </c>
      <c r="C252" s="169"/>
      <c r="D252" s="167"/>
      <c r="E252" s="168"/>
      <c r="F252" s="168">
        <v>81884.570000000007</v>
      </c>
      <c r="G252" s="168">
        <f>F252</f>
        <v>81884.570000000007</v>
      </c>
      <c r="I252" t="s">
        <v>479</v>
      </c>
    </row>
    <row r="253" spans="2:9" x14ac:dyDescent="0.25">
      <c r="B253" t="s">
        <v>115</v>
      </c>
      <c r="C253" s="169">
        <v>1003171.5308602785</v>
      </c>
      <c r="D253" s="167">
        <f t="shared" ref="D253:D255" si="20">C253-F253</f>
        <v>1003171.5308602785</v>
      </c>
      <c r="E253" s="168">
        <f t="shared" si="17"/>
        <v>50158.576543013929</v>
      </c>
    </row>
    <row r="254" spans="2:9" x14ac:dyDescent="0.25">
      <c r="B254" t="s">
        <v>224</v>
      </c>
      <c r="C254" s="169">
        <v>224227.28154966937</v>
      </c>
      <c r="D254" s="167">
        <f t="shared" si="20"/>
        <v>224227.28154966937</v>
      </c>
      <c r="E254" s="168">
        <f t="shared" si="17"/>
        <v>11211.364077483469</v>
      </c>
    </row>
    <row r="255" spans="2:9" x14ac:dyDescent="0.25">
      <c r="B255" t="s">
        <v>215</v>
      </c>
      <c r="C255" s="169">
        <v>83665.630240623519</v>
      </c>
      <c r="D255" s="167">
        <f t="shared" si="20"/>
        <v>83665.630240623519</v>
      </c>
      <c r="E255" s="168">
        <f t="shared" si="17"/>
        <v>4183.2815120311761</v>
      </c>
    </row>
    <row r="256" spans="2:9" x14ac:dyDescent="0.25">
      <c r="B256" t="s">
        <v>41</v>
      </c>
      <c r="C256" s="169">
        <v>6972570.417095175</v>
      </c>
      <c r="D256" s="167">
        <f>C256-G251</f>
        <v>6890685.8470951747</v>
      </c>
      <c r="E256" s="168">
        <f t="shared" si="17"/>
        <v>348628.5208547588</v>
      </c>
    </row>
    <row r="257" spans="2:9" x14ac:dyDescent="0.25">
      <c r="B257" t="s">
        <v>79</v>
      </c>
      <c r="C257" s="169">
        <v>1847757.7324586771</v>
      </c>
      <c r="D257" s="167">
        <f>C257-F258</f>
        <v>1740316.3024586772</v>
      </c>
      <c r="E257" s="168">
        <f t="shared" si="17"/>
        <v>92387.88662293386</v>
      </c>
      <c r="G257" s="168">
        <f>F258</f>
        <v>107441.43</v>
      </c>
    </row>
    <row r="258" spans="2:9" x14ac:dyDescent="0.25">
      <c r="B258" s="134" t="s">
        <v>471</v>
      </c>
      <c r="C258" s="169">
        <f>F258</f>
        <v>107441.43</v>
      </c>
      <c r="D258" s="167"/>
      <c r="E258" s="168">
        <f t="shared" si="17"/>
        <v>5372.0715</v>
      </c>
      <c r="F258" s="168">
        <v>107441.43</v>
      </c>
      <c r="G258" s="168">
        <f>F258</f>
        <v>107441.43</v>
      </c>
      <c r="I258" t="s">
        <v>479</v>
      </c>
    </row>
    <row r="259" spans="2:9" x14ac:dyDescent="0.25">
      <c r="B259" t="s">
        <v>216</v>
      </c>
      <c r="C259" s="169">
        <v>219153.11750774123</v>
      </c>
      <c r="D259" s="167">
        <f t="shared" ref="D259:D263" si="21">C259-F259</f>
        <v>219153.11750774123</v>
      </c>
      <c r="E259" s="168">
        <f t="shared" si="17"/>
        <v>10957.655875387063</v>
      </c>
    </row>
    <row r="260" spans="2:9" x14ac:dyDescent="0.25">
      <c r="B260" t="s">
        <v>217</v>
      </c>
      <c r="C260" s="169">
        <v>398798.25496910937</v>
      </c>
      <c r="D260" s="167">
        <f t="shared" si="21"/>
        <v>398798.25496910937</v>
      </c>
      <c r="E260" s="168">
        <f t="shared" si="17"/>
        <v>19939.91274845547</v>
      </c>
    </row>
    <row r="261" spans="2:9" x14ac:dyDescent="0.25">
      <c r="B261" t="s">
        <v>318</v>
      </c>
      <c r="C261" s="169">
        <v>88308.78</v>
      </c>
      <c r="D261" s="167">
        <f t="shared" si="21"/>
        <v>88308.78</v>
      </c>
      <c r="E261" s="168">
        <f t="shared" si="17"/>
        <v>4415.4390000000003</v>
      </c>
    </row>
    <row r="262" spans="2:9" x14ac:dyDescent="0.25">
      <c r="B262" t="s">
        <v>219</v>
      </c>
      <c r="C262" s="169">
        <v>901876.83020907722</v>
      </c>
      <c r="D262" s="167">
        <f t="shared" si="21"/>
        <v>901876.83020907722</v>
      </c>
      <c r="E262" s="168">
        <f t="shared" si="17"/>
        <v>45093.841510453865</v>
      </c>
    </row>
    <row r="263" spans="2:9" x14ac:dyDescent="0.25">
      <c r="B263" t="s">
        <v>323</v>
      </c>
      <c r="C263" s="169">
        <v>78574.179999999993</v>
      </c>
      <c r="D263" s="167">
        <f t="shared" si="21"/>
        <v>78574.179999999993</v>
      </c>
      <c r="E263" s="168">
        <f t="shared" si="17"/>
        <v>3928.7089999999998</v>
      </c>
    </row>
    <row r="264" spans="2:9" x14ac:dyDescent="0.25">
      <c r="B264" t="s">
        <v>89</v>
      </c>
      <c r="C264" s="169">
        <v>1520332.285819533</v>
      </c>
      <c r="D264" s="167">
        <f>C264-F264</f>
        <v>1520332.285819533</v>
      </c>
      <c r="E264" s="168">
        <f t="shared" si="17"/>
        <v>76016.614290976649</v>
      </c>
    </row>
    <row r="265" spans="2:9" x14ac:dyDescent="0.25">
      <c r="B265" t="s">
        <v>499</v>
      </c>
      <c r="C265" s="169">
        <v>13615.54</v>
      </c>
      <c r="D265" s="167">
        <f>C265-F265</f>
        <v>13615.54</v>
      </c>
      <c r="E265" s="168">
        <f t="shared" si="17"/>
        <v>680.77700000000004</v>
      </c>
    </row>
    <row r="266" spans="2:9" s="217" customFormat="1" x14ac:dyDescent="0.25">
      <c r="B266" s="213" t="s">
        <v>472</v>
      </c>
      <c r="C266" s="218"/>
      <c r="D266" s="219"/>
      <c r="E266" s="168"/>
      <c r="F266" s="220">
        <v>161920.75</v>
      </c>
      <c r="G266" s="220">
        <f>F266</f>
        <v>161920.75</v>
      </c>
      <c r="I266" s="217" t="s">
        <v>479</v>
      </c>
    </row>
    <row r="267" spans="2:9" x14ac:dyDescent="0.25">
      <c r="B267" t="s">
        <v>40</v>
      </c>
      <c r="C267" s="169">
        <v>3182354.8500603037</v>
      </c>
      <c r="D267" s="167">
        <f>C267-F268</f>
        <v>3089149.8200603039</v>
      </c>
      <c r="E267" s="168">
        <f t="shared" si="17"/>
        <v>159117.74250301521</v>
      </c>
      <c r="G267" s="168">
        <f>F268</f>
        <v>93205.03</v>
      </c>
    </row>
    <row r="268" spans="2:9" x14ac:dyDescent="0.25">
      <c r="B268" s="134" t="s">
        <v>473</v>
      </c>
      <c r="C268" s="169"/>
      <c r="D268" s="167"/>
      <c r="E268" s="168"/>
      <c r="F268" s="168">
        <v>93205.03</v>
      </c>
      <c r="G268" s="168">
        <f>F268</f>
        <v>93205.03</v>
      </c>
      <c r="I268" t="s">
        <v>479</v>
      </c>
    </row>
    <row r="269" spans="2:9" x14ac:dyDescent="0.25">
      <c r="B269" t="s">
        <v>136</v>
      </c>
      <c r="C269" s="169">
        <v>8068053.3497499693</v>
      </c>
      <c r="D269" s="167">
        <f>C269-F270</f>
        <v>7943478.4197499696</v>
      </c>
      <c r="E269" s="168">
        <f t="shared" ref="E269:E289" si="22">MIN((C269*0.05),500000)</f>
        <v>403402.66748749849</v>
      </c>
      <c r="G269" s="168">
        <f>F270</f>
        <v>124574.93</v>
      </c>
    </row>
    <row r="270" spans="2:9" x14ac:dyDescent="0.25">
      <c r="B270" s="134" t="s">
        <v>474</v>
      </c>
      <c r="C270" s="169"/>
      <c r="D270" s="167"/>
      <c r="E270" s="168"/>
      <c r="F270" s="168">
        <v>124574.93</v>
      </c>
      <c r="G270" s="168">
        <f>F270</f>
        <v>124574.93</v>
      </c>
      <c r="I270" t="s">
        <v>479</v>
      </c>
    </row>
    <row r="271" spans="2:9" x14ac:dyDescent="0.25">
      <c r="B271" t="s">
        <v>221</v>
      </c>
      <c r="C271" s="169">
        <v>1491352.755942276</v>
      </c>
      <c r="D271" s="167">
        <f t="shared" ref="D271:D288" si="23">C271-F271</f>
        <v>1491352.755942276</v>
      </c>
      <c r="E271" s="168">
        <f t="shared" si="22"/>
        <v>74567.637797113799</v>
      </c>
    </row>
    <row r="272" spans="2:9" x14ac:dyDescent="0.25">
      <c r="B272" t="s">
        <v>222</v>
      </c>
      <c r="C272" s="169">
        <v>26924.641256556453</v>
      </c>
      <c r="D272" s="167">
        <f>C272-F272</f>
        <v>26924.641256556453</v>
      </c>
      <c r="E272" s="168">
        <f t="shared" si="22"/>
        <v>1346.2320628278228</v>
      </c>
    </row>
    <row r="273" spans="2:9" x14ac:dyDescent="0.25">
      <c r="B273" t="s">
        <v>223</v>
      </c>
      <c r="C273" s="169">
        <v>62201.952422286879</v>
      </c>
      <c r="D273" s="167">
        <f>C273-F266</f>
        <v>-99718.797577713121</v>
      </c>
      <c r="E273" s="168">
        <f t="shared" si="22"/>
        <v>3110.0976211143443</v>
      </c>
    </row>
    <row r="274" spans="2:9" x14ac:dyDescent="0.25">
      <c r="B274" t="s">
        <v>90</v>
      </c>
      <c r="C274" s="169">
        <v>1021922.0664284745</v>
      </c>
      <c r="D274" s="167">
        <f t="shared" si="23"/>
        <v>1021922.0664284745</v>
      </c>
      <c r="E274" s="168">
        <f t="shared" si="22"/>
        <v>51096.103321423725</v>
      </c>
    </row>
    <row r="275" spans="2:9" x14ac:dyDescent="0.25">
      <c r="B275" t="s">
        <v>117</v>
      </c>
      <c r="C275" s="169">
        <v>274262.47323166102</v>
      </c>
      <c r="D275" s="167">
        <f>C275-F268</f>
        <v>181057.44323166102</v>
      </c>
      <c r="E275" s="168">
        <f t="shared" si="22"/>
        <v>13713.123661583051</v>
      </c>
    </row>
    <row r="276" spans="2:9" x14ac:dyDescent="0.25">
      <c r="B276" t="s">
        <v>225</v>
      </c>
      <c r="C276" s="169">
        <v>690897.33374615386</v>
      </c>
      <c r="D276" s="167">
        <f>C276-F269</f>
        <v>690897.33374615386</v>
      </c>
      <c r="E276" s="168">
        <f t="shared" si="22"/>
        <v>34544.866687307695</v>
      </c>
    </row>
    <row r="277" spans="2:9" x14ac:dyDescent="0.25">
      <c r="B277" t="s">
        <v>123</v>
      </c>
      <c r="C277" s="169">
        <v>434903.87579845643</v>
      </c>
      <c r="D277" s="167">
        <f>C277-F270</f>
        <v>310328.94579845644</v>
      </c>
      <c r="E277" s="168">
        <f t="shared" si="22"/>
        <v>21745.193789922821</v>
      </c>
    </row>
    <row r="278" spans="2:9" x14ac:dyDescent="0.25">
      <c r="B278" t="s">
        <v>319</v>
      </c>
      <c r="C278" s="169">
        <v>122559.62</v>
      </c>
      <c r="D278" s="167">
        <f t="shared" si="23"/>
        <v>122559.62</v>
      </c>
      <c r="E278" s="168">
        <f t="shared" si="22"/>
        <v>6127.9809999999998</v>
      </c>
    </row>
    <row r="279" spans="2:9" x14ac:dyDescent="0.25">
      <c r="B279" t="s">
        <v>226</v>
      </c>
      <c r="C279" s="169">
        <v>181811.54794615312</v>
      </c>
      <c r="D279" s="167">
        <f t="shared" si="23"/>
        <v>181811.54794615312</v>
      </c>
      <c r="E279" s="168">
        <f t="shared" si="22"/>
        <v>9090.5773973076557</v>
      </c>
    </row>
    <row r="280" spans="2:9" x14ac:dyDescent="0.25">
      <c r="B280" t="s">
        <v>227</v>
      </c>
      <c r="C280" s="169">
        <v>690309.03033469804</v>
      </c>
      <c r="D280" s="167">
        <f t="shared" si="23"/>
        <v>690309.03033469804</v>
      </c>
      <c r="E280" s="168">
        <f t="shared" si="22"/>
        <v>34515.451516734902</v>
      </c>
    </row>
    <row r="281" spans="2:9" x14ac:dyDescent="0.25">
      <c r="B281" t="s">
        <v>141</v>
      </c>
      <c r="C281" s="169">
        <v>6130831.3347618096</v>
      </c>
      <c r="D281" s="167">
        <f>C281-F282</f>
        <v>6072009.0747618098</v>
      </c>
      <c r="E281" s="168">
        <f t="shared" si="22"/>
        <v>306541.56673809048</v>
      </c>
      <c r="G281" s="168">
        <f>F282</f>
        <v>58822.26</v>
      </c>
    </row>
    <row r="282" spans="2:9" x14ac:dyDescent="0.25">
      <c r="B282" s="134" t="s">
        <v>475</v>
      </c>
      <c r="C282" s="169"/>
      <c r="D282" s="167"/>
      <c r="E282" s="168"/>
      <c r="F282" s="168">
        <v>58822.26</v>
      </c>
      <c r="G282" s="168">
        <f>F282</f>
        <v>58822.26</v>
      </c>
      <c r="I282" t="s">
        <v>479</v>
      </c>
    </row>
    <row r="283" spans="2:9" x14ac:dyDescent="0.25">
      <c r="B283" t="s">
        <v>320</v>
      </c>
      <c r="C283" s="169">
        <v>174654.76</v>
      </c>
      <c r="D283" s="167">
        <f t="shared" si="23"/>
        <v>174654.76</v>
      </c>
      <c r="E283" s="168">
        <f t="shared" si="22"/>
        <v>8732.7380000000012</v>
      </c>
    </row>
    <row r="284" spans="2:9" x14ac:dyDescent="0.25">
      <c r="B284" t="s">
        <v>58</v>
      </c>
      <c r="C284" s="169">
        <v>603507.97177046596</v>
      </c>
      <c r="D284" s="167">
        <f t="shared" si="23"/>
        <v>603507.97177046596</v>
      </c>
      <c r="E284" s="168">
        <f t="shared" si="22"/>
        <v>30175.398588523298</v>
      </c>
    </row>
    <row r="285" spans="2:9" x14ac:dyDescent="0.25">
      <c r="B285" t="s">
        <v>56</v>
      </c>
      <c r="C285" s="169">
        <v>916129.01211325766</v>
      </c>
      <c r="D285" s="167">
        <f t="shared" si="23"/>
        <v>916129.01211325766</v>
      </c>
      <c r="E285" s="168">
        <f t="shared" si="22"/>
        <v>45806.450605662889</v>
      </c>
    </row>
    <row r="286" spans="2:9" x14ac:dyDescent="0.25">
      <c r="B286" t="s">
        <v>490</v>
      </c>
      <c r="C286" s="169">
        <v>106538.11</v>
      </c>
      <c r="D286" s="167">
        <f>C286-F286</f>
        <v>106538.11</v>
      </c>
      <c r="E286" s="168">
        <f t="shared" si="22"/>
        <v>5326.9055000000008</v>
      </c>
    </row>
    <row r="287" spans="2:9" x14ac:dyDescent="0.25">
      <c r="B287" t="s">
        <v>39</v>
      </c>
      <c r="C287" s="169">
        <v>4266743.6458331821</v>
      </c>
      <c r="D287" s="167">
        <f>C287-F287</f>
        <v>4266743.6458331821</v>
      </c>
      <c r="E287" s="168">
        <f t="shared" si="22"/>
        <v>213337.18229165912</v>
      </c>
    </row>
    <row r="288" spans="2:9" x14ac:dyDescent="0.25">
      <c r="B288" t="s">
        <v>97</v>
      </c>
      <c r="C288" s="169">
        <v>643729.83175511542</v>
      </c>
      <c r="D288" s="167">
        <f t="shared" si="23"/>
        <v>643729.83175511542</v>
      </c>
      <c r="E288" s="168">
        <f t="shared" si="22"/>
        <v>32186.491587755772</v>
      </c>
    </row>
    <row r="289" spans="2:5" x14ac:dyDescent="0.25">
      <c r="B289" t="s">
        <v>228</v>
      </c>
      <c r="C289" s="169">
        <v>248661.12424358178</v>
      </c>
      <c r="D289" s="167">
        <f>C289-F282</f>
        <v>189838.86424358177</v>
      </c>
      <c r="E289" s="168">
        <f t="shared" si="22"/>
        <v>12433.05621217909</v>
      </c>
    </row>
    <row r="290" spans="2:5" x14ac:dyDescent="0.25">
      <c r="B290" s="166"/>
      <c r="C290" s="221"/>
      <c r="D290" s="221"/>
      <c r="E290" s="168"/>
    </row>
    <row r="291" spans="2:5" x14ac:dyDescent="0.25">
      <c r="B291" s="222" t="s">
        <v>476</v>
      </c>
      <c r="C291" s="165">
        <f>SUM(C2:C290)</f>
        <v>383551615.88705105</v>
      </c>
    </row>
  </sheetData>
  <sheetProtection algorithmName="SHA-512" hashValue="qMcihiWElhKeN/a+K+547/4S7xtTlcBC4PnF4GXFPCRlQE9uTHMqMxQeEZ7s+fHJxzSBxg7Xc/+VpdPFQs+7hg==" saltValue="TvjWTB0kWo3pvVc8jqLVvQ==" spinCount="100000" sheet="1" selectLockedCells="1" selectUnlockedCells="1"/>
  <autoFilter ref="B1:I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98"/>
  <sheetViews>
    <sheetView workbookViewId="0">
      <pane ySplit="1" topLeftCell="A186" activePane="bottomLeft" state="frozen"/>
      <selection activeCell="C228" sqref="C228"/>
      <selection pane="bottomLeft" activeCell="C228" sqref="C228"/>
    </sheetView>
  </sheetViews>
  <sheetFormatPr defaultColWidth="10.625" defaultRowHeight="15.75" x14ac:dyDescent="0.25"/>
  <cols>
    <col min="2" max="2" width="53.625" customWidth="1"/>
    <col min="3" max="5" width="33.875" style="165" customWidth="1"/>
    <col min="6" max="7" width="33.875" style="168" customWidth="1"/>
    <col min="8" max="30" width="33.875" customWidth="1"/>
  </cols>
  <sheetData>
    <row r="1" spans="2:10" x14ac:dyDescent="0.25">
      <c r="B1" s="211" t="s">
        <v>409</v>
      </c>
      <c r="C1" s="212" t="s">
        <v>382</v>
      </c>
      <c r="D1" s="212" t="s">
        <v>377</v>
      </c>
      <c r="E1" s="212" t="s">
        <v>343</v>
      </c>
      <c r="F1" s="212" t="s">
        <v>376</v>
      </c>
      <c r="G1" s="212" t="s">
        <v>504</v>
      </c>
      <c r="H1" s="212" t="s">
        <v>410</v>
      </c>
      <c r="J1" s="212" t="s">
        <v>478</v>
      </c>
    </row>
    <row r="2" spans="2:10" x14ac:dyDescent="0.25">
      <c r="B2" t="s">
        <v>70</v>
      </c>
      <c r="C2" s="169">
        <v>28023.606205803651</v>
      </c>
      <c r="D2" s="167">
        <f>C2-F2</f>
        <v>28023.606205803651</v>
      </c>
      <c r="E2" s="168">
        <f t="shared" ref="E2:E79" si="0">MIN((C2*0.05),500000)</f>
        <v>1401.1803102901827</v>
      </c>
    </row>
    <row r="3" spans="2:10" x14ac:dyDescent="0.25">
      <c r="B3" t="s">
        <v>73</v>
      </c>
      <c r="C3" s="169">
        <v>265496.76613803202</v>
      </c>
      <c r="D3" s="167">
        <f>C3-F3</f>
        <v>265496.76613803202</v>
      </c>
      <c r="E3" s="168">
        <f t="shared" si="0"/>
        <v>13274.838306901602</v>
      </c>
    </row>
    <row r="4" spans="2:10" x14ac:dyDescent="0.25">
      <c r="B4" t="s">
        <v>131</v>
      </c>
      <c r="C4" s="169">
        <v>263629.38511490211</v>
      </c>
      <c r="D4" s="167">
        <f t="shared" ref="D4:D18" si="1">C4-F4</f>
        <v>263629.38511490211</v>
      </c>
      <c r="E4" s="168">
        <f t="shared" si="0"/>
        <v>13181.469255745105</v>
      </c>
    </row>
    <row r="5" spans="2:10" x14ac:dyDescent="0.25">
      <c r="B5" t="s">
        <v>168</v>
      </c>
      <c r="C5" s="169">
        <v>576799.01337484864</v>
      </c>
      <c r="D5" s="167">
        <f t="shared" si="1"/>
        <v>576799.01337484864</v>
      </c>
      <c r="E5" s="168">
        <f t="shared" si="0"/>
        <v>28839.950668742433</v>
      </c>
    </row>
    <row r="6" spans="2:10" x14ac:dyDescent="0.25">
      <c r="B6" t="s">
        <v>75</v>
      </c>
      <c r="C6" s="169">
        <v>106010.49991593463</v>
      </c>
      <c r="D6" s="167">
        <f t="shared" si="1"/>
        <v>106010.49991593463</v>
      </c>
      <c r="E6" s="168">
        <f t="shared" si="0"/>
        <v>5300.5249957967317</v>
      </c>
    </row>
    <row r="7" spans="2:10" x14ac:dyDescent="0.25">
      <c r="B7" t="s">
        <v>494</v>
      </c>
      <c r="C7" s="169">
        <v>253046.16</v>
      </c>
      <c r="D7" s="167">
        <f t="shared" si="1"/>
        <v>253046.16</v>
      </c>
      <c r="E7" s="168">
        <f t="shared" si="0"/>
        <v>12652.308000000001</v>
      </c>
    </row>
    <row r="8" spans="2:10" x14ac:dyDescent="0.25">
      <c r="B8" t="s">
        <v>81</v>
      </c>
      <c r="C8" s="169">
        <v>183904.46734788714</v>
      </c>
      <c r="D8" s="167">
        <f t="shared" si="1"/>
        <v>183904.46734788714</v>
      </c>
      <c r="E8" s="168">
        <f t="shared" si="0"/>
        <v>9195.2233673943574</v>
      </c>
    </row>
    <row r="9" spans="2:10" x14ac:dyDescent="0.25">
      <c r="B9" t="s">
        <v>485</v>
      </c>
      <c r="C9" s="169">
        <v>52521.84</v>
      </c>
      <c r="D9" s="167">
        <f t="shared" si="1"/>
        <v>52521.84</v>
      </c>
      <c r="E9" s="168">
        <f t="shared" si="0"/>
        <v>2626.0920000000001</v>
      </c>
    </row>
    <row r="10" spans="2:10" x14ac:dyDescent="0.25">
      <c r="B10" t="s">
        <v>82</v>
      </c>
      <c r="C10" s="169">
        <v>28023.606205803651</v>
      </c>
      <c r="D10" s="167">
        <f t="shared" si="1"/>
        <v>28023.606205803651</v>
      </c>
      <c r="E10" s="168">
        <f t="shared" si="0"/>
        <v>1401.1803102901827</v>
      </c>
    </row>
    <row r="11" spans="2:10" x14ac:dyDescent="0.25">
      <c r="B11" t="s">
        <v>84</v>
      </c>
      <c r="C11" s="169">
        <v>1934672.3712483437</v>
      </c>
      <c r="D11" s="167">
        <f t="shared" si="1"/>
        <v>1934672.3712483437</v>
      </c>
      <c r="E11" s="168">
        <f t="shared" si="0"/>
        <v>96733.618562417192</v>
      </c>
    </row>
    <row r="12" spans="2:10" x14ac:dyDescent="0.25">
      <c r="B12" t="s">
        <v>87</v>
      </c>
      <c r="C12" s="169">
        <v>28023.606205803651</v>
      </c>
      <c r="D12" s="167">
        <f t="shared" si="1"/>
        <v>28023.606205803651</v>
      </c>
      <c r="E12" s="168">
        <f t="shared" si="0"/>
        <v>1401.1803102901827</v>
      </c>
    </row>
    <row r="13" spans="2:10" x14ac:dyDescent="0.25">
      <c r="B13" t="s">
        <v>88</v>
      </c>
      <c r="C13" s="169">
        <v>1272520.403224956</v>
      </c>
      <c r="D13" s="167">
        <f t="shared" si="1"/>
        <v>1272520.403224956</v>
      </c>
      <c r="E13" s="168">
        <f t="shared" si="0"/>
        <v>63626.020161247805</v>
      </c>
    </row>
    <row r="14" spans="2:10" x14ac:dyDescent="0.25">
      <c r="B14" t="s">
        <v>91</v>
      </c>
      <c r="C14" s="169">
        <v>432983.0993653374</v>
      </c>
      <c r="D14" s="167">
        <f t="shared" si="1"/>
        <v>432983.0993653374</v>
      </c>
      <c r="E14" s="168">
        <f t="shared" si="0"/>
        <v>21649.15496826687</v>
      </c>
    </row>
    <row r="15" spans="2:10" x14ac:dyDescent="0.25">
      <c r="B15" t="s">
        <v>63</v>
      </c>
      <c r="C15" s="169">
        <v>1539541.2789836598</v>
      </c>
      <c r="D15" s="167">
        <f>C15-F16</f>
        <v>1358222.9389836597</v>
      </c>
      <c r="E15" s="168">
        <f t="shared" si="0"/>
        <v>76977.063949182993</v>
      </c>
      <c r="G15" s="168">
        <f>F16</f>
        <v>181318.34</v>
      </c>
    </row>
    <row r="16" spans="2:10" x14ac:dyDescent="0.25">
      <c r="B16" s="134" t="s">
        <v>411</v>
      </c>
      <c r="C16" s="169"/>
      <c r="D16" s="167"/>
      <c r="E16" s="168"/>
      <c r="F16" s="168">
        <v>181318.34</v>
      </c>
      <c r="G16" s="168">
        <f>F16</f>
        <v>181318.34</v>
      </c>
      <c r="J16" t="s">
        <v>479</v>
      </c>
    </row>
    <row r="17" spans="2:10" x14ac:dyDescent="0.25">
      <c r="B17" t="s">
        <v>92</v>
      </c>
      <c r="C17" s="169">
        <v>523217.26179001556</v>
      </c>
      <c r="D17" s="167">
        <f t="shared" si="1"/>
        <v>523217.26179001556</v>
      </c>
      <c r="E17" s="168">
        <f t="shared" si="0"/>
        <v>26160.863089500781</v>
      </c>
    </row>
    <row r="18" spans="2:10" x14ac:dyDescent="0.25">
      <c r="B18" t="s">
        <v>170</v>
      </c>
      <c r="C18" s="169">
        <v>735949.27655853843</v>
      </c>
      <c r="D18" s="167">
        <f t="shared" si="1"/>
        <v>735949.27655853843</v>
      </c>
      <c r="E18" s="168">
        <f t="shared" si="0"/>
        <v>36797.46382792692</v>
      </c>
    </row>
    <row r="19" spans="2:10" x14ac:dyDescent="0.25">
      <c r="B19" t="s">
        <v>118</v>
      </c>
      <c r="C19" s="169">
        <v>27884373.272353038</v>
      </c>
      <c r="D19" s="167">
        <f>C19-F19</f>
        <v>27884373.272353038</v>
      </c>
      <c r="E19" s="168">
        <f t="shared" si="0"/>
        <v>500000</v>
      </c>
    </row>
    <row r="20" spans="2:10" x14ac:dyDescent="0.25">
      <c r="B20" t="s">
        <v>315</v>
      </c>
      <c r="C20" s="169">
        <v>115963.08</v>
      </c>
      <c r="D20" s="167">
        <f t="shared" ref="D20" si="2">C20-F20</f>
        <v>115963.08</v>
      </c>
      <c r="E20" s="168">
        <f t="shared" si="0"/>
        <v>5798.1540000000005</v>
      </c>
    </row>
    <row r="21" spans="2:10" x14ac:dyDescent="0.25">
      <c r="B21" t="s">
        <v>38</v>
      </c>
      <c r="C21" s="169">
        <v>11981841.727188611</v>
      </c>
      <c r="D21" s="167">
        <f>C21-F22</f>
        <v>11893071.347188611</v>
      </c>
      <c r="E21" s="168">
        <f t="shared" si="0"/>
        <v>500000</v>
      </c>
      <c r="G21" s="168">
        <f>F22</f>
        <v>88770.38</v>
      </c>
    </row>
    <row r="22" spans="2:10" x14ac:dyDescent="0.25">
      <c r="B22" s="134" t="s">
        <v>412</v>
      </c>
      <c r="C22" s="169"/>
      <c r="D22" s="167"/>
      <c r="E22" s="168"/>
      <c r="F22" s="168">
        <v>88770.38</v>
      </c>
      <c r="G22" s="168">
        <f>F22</f>
        <v>88770.38</v>
      </c>
      <c r="J22" t="s">
        <v>479</v>
      </c>
    </row>
    <row r="23" spans="2:10" x14ac:dyDescent="0.25">
      <c r="B23" t="s">
        <v>139</v>
      </c>
      <c r="C23" s="169">
        <v>3913282.7304779175</v>
      </c>
      <c r="D23" s="167">
        <f t="shared" ref="D23:D40" si="3">C23-F23</f>
        <v>3913282.7304779175</v>
      </c>
      <c r="E23" s="168">
        <f t="shared" si="0"/>
        <v>195664.1365238959</v>
      </c>
    </row>
    <row r="24" spans="2:10" x14ac:dyDescent="0.25">
      <c r="B24" t="s">
        <v>171</v>
      </c>
      <c r="C24" s="169">
        <v>217739.49691422554</v>
      </c>
      <c r="D24" s="167">
        <f t="shared" si="3"/>
        <v>217739.49691422554</v>
      </c>
      <c r="E24" s="168">
        <f t="shared" si="0"/>
        <v>10886.974845711278</v>
      </c>
    </row>
    <row r="25" spans="2:10" x14ac:dyDescent="0.25">
      <c r="B25" t="s">
        <v>98</v>
      </c>
      <c r="C25" s="169">
        <v>34798.313006056684</v>
      </c>
      <c r="D25" s="167">
        <f t="shared" si="3"/>
        <v>34798.313006056684</v>
      </c>
      <c r="E25" s="168">
        <f t="shared" si="0"/>
        <v>1739.9156503028344</v>
      </c>
    </row>
    <row r="26" spans="2:10" x14ac:dyDescent="0.25">
      <c r="B26" t="s">
        <v>100</v>
      </c>
      <c r="C26" s="169">
        <v>1059766.6981852299</v>
      </c>
      <c r="D26" s="167">
        <f t="shared" ref="D26:D39" si="4">C26-F26-E26</f>
        <v>1006778.3632759685</v>
      </c>
      <c r="E26" s="168">
        <f t="shared" si="0"/>
        <v>52988.334909261495</v>
      </c>
    </row>
    <row r="27" spans="2:10" x14ac:dyDescent="0.25">
      <c r="B27" t="s">
        <v>101</v>
      </c>
      <c r="C27" s="169">
        <v>81066.463843299149</v>
      </c>
      <c r="D27" s="167">
        <f t="shared" si="3"/>
        <v>81066.463843299149</v>
      </c>
      <c r="E27" s="168">
        <f t="shared" si="0"/>
        <v>4053.3231921649576</v>
      </c>
    </row>
    <row r="28" spans="2:10" x14ac:dyDescent="0.25">
      <c r="B28" t="s">
        <v>102</v>
      </c>
      <c r="C28" s="169">
        <v>226153.41653588088</v>
      </c>
      <c r="D28" s="167">
        <f t="shared" si="3"/>
        <v>226153.41653588088</v>
      </c>
      <c r="E28" s="168">
        <f t="shared" si="0"/>
        <v>11307.670826794045</v>
      </c>
    </row>
    <row r="29" spans="2:10" x14ac:dyDescent="0.25">
      <c r="B29" t="s">
        <v>103</v>
      </c>
      <c r="C29" s="169">
        <v>205840.61767202892</v>
      </c>
      <c r="D29" s="167">
        <f t="shared" si="3"/>
        <v>205840.61767202892</v>
      </c>
      <c r="E29" s="168">
        <f t="shared" si="0"/>
        <v>10292.030883601446</v>
      </c>
    </row>
    <row r="30" spans="2:10" x14ac:dyDescent="0.25">
      <c r="B30" t="s">
        <v>62</v>
      </c>
      <c r="C30" s="169">
        <v>3194163.8152872478</v>
      </c>
      <c r="D30" s="167">
        <f t="shared" si="4"/>
        <v>3034455.6245228853</v>
      </c>
      <c r="E30" s="168">
        <f t="shared" si="0"/>
        <v>159708.1907643624</v>
      </c>
    </row>
    <row r="31" spans="2:10" x14ac:dyDescent="0.25">
      <c r="B31" t="s">
        <v>104</v>
      </c>
      <c r="C31" s="169">
        <v>1724231.9028064818</v>
      </c>
      <c r="D31" s="167">
        <f t="shared" si="3"/>
        <v>1724231.9028064818</v>
      </c>
      <c r="E31" s="168">
        <f t="shared" si="0"/>
        <v>86211.595140324091</v>
      </c>
    </row>
    <row r="32" spans="2:10" x14ac:dyDescent="0.25">
      <c r="B32" t="s">
        <v>47</v>
      </c>
      <c r="C32" s="169">
        <v>4471439.1519187791</v>
      </c>
      <c r="D32" s="167">
        <f t="shared" si="3"/>
        <v>4471439.1519187791</v>
      </c>
      <c r="E32" s="168">
        <f t="shared" si="0"/>
        <v>223571.95759593896</v>
      </c>
    </row>
    <row r="33" spans="2:10" x14ac:dyDescent="0.25">
      <c r="B33" t="s">
        <v>129</v>
      </c>
      <c r="C33" s="169">
        <v>361293.78253619949</v>
      </c>
      <c r="D33" s="167">
        <f t="shared" si="3"/>
        <v>361293.78253619949</v>
      </c>
      <c r="E33" s="168">
        <f t="shared" si="0"/>
        <v>18064.689126809975</v>
      </c>
    </row>
    <row r="34" spans="2:10" x14ac:dyDescent="0.25">
      <c r="B34" t="s">
        <v>105</v>
      </c>
      <c r="C34" s="169">
        <v>486854.27875506406</v>
      </c>
      <c r="D34" s="167">
        <f t="shared" si="4"/>
        <v>462511.56481731083</v>
      </c>
      <c r="E34" s="168">
        <f t="shared" si="0"/>
        <v>24342.713937753204</v>
      </c>
    </row>
    <row r="35" spans="2:10" x14ac:dyDescent="0.25">
      <c r="B35" t="s">
        <v>59</v>
      </c>
      <c r="C35" s="169">
        <v>3240347.5029753861</v>
      </c>
      <c r="D35" s="167">
        <f t="shared" si="3"/>
        <v>3240347.5029753861</v>
      </c>
      <c r="E35" s="168">
        <f t="shared" si="0"/>
        <v>162017.37514876932</v>
      </c>
    </row>
    <row r="36" spans="2:10" x14ac:dyDescent="0.25">
      <c r="B36" t="s">
        <v>106</v>
      </c>
      <c r="C36" s="169">
        <v>2285535.2631298313</v>
      </c>
      <c r="D36" s="167">
        <f t="shared" si="3"/>
        <v>2285535.2631298313</v>
      </c>
      <c r="E36" s="168">
        <f t="shared" si="0"/>
        <v>114276.76315649156</v>
      </c>
    </row>
    <row r="37" spans="2:10" x14ac:dyDescent="0.25">
      <c r="B37" t="s">
        <v>488</v>
      </c>
      <c r="C37" s="169">
        <v>25874.2</v>
      </c>
      <c r="D37" s="167">
        <f t="shared" si="3"/>
        <v>25874.2</v>
      </c>
      <c r="E37" s="168">
        <f t="shared" si="0"/>
        <v>1293.71</v>
      </c>
    </row>
    <row r="38" spans="2:10" x14ac:dyDescent="0.25">
      <c r="B38" t="s">
        <v>95</v>
      </c>
      <c r="C38" s="169">
        <v>542173.77416071901</v>
      </c>
      <c r="D38" s="167">
        <f t="shared" si="3"/>
        <v>542173.77416071901</v>
      </c>
      <c r="E38" s="168">
        <f t="shared" si="0"/>
        <v>27108.688708035952</v>
      </c>
    </row>
    <row r="39" spans="2:10" x14ac:dyDescent="0.25">
      <c r="B39" t="s">
        <v>120</v>
      </c>
      <c r="C39" s="169">
        <v>442576.75676104467</v>
      </c>
      <c r="D39" s="167">
        <f t="shared" si="4"/>
        <v>420447.91892299242</v>
      </c>
      <c r="E39" s="168">
        <f t="shared" si="0"/>
        <v>22128.837838052234</v>
      </c>
    </row>
    <row r="40" spans="2:10" x14ac:dyDescent="0.25">
      <c r="B40" t="s">
        <v>109</v>
      </c>
      <c r="C40" s="169">
        <v>158855.84717689164</v>
      </c>
      <c r="D40" s="167">
        <f t="shared" si="3"/>
        <v>158855.84717689164</v>
      </c>
      <c r="E40" s="168">
        <f t="shared" si="0"/>
        <v>7942.7923588445819</v>
      </c>
    </row>
    <row r="41" spans="2:10" x14ac:dyDescent="0.25">
      <c r="B41" t="s">
        <v>42</v>
      </c>
      <c r="C41" s="169">
        <v>2284487.5725882207</v>
      </c>
      <c r="D41" s="167">
        <f>C41-F41</f>
        <v>2284487.5725882207</v>
      </c>
      <c r="E41" s="168">
        <f t="shared" si="0"/>
        <v>114224.37862941105</v>
      </c>
    </row>
    <row r="42" spans="2:10" x14ac:dyDescent="0.25">
      <c r="B42" t="s">
        <v>114</v>
      </c>
      <c r="C42" s="169">
        <v>898778.59085935098</v>
      </c>
      <c r="D42" s="167">
        <f t="shared" ref="D42:D43" si="5">C42-F42</f>
        <v>898778.59085935098</v>
      </c>
      <c r="E42" s="168">
        <f t="shared" si="0"/>
        <v>44938.929542967555</v>
      </c>
    </row>
    <row r="43" spans="2:10" x14ac:dyDescent="0.25">
      <c r="B43" t="s">
        <v>111</v>
      </c>
      <c r="C43" s="169">
        <v>777152.4968573564</v>
      </c>
      <c r="D43" s="167">
        <f t="shared" si="5"/>
        <v>777152.4968573564</v>
      </c>
      <c r="E43" s="168">
        <f t="shared" si="0"/>
        <v>38857.624842867823</v>
      </c>
    </row>
    <row r="44" spans="2:10" x14ac:dyDescent="0.25">
      <c r="B44" t="s">
        <v>51</v>
      </c>
      <c r="C44" s="169">
        <v>4499087.6901791245</v>
      </c>
      <c r="D44" s="167">
        <f>C44-F45</f>
        <v>4424141.3601791244</v>
      </c>
      <c r="E44" s="168">
        <f t="shared" si="0"/>
        <v>224954.38450895622</v>
      </c>
      <c r="G44" s="168">
        <f>F45</f>
        <v>74946.33</v>
      </c>
    </row>
    <row r="45" spans="2:10" x14ac:dyDescent="0.25">
      <c r="B45" s="134" t="s">
        <v>413</v>
      </c>
      <c r="C45" s="169"/>
      <c r="D45" s="167"/>
      <c r="E45" s="168"/>
      <c r="F45" s="168">
        <v>74946.33</v>
      </c>
      <c r="G45" s="168">
        <f>F45</f>
        <v>74946.33</v>
      </c>
      <c r="J45" t="s">
        <v>479</v>
      </c>
    </row>
    <row r="46" spans="2:10" x14ac:dyDescent="0.25">
      <c r="B46" s="213" t="s">
        <v>414</v>
      </c>
      <c r="C46" s="169"/>
      <c r="D46" s="167"/>
      <c r="E46" s="168"/>
      <c r="F46" s="168">
        <v>117550.62</v>
      </c>
      <c r="G46" s="168">
        <f>F46</f>
        <v>117550.62</v>
      </c>
      <c r="J46" s="213" t="s">
        <v>479</v>
      </c>
    </row>
    <row r="47" spans="2:10" x14ac:dyDescent="0.25">
      <c r="B47" t="s">
        <v>112</v>
      </c>
      <c r="C47" s="169">
        <v>262441.80073111254</v>
      </c>
      <c r="D47" s="167">
        <f t="shared" ref="D47:D48" si="6">C47-F47</f>
        <v>262441.80073111254</v>
      </c>
      <c r="E47" s="168">
        <f t="shared" si="0"/>
        <v>13122.090036555628</v>
      </c>
    </row>
    <row r="48" spans="2:10" x14ac:dyDescent="0.25">
      <c r="B48" t="s">
        <v>113</v>
      </c>
      <c r="C48" s="169">
        <v>899696.47605701606</v>
      </c>
      <c r="D48" s="167">
        <f t="shared" si="6"/>
        <v>899696.47605701606</v>
      </c>
      <c r="E48" s="168">
        <f t="shared" si="0"/>
        <v>44984.823802850806</v>
      </c>
    </row>
    <row r="49" spans="2:10" x14ac:dyDescent="0.25">
      <c r="B49" t="s">
        <v>147</v>
      </c>
      <c r="C49" s="169">
        <v>2101794.6778310356</v>
      </c>
      <c r="D49" s="167">
        <f>C49-F50</f>
        <v>1965613.9678310356</v>
      </c>
      <c r="E49" s="168">
        <f t="shared" si="0"/>
        <v>105089.73389155179</v>
      </c>
      <c r="G49" s="168">
        <f>F50</f>
        <v>136180.71</v>
      </c>
    </row>
    <row r="50" spans="2:10" x14ac:dyDescent="0.25">
      <c r="B50" s="134" t="s">
        <v>415</v>
      </c>
      <c r="C50" s="169"/>
      <c r="D50" s="167"/>
      <c r="E50" s="168"/>
      <c r="F50" s="168">
        <v>136180.71</v>
      </c>
      <c r="G50" s="168">
        <f>F50</f>
        <v>136180.71</v>
      </c>
      <c r="J50" t="s">
        <v>479</v>
      </c>
    </row>
    <row r="51" spans="2:10" x14ac:dyDescent="0.25">
      <c r="B51" t="s">
        <v>124</v>
      </c>
      <c r="C51" s="169">
        <v>240025.15765496608</v>
      </c>
      <c r="D51" s="167">
        <f t="shared" ref="D51:D52" si="7">C51-F51</f>
        <v>240025.15765496608</v>
      </c>
      <c r="E51" s="168">
        <f t="shared" si="0"/>
        <v>12001.257882748305</v>
      </c>
    </row>
    <row r="52" spans="2:10" x14ac:dyDescent="0.25">
      <c r="B52" t="s">
        <v>176</v>
      </c>
      <c r="C52" s="169">
        <v>528689.15113776084</v>
      </c>
      <c r="D52" s="167">
        <f t="shared" si="7"/>
        <v>528689.15113776084</v>
      </c>
      <c r="E52" s="168">
        <f t="shared" si="0"/>
        <v>26434.457556888043</v>
      </c>
    </row>
    <row r="53" spans="2:10" x14ac:dyDescent="0.25">
      <c r="B53" t="s">
        <v>116</v>
      </c>
      <c r="C53" s="169">
        <v>2214962.0704886583</v>
      </c>
      <c r="D53" s="167">
        <f>C53-F53</f>
        <v>2100365.1404886581</v>
      </c>
      <c r="E53" s="168">
        <f t="shared" si="0"/>
        <v>110748.10352443293</v>
      </c>
      <c r="F53" s="168">
        <f>F54</f>
        <v>114596.93</v>
      </c>
      <c r="G53" s="168">
        <f>F54</f>
        <v>114596.93</v>
      </c>
    </row>
    <row r="54" spans="2:10" x14ac:dyDescent="0.25">
      <c r="B54" s="134" t="s">
        <v>416</v>
      </c>
      <c r="C54" s="169"/>
      <c r="D54" s="167"/>
      <c r="E54" s="168"/>
      <c r="F54" s="168">
        <v>114596.93</v>
      </c>
      <c r="G54" s="168">
        <f>F54</f>
        <v>114596.93</v>
      </c>
      <c r="J54" t="s">
        <v>479</v>
      </c>
    </row>
    <row r="55" spans="2:10" x14ac:dyDescent="0.25">
      <c r="B55" t="s">
        <v>61</v>
      </c>
      <c r="C55" s="169">
        <v>7425335.5734990183</v>
      </c>
      <c r="D55" s="167">
        <f>C55-F56</f>
        <v>7324404.3534990186</v>
      </c>
      <c r="E55" s="168">
        <f t="shared" si="0"/>
        <v>371266.77867495094</v>
      </c>
      <c r="G55" s="168">
        <f>F56</f>
        <v>100931.22</v>
      </c>
    </row>
    <row r="56" spans="2:10" x14ac:dyDescent="0.25">
      <c r="B56" s="134" t="s">
        <v>417</v>
      </c>
      <c r="C56" s="169"/>
      <c r="D56" s="167"/>
      <c r="E56" s="168"/>
      <c r="F56" s="168">
        <v>100931.22</v>
      </c>
      <c r="G56" s="168">
        <f>F56</f>
        <v>100931.22</v>
      </c>
      <c r="J56" t="s">
        <v>479</v>
      </c>
    </row>
    <row r="57" spans="2:10" x14ac:dyDescent="0.25">
      <c r="B57" t="s">
        <v>110</v>
      </c>
      <c r="C57" s="169">
        <v>707623.23959456186</v>
      </c>
      <c r="D57" s="167">
        <f t="shared" ref="D57:D72" si="8">C57-F57</f>
        <v>707623.23959456186</v>
      </c>
      <c r="E57" s="168">
        <f t="shared" si="0"/>
        <v>35381.161979728095</v>
      </c>
    </row>
    <row r="58" spans="2:10" x14ac:dyDescent="0.25">
      <c r="B58" t="s">
        <v>122</v>
      </c>
      <c r="C58" s="169">
        <v>80112.708429690843</v>
      </c>
      <c r="D58" s="167">
        <f t="shared" si="8"/>
        <v>80112.708429690843</v>
      </c>
      <c r="E58" s="168">
        <f t="shared" si="0"/>
        <v>4005.6354214845423</v>
      </c>
    </row>
    <row r="59" spans="2:10" x14ac:dyDescent="0.25">
      <c r="B59" t="s">
        <v>125</v>
      </c>
      <c r="C59" s="169">
        <v>28023.606205803651</v>
      </c>
      <c r="D59" s="167">
        <f t="shared" si="8"/>
        <v>28023.606205803651</v>
      </c>
      <c r="E59" s="168">
        <f t="shared" si="0"/>
        <v>1401.1803102901827</v>
      </c>
    </row>
    <row r="60" spans="2:10" x14ac:dyDescent="0.25">
      <c r="B60" t="s">
        <v>128</v>
      </c>
      <c r="C60" s="169">
        <v>28023.606205803651</v>
      </c>
      <c r="D60" s="167">
        <f t="shared" si="8"/>
        <v>28023.606205803651</v>
      </c>
      <c r="E60" s="168">
        <f t="shared" si="0"/>
        <v>1401.1803102901827</v>
      </c>
    </row>
    <row r="61" spans="2:10" x14ac:dyDescent="0.25">
      <c r="B61" t="s">
        <v>179</v>
      </c>
      <c r="C61" s="169">
        <v>209553.85758872272</v>
      </c>
      <c r="D61" s="167">
        <f t="shared" si="8"/>
        <v>209553.85758872272</v>
      </c>
      <c r="E61" s="168">
        <f t="shared" si="0"/>
        <v>10477.692879436137</v>
      </c>
    </row>
    <row r="62" spans="2:10" x14ac:dyDescent="0.25">
      <c r="B62" t="s">
        <v>54</v>
      </c>
      <c r="C62" s="169">
        <v>3896936.6730724964</v>
      </c>
      <c r="D62" s="167">
        <f t="shared" si="8"/>
        <v>3896936.6730724964</v>
      </c>
      <c r="E62" s="168">
        <f t="shared" si="0"/>
        <v>194846.83365362484</v>
      </c>
    </row>
    <row r="63" spans="2:10" x14ac:dyDescent="0.25">
      <c r="B63" t="s">
        <v>130</v>
      </c>
      <c r="C63" s="169">
        <v>28023.606205803651</v>
      </c>
      <c r="D63" s="167">
        <f t="shared" si="8"/>
        <v>28023.606205803651</v>
      </c>
      <c r="E63" s="168">
        <f t="shared" si="0"/>
        <v>1401.1803102901827</v>
      </c>
    </row>
    <row r="64" spans="2:10" x14ac:dyDescent="0.25">
      <c r="B64" t="s">
        <v>99</v>
      </c>
      <c r="C64" s="169">
        <v>281598.96212224953</v>
      </c>
      <c r="D64" s="167">
        <f t="shared" si="8"/>
        <v>281598.96212224953</v>
      </c>
      <c r="E64" s="168">
        <f t="shared" si="0"/>
        <v>14079.948106112477</v>
      </c>
    </row>
    <row r="65" spans="2:10" x14ac:dyDescent="0.25">
      <c r="B65" t="s">
        <v>44</v>
      </c>
      <c r="C65" s="169">
        <v>2704426.2461129827</v>
      </c>
      <c r="D65" s="167">
        <f t="shared" si="8"/>
        <v>2704426.2461129827</v>
      </c>
      <c r="E65" s="168">
        <f t="shared" si="0"/>
        <v>135221.31230564913</v>
      </c>
    </row>
    <row r="66" spans="2:10" x14ac:dyDescent="0.25">
      <c r="B66" t="s">
        <v>486</v>
      </c>
      <c r="C66" s="169">
        <v>108138.89</v>
      </c>
      <c r="D66" s="167">
        <f t="shared" si="8"/>
        <v>108138.89</v>
      </c>
      <c r="E66" s="168">
        <f t="shared" si="0"/>
        <v>5406.9445000000005</v>
      </c>
    </row>
    <row r="67" spans="2:10" x14ac:dyDescent="0.25">
      <c r="B67" t="s">
        <v>132</v>
      </c>
      <c r="C67" s="169">
        <v>244265.7457932407</v>
      </c>
      <c r="D67" s="167">
        <f t="shared" si="8"/>
        <v>244265.7457932407</v>
      </c>
      <c r="E67" s="168">
        <f t="shared" si="0"/>
        <v>12213.287289662036</v>
      </c>
    </row>
    <row r="68" spans="2:10" x14ac:dyDescent="0.25">
      <c r="B68" t="s">
        <v>133</v>
      </c>
      <c r="C68" s="169">
        <v>318338.24614133261</v>
      </c>
      <c r="D68" s="167">
        <f t="shared" si="8"/>
        <v>318338.24614133261</v>
      </c>
      <c r="E68" s="168">
        <f t="shared" si="0"/>
        <v>15916.912307066632</v>
      </c>
    </row>
    <row r="69" spans="2:10" x14ac:dyDescent="0.25">
      <c r="B69" t="s">
        <v>134</v>
      </c>
      <c r="C69" s="169">
        <v>232825.72507905791</v>
      </c>
      <c r="D69" s="167">
        <f t="shared" si="8"/>
        <v>232825.72507905791</v>
      </c>
      <c r="E69" s="168">
        <f t="shared" si="0"/>
        <v>11641.286253952896</v>
      </c>
    </row>
    <row r="70" spans="2:10" x14ac:dyDescent="0.25">
      <c r="B70" t="s">
        <v>135</v>
      </c>
      <c r="C70" s="169">
        <v>333494.19703840499</v>
      </c>
      <c r="D70" s="167">
        <f t="shared" si="8"/>
        <v>333494.19703840499</v>
      </c>
      <c r="E70" s="168">
        <f t="shared" si="0"/>
        <v>16674.709851920252</v>
      </c>
    </row>
    <row r="71" spans="2:10" x14ac:dyDescent="0.25">
      <c r="B71" t="s">
        <v>328</v>
      </c>
      <c r="C71" s="169">
        <v>18803.84</v>
      </c>
      <c r="D71" s="167">
        <f t="shared" si="8"/>
        <v>18803.84</v>
      </c>
      <c r="E71" s="168">
        <f t="shared" si="0"/>
        <v>940.19200000000001</v>
      </c>
      <c r="J71" t="s">
        <v>479</v>
      </c>
    </row>
    <row r="72" spans="2:10" x14ac:dyDescent="0.25">
      <c r="B72" t="s">
        <v>69</v>
      </c>
      <c r="C72" s="169">
        <v>1278938.6261394157</v>
      </c>
      <c r="D72" s="167">
        <f t="shared" si="8"/>
        <v>1278938.6261394157</v>
      </c>
      <c r="E72" s="168">
        <f t="shared" si="0"/>
        <v>63946.931306970786</v>
      </c>
      <c r="J72" t="s">
        <v>479</v>
      </c>
    </row>
    <row r="73" spans="2:10" x14ac:dyDescent="0.25">
      <c r="B73" t="s">
        <v>37</v>
      </c>
      <c r="C73" s="169">
        <v>11510600.744583901</v>
      </c>
      <c r="D73" s="167">
        <f>C73-F73</f>
        <v>11213268.874583902</v>
      </c>
      <c r="E73" s="168">
        <f t="shared" si="0"/>
        <v>500000</v>
      </c>
      <c r="F73" s="168">
        <f>F74+F75+F76</f>
        <v>297331.87</v>
      </c>
      <c r="G73" s="168">
        <f>F74+F75+F76</f>
        <v>297331.87</v>
      </c>
      <c r="J73" t="s">
        <v>479</v>
      </c>
    </row>
    <row r="74" spans="2:10" x14ac:dyDescent="0.25">
      <c r="B74" s="134" t="s">
        <v>418</v>
      </c>
      <c r="C74" s="169"/>
      <c r="D74" s="167"/>
      <c r="E74" s="168"/>
      <c r="F74" s="168">
        <v>129474.67</v>
      </c>
      <c r="G74" s="168">
        <f>F74</f>
        <v>129474.67</v>
      </c>
      <c r="J74" t="s">
        <v>479</v>
      </c>
    </row>
    <row r="75" spans="2:10" x14ac:dyDescent="0.25">
      <c r="B75" s="134" t="s">
        <v>419</v>
      </c>
      <c r="C75" s="169"/>
      <c r="D75" s="167"/>
      <c r="E75" s="168"/>
      <c r="F75" s="168">
        <v>23887.32</v>
      </c>
      <c r="G75" s="168">
        <f>F75</f>
        <v>23887.32</v>
      </c>
    </row>
    <row r="76" spans="2:10" x14ac:dyDescent="0.25">
      <c r="B76" s="134" t="s">
        <v>420</v>
      </c>
      <c r="C76" s="169"/>
      <c r="D76" s="167"/>
      <c r="E76" s="168"/>
      <c r="F76" s="168">
        <v>143969.88</v>
      </c>
      <c r="G76" s="168">
        <f>F76</f>
        <v>143969.88</v>
      </c>
    </row>
    <row r="77" spans="2:10" x14ac:dyDescent="0.25">
      <c r="B77" t="s">
        <v>85</v>
      </c>
      <c r="C77" s="169">
        <v>216356.70008960637</v>
      </c>
      <c r="D77" s="167">
        <f t="shared" ref="D77:D78" si="9">C77-F77</f>
        <v>216356.70008960637</v>
      </c>
      <c r="E77" s="168">
        <f t="shared" si="0"/>
        <v>10817.835004480319</v>
      </c>
      <c r="J77" t="s">
        <v>479</v>
      </c>
    </row>
    <row r="78" spans="2:10" x14ac:dyDescent="0.25">
      <c r="B78" t="s">
        <v>142</v>
      </c>
      <c r="C78" s="169">
        <v>995183.8823129806</v>
      </c>
      <c r="D78" s="167">
        <f t="shared" si="9"/>
        <v>995183.8823129806</v>
      </c>
      <c r="E78" s="168">
        <f t="shared" si="0"/>
        <v>49759.194115649036</v>
      </c>
    </row>
    <row r="79" spans="2:10" x14ac:dyDescent="0.25">
      <c r="B79" t="s">
        <v>107</v>
      </c>
      <c r="C79" s="169">
        <v>4318720.4184537465</v>
      </c>
      <c r="D79" s="167">
        <f>C79-F80</f>
        <v>4200855.9284537463</v>
      </c>
      <c r="E79" s="168">
        <f t="shared" si="0"/>
        <v>215936.02092268734</v>
      </c>
      <c r="G79" s="168">
        <f>F80</f>
        <v>117864.49</v>
      </c>
    </row>
    <row r="80" spans="2:10" x14ac:dyDescent="0.25">
      <c r="B80" s="134" t="s">
        <v>421</v>
      </c>
      <c r="C80" s="169"/>
      <c r="D80" s="167"/>
      <c r="E80" s="168"/>
      <c r="F80" s="168">
        <v>117864.49</v>
      </c>
      <c r="G80" s="168">
        <f>F80</f>
        <v>117864.49</v>
      </c>
    </row>
    <row r="81" spans="2:10" x14ac:dyDescent="0.25">
      <c r="B81" t="s">
        <v>137</v>
      </c>
      <c r="C81" s="169">
        <v>70181.818149918268</v>
      </c>
      <c r="D81" s="167">
        <f t="shared" ref="D81:D91" si="10">C81-F81</f>
        <v>70181.818149918268</v>
      </c>
      <c r="E81" s="168">
        <f t="shared" ref="E81:E171" si="11">MIN((C81*0.05),500000)</f>
        <v>3509.0909074959136</v>
      </c>
    </row>
    <row r="82" spans="2:10" x14ac:dyDescent="0.25">
      <c r="B82" t="s">
        <v>324</v>
      </c>
      <c r="C82" s="169">
        <v>235398.29</v>
      </c>
      <c r="D82" s="167">
        <f t="shared" si="10"/>
        <v>235398.29</v>
      </c>
      <c r="E82" s="168">
        <f t="shared" si="11"/>
        <v>11769.914500000001</v>
      </c>
    </row>
    <row r="83" spans="2:10" x14ac:dyDescent="0.25">
      <c r="B83" t="s">
        <v>119</v>
      </c>
      <c r="C83" s="169">
        <v>30301.925390335487</v>
      </c>
      <c r="D83" s="167">
        <f t="shared" si="10"/>
        <v>30301.925390335487</v>
      </c>
      <c r="E83" s="168">
        <f t="shared" si="11"/>
        <v>1515.0962695167746</v>
      </c>
    </row>
    <row r="84" spans="2:10" x14ac:dyDescent="0.25">
      <c r="B84" t="s">
        <v>138</v>
      </c>
      <c r="C84" s="169">
        <v>426025.34236934804</v>
      </c>
      <c r="D84" s="167">
        <f t="shared" si="10"/>
        <v>426025.34236934804</v>
      </c>
      <c r="E84" s="168">
        <f t="shared" si="11"/>
        <v>21301.267118467404</v>
      </c>
    </row>
    <row r="85" spans="2:10" x14ac:dyDescent="0.25">
      <c r="B85" t="s">
        <v>60</v>
      </c>
      <c r="C85" s="169">
        <v>801222.35048117221</v>
      </c>
      <c r="D85" s="167">
        <f t="shared" si="10"/>
        <v>801222.35048117221</v>
      </c>
      <c r="E85" s="168">
        <f t="shared" si="11"/>
        <v>40061.117524058616</v>
      </c>
    </row>
    <row r="86" spans="2:10" x14ac:dyDescent="0.25">
      <c r="B86" t="s">
        <v>94</v>
      </c>
      <c r="C86" s="169">
        <v>1346708.1366417662</v>
      </c>
      <c r="D86" s="167">
        <f t="shared" si="10"/>
        <v>1346708.1366417662</v>
      </c>
      <c r="E86" s="168">
        <f t="shared" si="11"/>
        <v>67335.406832088309</v>
      </c>
    </row>
    <row r="87" spans="2:10" x14ac:dyDescent="0.25">
      <c r="B87" t="s">
        <v>72</v>
      </c>
      <c r="C87" s="169">
        <v>272615.99515297922</v>
      </c>
      <c r="D87" s="167">
        <f>C87-F88</f>
        <v>177101.73515297921</v>
      </c>
      <c r="E87" s="168">
        <f t="shared" si="11"/>
        <v>13630.799757648962</v>
      </c>
      <c r="G87" s="168">
        <f>F88</f>
        <v>95514.26</v>
      </c>
    </row>
    <row r="88" spans="2:10" x14ac:dyDescent="0.25">
      <c r="B88" s="134" t="s">
        <v>502</v>
      </c>
      <c r="C88" s="169"/>
      <c r="D88" s="167"/>
      <c r="E88" s="168"/>
      <c r="F88" s="168">
        <v>95514.26</v>
      </c>
      <c r="G88" s="168">
        <f>F88</f>
        <v>95514.26</v>
      </c>
    </row>
    <row r="89" spans="2:10" x14ac:dyDescent="0.25">
      <c r="B89" t="s">
        <v>140</v>
      </c>
      <c r="C89" s="169">
        <v>560300.00312675699</v>
      </c>
      <c r="D89" s="167">
        <f t="shared" si="10"/>
        <v>560300.00312675699</v>
      </c>
      <c r="E89" s="168">
        <f t="shared" si="11"/>
        <v>28015.00015633785</v>
      </c>
      <c r="J89" t="s">
        <v>479</v>
      </c>
    </row>
    <row r="90" spans="2:10" x14ac:dyDescent="0.25">
      <c r="B90" t="s">
        <v>185</v>
      </c>
      <c r="C90" s="169">
        <v>4176983.7999774939</v>
      </c>
      <c r="D90" s="167">
        <f t="shared" si="10"/>
        <v>4176983.7999774939</v>
      </c>
      <c r="E90" s="168">
        <f t="shared" si="11"/>
        <v>208849.1899988747</v>
      </c>
      <c r="J90" t="s">
        <v>479</v>
      </c>
    </row>
    <row r="91" spans="2:10" x14ac:dyDescent="0.25">
      <c r="B91" t="s">
        <v>50</v>
      </c>
      <c r="C91" s="169">
        <v>6347030.3630532511</v>
      </c>
      <c r="D91" s="167">
        <f t="shared" si="10"/>
        <v>6347030.3630532511</v>
      </c>
      <c r="E91" s="168">
        <f t="shared" si="11"/>
        <v>317351.51815266255</v>
      </c>
    </row>
    <row r="92" spans="2:10" x14ac:dyDescent="0.25">
      <c r="B92" t="s">
        <v>48</v>
      </c>
      <c r="C92" s="169">
        <v>7884197.8527627792</v>
      </c>
      <c r="D92" s="167">
        <f>C92-F92</f>
        <v>7569239.1327627795</v>
      </c>
      <c r="E92" s="168">
        <f t="shared" si="11"/>
        <v>394209.89263813896</v>
      </c>
      <c r="F92" s="168">
        <f>F93+F94</f>
        <v>314958.71999999997</v>
      </c>
      <c r="G92" s="168">
        <f>F93+F94</f>
        <v>314958.71999999997</v>
      </c>
    </row>
    <row r="93" spans="2:10" x14ac:dyDescent="0.25">
      <c r="B93" s="134" t="s">
        <v>423</v>
      </c>
      <c r="C93" s="169"/>
      <c r="D93" s="167"/>
      <c r="E93" s="168"/>
      <c r="F93" s="168">
        <v>102811.61</v>
      </c>
      <c r="G93" s="168">
        <f>F93</f>
        <v>102811.61</v>
      </c>
    </row>
    <row r="94" spans="2:10" x14ac:dyDescent="0.25">
      <c r="B94" s="134" t="s">
        <v>422</v>
      </c>
      <c r="C94" s="169"/>
      <c r="D94" s="167"/>
      <c r="E94" s="168"/>
      <c r="F94" s="168">
        <v>212147.11</v>
      </c>
      <c r="G94" s="168">
        <f>F94</f>
        <v>212147.11</v>
      </c>
    </row>
    <row r="95" spans="2:10" x14ac:dyDescent="0.25">
      <c r="B95" s="1" t="s">
        <v>480</v>
      </c>
      <c r="C95" s="169">
        <v>4748.53</v>
      </c>
      <c r="D95" s="167">
        <f>C95-F95</f>
        <v>4748.53</v>
      </c>
      <c r="E95" s="168">
        <f>MIN((C95*0.05),500000)</f>
        <v>237.4265</v>
      </c>
    </row>
    <row r="96" spans="2:10" x14ac:dyDescent="0.25">
      <c r="B96" s="213" t="s">
        <v>424</v>
      </c>
      <c r="C96" s="169">
        <f>SUM(H97:H103)</f>
        <v>190661.4621300532</v>
      </c>
      <c r="D96" s="167">
        <f t="shared" ref="D96" si="12">C96-F96</f>
        <v>190661.4621300532</v>
      </c>
      <c r="E96" s="168">
        <f t="shared" ref="E96" si="13">MIN((C96*0.05),500000)</f>
        <v>9533.0731065026612</v>
      </c>
    </row>
    <row r="97" spans="2:10" x14ac:dyDescent="0.25">
      <c r="B97" s="134" t="s">
        <v>425</v>
      </c>
      <c r="D97" s="167"/>
      <c r="E97" s="168"/>
      <c r="H97" s="168">
        <v>26924.641256556453</v>
      </c>
    </row>
    <row r="98" spans="2:10" x14ac:dyDescent="0.25">
      <c r="B98" s="134" t="s">
        <v>426</v>
      </c>
      <c r="D98" s="167"/>
      <c r="E98" s="168"/>
      <c r="H98" s="168">
        <v>26924.641256556453</v>
      </c>
    </row>
    <row r="99" spans="2:10" x14ac:dyDescent="0.25">
      <c r="B99" s="134" t="s">
        <v>427</v>
      </c>
      <c r="D99" s="167"/>
      <c r="E99" s="168"/>
      <c r="H99" s="168">
        <v>26924.641256556453</v>
      </c>
    </row>
    <row r="100" spans="2:10" x14ac:dyDescent="0.25">
      <c r="B100" s="134" t="s">
        <v>428</v>
      </c>
      <c r="D100" s="167"/>
      <c r="E100" s="168"/>
      <c r="H100" s="168">
        <v>29113.614590714493</v>
      </c>
    </row>
    <row r="101" spans="2:10" x14ac:dyDescent="0.25">
      <c r="B101" s="134" t="s">
        <v>429</v>
      </c>
      <c r="D101" s="167"/>
      <c r="E101" s="168"/>
      <c r="H101" s="168">
        <v>26924.641256556453</v>
      </c>
    </row>
    <row r="102" spans="2:10" x14ac:dyDescent="0.25">
      <c r="B102" s="134" t="s">
        <v>430</v>
      </c>
      <c r="D102" s="167"/>
      <c r="E102" s="168"/>
      <c r="H102" s="168">
        <v>26924.641256556453</v>
      </c>
    </row>
    <row r="103" spans="2:10" x14ac:dyDescent="0.25">
      <c r="B103" s="134" t="s">
        <v>431</v>
      </c>
      <c r="D103" s="167"/>
      <c r="E103" s="168"/>
      <c r="H103" s="168">
        <v>26924.641256556453</v>
      </c>
    </row>
    <row r="104" spans="2:10" x14ac:dyDescent="0.25">
      <c r="B104" t="s">
        <v>187</v>
      </c>
      <c r="C104" s="169">
        <v>632970.6505980097</v>
      </c>
      <c r="D104" s="167">
        <f t="shared" ref="D104:D141" si="14">C104-F104</f>
        <v>632970.6505980097</v>
      </c>
      <c r="E104" s="168">
        <f t="shared" si="11"/>
        <v>31648.532529900487</v>
      </c>
    </row>
    <row r="105" spans="2:10" x14ac:dyDescent="0.25">
      <c r="B105" t="s">
        <v>143</v>
      </c>
      <c r="C105" s="169">
        <v>143857.69885482476</v>
      </c>
      <c r="D105" s="167">
        <f t="shared" si="14"/>
        <v>143857.69885482476</v>
      </c>
      <c r="E105" s="168">
        <f t="shared" si="11"/>
        <v>7192.8849427412388</v>
      </c>
    </row>
    <row r="106" spans="2:10" x14ac:dyDescent="0.25">
      <c r="B106" t="s">
        <v>144</v>
      </c>
      <c r="C106" s="169">
        <v>104043.93389247527</v>
      </c>
      <c r="D106" s="167">
        <f t="shared" si="14"/>
        <v>104043.93389247527</v>
      </c>
      <c r="E106" s="168">
        <f t="shared" si="11"/>
        <v>5202.1966946237635</v>
      </c>
    </row>
    <row r="107" spans="2:10" x14ac:dyDescent="0.25">
      <c r="B107" t="s">
        <v>145</v>
      </c>
      <c r="C107" s="169">
        <v>138602.79464147045</v>
      </c>
      <c r="D107" s="167">
        <f t="shared" si="14"/>
        <v>138602.79464147045</v>
      </c>
      <c r="E107" s="168">
        <f t="shared" si="11"/>
        <v>6930.1397320735232</v>
      </c>
    </row>
    <row r="108" spans="2:10" x14ac:dyDescent="0.25">
      <c r="B108" t="s">
        <v>146</v>
      </c>
      <c r="C108" s="169">
        <v>594877.88244639884</v>
      </c>
      <c r="D108" s="167">
        <f t="shared" si="14"/>
        <v>594877.88244639884</v>
      </c>
      <c r="E108" s="168">
        <f t="shared" si="11"/>
        <v>29743.894122319944</v>
      </c>
      <c r="J108" t="s">
        <v>479</v>
      </c>
    </row>
    <row r="109" spans="2:10" x14ac:dyDescent="0.25">
      <c r="B109" t="s">
        <v>190</v>
      </c>
      <c r="C109" s="169">
        <v>184823.64163143752</v>
      </c>
      <c r="D109" s="167">
        <f t="shared" si="14"/>
        <v>184823.64163143752</v>
      </c>
      <c r="E109" s="168">
        <f t="shared" si="11"/>
        <v>9241.1820815718766</v>
      </c>
    </row>
    <row r="110" spans="2:10" x14ac:dyDescent="0.25">
      <c r="B110" t="s">
        <v>148</v>
      </c>
      <c r="C110" s="169">
        <v>4108477.9648133353</v>
      </c>
      <c r="D110" s="167">
        <f t="shared" si="14"/>
        <v>4108477.9648133353</v>
      </c>
      <c r="E110" s="168">
        <f t="shared" si="11"/>
        <v>205423.89824066678</v>
      </c>
    </row>
    <row r="111" spans="2:10" x14ac:dyDescent="0.25">
      <c r="B111" t="s">
        <v>45</v>
      </c>
      <c r="C111" s="169">
        <v>14181731.805504391</v>
      </c>
      <c r="D111" s="167">
        <f>C111-F112</f>
        <v>14051714.885504391</v>
      </c>
      <c r="E111" s="168">
        <f t="shared" si="11"/>
        <v>500000</v>
      </c>
      <c r="G111" s="168">
        <f>F112</f>
        <v>130016.92</v>
      </c>
    </row>
    <row r="112" spans="2:10" x14ac:dyDescent="0.25">
      <c r="B112" s="134" t="s">
        <v>432</v>
      </c>
      <c r="C112" s="169"/>
      <c r="D112" s="167"/>
      <c r="E112" s="168"/>
      <c r="F112" s="168">
        <v>130016.92</v>
      </c>
      <c r="G112" s="168">
        <f>F112</f>
        <v>130016.92</v>
      </c>
    </row>
    <row r="113" spans="2:10" x14ac:dyDescent="0.25">
      <c r="B113" s="1" t="s">
        <v>495</v>
      </c>
      <c r="C113" s="169">
        <v>181548.13</v>
      </c>
      <c r="D113" s="167">
        <f>C113-F113</f>
        <v>181548.13</v>
      </c>
      <c r="E113" s="168">
        <f>MIN((C113*0.05),500000)</f>
        <v>9077.406500000001</v>
      </c>
    </row>
    <row r="114" spans="2:10" x14ac:dyDescent="0.25">
      <c r="B114" t="s">
        <v>149</v>
      </c>
      <c r="C114" s="169">
        <v>2883312.9162519816</v>
      </c>
      <c r="D114" s="167">
        <f t="shared" si="14"/>
        <v>2883312.9162519816</v>
      </c>
      <c r="E114" s="168">
        <f t="shared" si="11"/>
        <v>144165.64581259908</v>
      </c>
    </row>
    <row r="115" spans="2:10" x14ac:dyDescent="0.25">
      <c r="B115" t="s">
        <v>150</v>
      </c>
      <c r="C115" s="169">
        <v>124004.45746068115</v>
      </c>
      <c r="D115" s="167">
        <f t="shared" si="14"/>
        <v>124004.45746068115</v>
      </c>
      <c r="E115" s="168">
        <f t="shared" si="11"/>
        <v>6200.2228730340576</v>
      </c>
    </row>
    <row r="116" spans="2:10" x14ac:dyDescent="0.25">
      <c r="B116" t="s">
        <v>151</v>
      </c>
      <c r="C116" s="169">
        <v>249234.33117352967</v>
      </c>
      <c r="D116" s="167">
        <f t="shared" si="14"/>
        <v>249234.33117352967</v>
      </c>
      <c r="E116" s="168">
        <f t="shared" si="11"/>
        <v>12461.716558676484</v>
      </c>
    </row>
    <row r="117" spans="2:10" x14ac:dyDescent="0.25">
      <c r="B117" t="s">
        <v>152</v>
      </c>
      <c r="C117" s="169">
        <v>191439.23039565398</v>
      </c>
      <c r="D117" s="167">
        <f t="shared" si="14"/>
        <v>191439.23039565398</v>
      </c>
      <c r="E117" s="168">
        <f t="shared" si="11"/>
        <v>9571.9615197826988</v>
      </c>
    </row>
    <row r="118" spans="2:10" x14ac:dyDescent="0.25">
      <c r="B118" t="s">
        <v>52</v>
      </c>
      <c r="C118" s="169">
        <v>2229185.5078656264</v>
      </c>
      <c r="D118" s="167">
        <f t="shared" si="14"/>
        <v>2229185.5078656264</v>
      </c>
      <c r="E118" s="168">
        <f t="shared" si="11"/>
        <v>111459.27539328132</v>
      </c>
    </row>
    <row r="119" spans="2:10" x14ac:dyDescent="0.25">
      <c r="B119" t="s">
        <v>108</v>
      </c>
      <c r="C119" s="169">
        <v>622508.54164598463</v>
      </c>
      <c r="D119" s="167">
        <f t="shared" si="14"/>
        <v>622508.54164598463</v>
      </c>
      <c r="E119" s="168">
        <f t="shared" si="11"/>
        <v>31125.427082299233</v>
      </c>
    </row>
    <row r="120" spans="2:10" x14ac:dyDescent="0.25">
      <c r="B120" t="s">
        <v>154</v>
      </c>
      <c r="C120" s="169">
        <v>175862.14074452079</v>
      </c>
      <c r="D120" s="167">
        <f t="shared" si="14"/>
        <v>175862.14074452079</v>
      </c>
      <c r="E120" s="168">
        <f t="shared" si="11"/>
        <v>8793.1070372260401</v>
      </c>
      <c r="J120" t="s">
        <v>479</v>
      </c>
    </row>
    <row r="121" spans="2:10" x14ac:dyDescent="0.25">
      <c r="B121" t="s">
        <v>155</v>
      </c>
      <c r="C121" s="169">
        <v>464285.01911952085</v>
      </c>
      <c r="D121" s="167">
        <f t="shared" si="14"/>
        <v>464285.01911952085</v>
      </c>
      <c r="E121" s="168">
        <f t="shared" si="11"/>
        <v>23214.250955976044</v>
      </c>
    </row>
    <row r="122" spans="2:10" x14ac:dyDescent="0.25">
      <c r="B122" t="s">
        <v>156</v>
      </c>
      <c r="C122" s="169">
        <v>97202.680485450546</v>
      </c>
      <c r="D122" s="167">
        <f t="shared" si="14"/>
        <v>97202.680485450546</v>
      </c>
      <c r="E122" s="168">
        <f t="shared" si="11"/>
        <v>4860.1340242725273</v>
      </c>
    </row>
    <row r="123" spans="2:10" x14ac:dyDescent="0.25">
      <c r="B123" t="s">
        <v>493</v>
      </c>
      <c r="C123" s="169">
        <v>208076.68</v>
      </c>
      <c r="D123" s="167">
        <f>C123-F123</f>
        <v>208076.68</v>
      </c>
      <c r="E123" s="168">
        <f>MIN((C123*0.05),500000)</f>
        <v>10403.834000000001</v>
      </c>
    </row>
    <row r="124" spans="2:10" x14ac:dyDescent="0.25">
      <c r="B124" t="s">
        <v>157</v>
      </c>
      <c r="C124" s="169">
        <v>250290.03646651472</v>
      </c>
      <c r="D124" s="167">
        <f>C124-F124</f>
        <v>250290.03646651472</v>
      </c>
      <c r="E124" s="168">
        <f t="shared" si="11"/>
        <v>12514.501823325736</v>
      </c>
    </row>
    <row r="125" spans="2:10" x14ac:dyDescent="0.25">
      <c r="B125" t="s">
        <v>158</v>
      </c>
      <c r="C125" s="169">
        <v>1145122.4551943892</v>
      </c>
      <c r="D125" s="167">
        <f t="shared" si="14"/>
        <v>1145122.4551943892</v>
      </c>
      <c r="E125" s="168">
        <f t="shared" si="11"/>
        <v>57256.122759719467</v>
      </c>
    </row>
    <row r="126" spans="2:10" x14ac:dyDescent="0.25">
      <c r="B126" t="s">
        <v>159</v>
      </c>
      <c r="C126" s="169">
        <v>28023.606205803651</v>
      </c>
      <c r="D126" s="167">
        <f t="shared" si="14"/>
        <v>28023.606205803651</v>
      </c>
      <c r="E126" s="168">
        <f t="shared" si="11"/>
        <v>1401.1803102901827</v>
      </c>
    </row>
    <row r="127" spans="2:10" x14ac:dyDescent="0.25">
      <c r="B127" t="s">
        <v>325</v>
      </c>
      <c r="C127" s="169">
        <v>121820.02</v>
      </c>
      <c r="D127" s="167">
        <f t="shared" si="14"/>
        <v>121820.02</v>
      </c>
      <c r="E127" s="168">
        <f t="shared" si="11"/>
        <v>6091.0010000000002</v>
      </c>
      <c r="J127" t="s">
        <v>479</v>
      </c>
    </row>
    <row r="128" spans="2:10" x14ac:dyDescent="0.25">
      <c r="B128" t="s">
        <v>317</v>
      </c>
      <c r="C128" s="169">
        <v>322925.82</v>
      </c>
      <c r="D128" s="167">
        <f t="shared" si="14"/>
        <v>322925.82</v>
      </c>
      <c r="E128" s="168">
        <f t="shared" si="11"/>
        <v>16146.291000000001</v>
      </c>
    </row>
    <row r="129" spans="2:10" x14ac:dyDescent="0.25">
      <c r="B129" t="s">
        <v>43</v>
      </c>
      <c r="C129" s="169">
        <v>4950485.1011822959</v>
      </c>
      <c r="D129" s="167">
        <f t="shared" si="14"/>
        <v>4950485.1011822959</v>
      </c>
      <c r="E129" s="168">
        <f t="shared" si="11"/>
        <v>247524.2550591148</v>
      </c>
    </row>
    <row r="130" spans="2:10" x14ac:dyDescent="0.25">
      <c r="B130" t="s">
        <v>64</v>
      </c>
      <c r="C130" s="169">
        <v>2100752.3117746045</v>
      </c>
      <c r="D130" s="167">
        <f>C130-F130</f>
        <v>2100752.3117746045</v>
      </c>
      <c r="E130" s="168">
        <f t="shared" si="11"/>
        <v>105037.61558873023</v>
      </c>
    </row>
    <row r="131" spans="2:10" x14ac:dyDescent="0.25">
      <c r="B131" t="s">
        <v>83</v>
      </c>
      <c r="C131" s="169">
        <v>382463.43118340004</v>
      </c>
      <c r="D131" s="167">
        <f t="shared" si="14"/>
        <v>382463.43118340004</v>
      </c>
      <c r="E131" s="168">
        <f t="shared" si="11"/>
        <v>19123.171559170001</v>
      </c>
      <c r="J131" t="s">
        <v>479</v>
      </c>
    </row>
    <row r="132" spans="2:10" x14ac:dyDescent="0.25">
      <c r="B132" t="s">
        <v>65</v>
      </c>
      <c r="C132" s="169">
        <v>1579662.7142621584</v>
      </c>
      <c r="D132" s="167">
        <f t="shared" si="14"/>
        <v>1579662.7142621584</v>
      </c>
      <c r="E132" s="168">
        <f t="shared" si="11"/>
        <v>78983.135713107928</v>
      </c>
    </row>
    <row r="133" spans="2:10" x14ac:dyDescent="0.25">
      <c r="B133" t="s">
        <v>161</v>
      </c>
      <c r="C133" s="169">
        <v>578414.01380048913</v>
      </c>
      <c r="D133" s="167">
        <f t="shared" si="14"/>
        <v>578414.01380048913</v>
      </c>
      <c r="E133" s="168">
        <f t="shared" si="11"/>
        <v>28920.70069002446</v>
      </c>
    </row>
    <row r="134" spans="2:10" x14ac:dyDescent="0.25">
      <c r="B134" t="s">
        <v>162</v>
      </c>
      <c r="C134" s="169">
        <v>4460699.5532181049</v>
      </c>
      <c r="D134" s="167">
        <f>C134-F134</f>
        <v>4460699.5532181049</v>
      </c>
      <c r="E134" s="168">
        <f t="shared" si="11"/>
        <v>223034.97766090525</v>
      </c>
    </row>
    <row r="135" spans="2:10" x14ac:dyDescent="0.25">
      <c r="B135" t="s">
        <v>163</v>
      </c>
      <c r="C135" s="169">
        <v>2857019.6556349616</v>
      </c>
      <c r="D135" s="167">
        <f>C135-F136</f>
        <v>2661075.7956349617</v>
      </c>
      <c r="E135" s="168">
        <f t="shared" si="11"/>
        <v>142850.98278174808</v>
      </c>
      <c r="G135" s="168">
        <f>F136</f>
        <v>195943.86</v>
      </c>
    </row>
    <row r="136" spans="2:10" x14ac:dyDescent="0.25">
      <c r="B136" s="134" t="s">
        <v>505</v>
      </c>
      <c r="C136" s="169"/>
      <c r="D136" s="167"/>
      <c r="E136" s="168"/>
      <c r="F136" s="168">
        <v>195943.86</v>
      </c>
      <c r="G136" s="168">
        <f>F136</f>
        <v>195943.86</v>
      </c>
    </row>
    <row r="137" spans="2:10" x14ac:dyDescent="0.25">
      <c r="B137" t="s">
        <v>483</v>
      </c>
      <c r="C137" s="169">
        <v>129951.07</v>
      </c>
      <c r="D137" s="167">
        <f t="shared" si="14"/>
        <v>129951.07</v>
      </c>
      <c r="E137" s="168">
        <f t="shared" si="11"/>
        <v>6497.5535000000009</v>
      </c>
    </row>
    <row r="138" spans="2:10" x14ac:dyDescent="0.25">
      <c r="B138" t="s">
        <v>321</v>
      </c>
      <c r="C138" s="169">
        <v>27114.240000000002</v>
      </c>
      <c r="D138" s="167">
        <f t="shared" si="14"/>
        <v>27114.240000000002</v>
      </c>
      <c r="E138" s="168">
        <f t="shared" si="11"/>
        <v>1355.7120000000002</v>
      </c>
    </row>
    <row r="139" spans="2:10" x14ac:dyDescent="0.25">
      <c r="B139" t="s">
        <v>36</v>
      </c>
      <c r="C139" s="169">
        <v>3885208.6817809432</v>
      </c>
      <c r="D139" s="167">
        <f>C139-F140</f>
        <v>3694537.461780943</v>
      </c>
      <c r="E139" s="168">
        <f t="shared" si="11"/>
        <v>194260.43408904716</v>
      </c>
      <c r="G139" s="168">
        <f>F140</f>
        <v>190671.22</v>
      </c>
      <c r="J139" t="s">
        <v>479</v>
      </c>
    </row>
    <row r="140" spans="2:10" x14ac:dyDescent="0.25">
      <c r="B140" s="134" t="s">
        <v>433</v>
      </c>
      <c r="C140" s="169"/>
      <c r="D140" s="167"/>
      <c r="E140" s="168"/>
      <c r="F140" s="168">
        <v>190671.22</v>
      </c>
      <c r="G140" s="168">
        <f>F140</f>
        <v>190671.22</v>
      </c>
      <c r="J140" t="s">
        <v>479</v>
      </c>
    </row>
    <row r="141" spans="2:10" x14ac:dyDescent="0.25">
      <c r="B141" t="s">
        <v>164</v>
      </c>
      <c r="C141" s="169">
        <v>71286.44946632332</v>
      </c>
      <c r="D141" s="167">
        <f t="shared" si="14"/>
        <v>71286.44946632332</v>
      </c>
      <c r="E141" s="168">
        <f t="shared" si="11"/>
        <v>3564.322473316166</v>
      </c>
    </row>
    <row r="142" spans="2:10" x14ac:dyDescent="0.25">
      <c r="B142" t="s">
        <v>165</v>
      </c>
      <c r="C142" s="169">
        <v>619044.26344682334</v>
      </c>
      <c r="D142" s="167">
        <f>C142-F142</f>
        <v>325955.18344682333</v>
      </c>
      <c r="E142" s="168">
        <f t="shared" si="11"/>
        <v>30952.213172341169</v>
      </c>
      <c r="F142" s="168">
        <f>F143+F144</f>
        <v>293089.08</v>
      </c>
      <c r="G142" s="168">
        <f>F143+F144</f>
        <v>293089.08</v>
      </c>
    </row>
    <row r="143" spans="2:10" x14ac:dyDescent="0.25">
      <c r="B143" s="134" t="s">
        <v>434</v>
      </c>
      <c r="C143" s="169"/>
      <c r="D143" s="167"/>
      <c r="E143" s="168"/>
      <c r="F143" s="168">
        <v>76396.55</v>
      </c>
      <c r="G143" s="168">
        <f>F143</f>
        <v>76396.55</v>
      </c>
    </row>
    <row r="144" spans="2:10" x14ac:dyDescent="0.25">
      <c r="B144" s="134" t="s">
        <v>435</v>
      </c>
      <c r="C144" s="169"/>
      <c r="D144" s="167"/>
      <c r="E144" s="168"/>
      <c r="F144" s="168">
        <v>216692.53</v>
      </c>
      <c r="G144" s="168">
        <f>F144</f>
        <v>216692.53</v>
      </c>
    </row>
    <row r="145" spans="2:10" x14ac:dyDescent="0.25">
      <c r="B145" s="1" t="s">
        <v>492</v>
      </c>
      <c r="C145" s="169">
        <v>141482.78</v>
      </c>
      <c r="D145" s="167">
        <f>C145-F145</f>
        <v>141482.78</v>
      </c>
      <c r="E145" s="168">
        <f>MIN((C145*0.05),500000)</f>
        <v>7074.1390000000001</v>
      </c>
    </row>
    <row r="146" spans="2:10" x14ac:dyDescent="0.25">
      <c r="B146" t="s">
        <v>298</v>
      </c>
      <c r="C146" s="169">
        <v>28023.606205803651</v>
      </c>
      <c r="D146" s="167">
        <f t="shared" ref="D146:D150" si="15">C146-F146</f>
        <v>28023.606205803651</v>
      </c>
      <c r="E146" s="168">
        <f t="shared" si="11"/>
        <v>1401.1803102901827</v>
      </c>
    </row>
    <row r="147" spans="2:10" x14ac:dyDescent="0.25">
      <c r="B147" t="s">
        <v>166</v>
      </c>
      <c r="C147" s="169">
        <v>174481.08138348639</v>
      </c>
      <c r="D147" s="167">
        <f t="shared" si="15"/>
        <v>174481.08138348639</v>
      </c>
      <c r="E147" s="168">
        <f t="shared" si="11"/>
        <v>8724.0540691743208</v>
      </c>
    </row>
    <row r="148" spans="2:10" x14ac:dyDescent="0.25">
      <c r="B148" t="s">
        <v>167</v>
      </c>
      <c r="C148" s="169">
        <v>274681.78330806416</v>
      </c>
      <c r="D148" s="167">
        <f t="shared" si="15"/>
        <v>274681.78330806416</v>
      </c>
      <c r="E148" s="168">
        <f t="shared" si="11"/>
        <v>13734.089165403209</v>
      </c>
      <c r="J148" t="s">
        <v>479</v>
      </c>
    </row>
    <row r="149" spans="2:10" x14ac:dyDescent="0.25">
      <c r="B149" t="s">
        <v>121</v>
      </c>
      <c r="C149" s="169">
        <v>228064.12205420499</v>
      </c>
      <c r="D149" s="167">
        <f t="shared" si="15"/>
        <v>228064.12205420499</v>
      </c>
      <c r="E149" s="168">
        <f t="shared" si="11"/>
        <v>11403.20610271025</v>
      </c>
      <c r="J149" t="s">
        <v>479</v>
      </c>
    </row>
    <row r="150" spans="2:10" x14ac:dyDescent="0.25">
      <c r="B150" t="s">
        <v>169</v>
      </c>
      <c r="C150" s="169">
        <v>4533494.6255009118</v>
      </c>
      <c r="D150" s="167">
        <f t="shared" si="15"/>
        <v>4533494.6255009118</v>
      </c>
      <c r="E150" s="168">
        <f t="shared" si="11"/>
        <v>226674.7312750456</v>
      </c>
      <c r="J150" t="s">
        <v>479</v>
      </c>
    </row>
    <row r="151" spans="2:10" x14ac:dyDescent="0.25">
      <c r="B151" t="s">
        <v>78</v>
      </c>
      <c r="C151" s="169">
        <v>9731684.8657133002</v>
      </c>
      <c r="D151" s="167">
        <f>C151-F151</f>
        <v>8960957.2257132996</v>
      </c>
      <c r="E151" s="168">
        <f t="shared" si="11"/>
        <v>486584.24328566506</v>
      </c>
      <c r="F151" s="168">
        <f>F152+F153+F154</f>
        <v>770727.64</v>
      </c>
      <c r="G151" s="168">
        <f>F152+F153+F154</f>
        <v>770727.64</v>
      </c>
    </row>
    <row r="152" spans="2:10" x14ac:dyDescent="0.25">
      <c r="B152" s="134" t="s">
        <v>436</v>
      </c>
      <c r="C152" s="169"/>
      <c r="D152" s="167"/>
      <c r="E152" s="168"/>
      <c r="F152" s="168">
        <v>134462.87</v>
      </c>
      <c r="G152" s="168">
        <f>F152</f>
        <v>134462.87</v>
      </c>
    </row>
    <row r="153" spans="2:10" x14ac:dyDescent="0.25">
      <c r="B153" s="134" t="s">
        <v>437</v>
      </c>
      <c r="C153" s="169"/>
      <c r="D153" s="167"/>
      <c r="E153" s="168"/>
      <c r="F153" s="168">
        <v>568482.67000000004</v>
      </c>
      <c r="G153" s="168">
        <f>F153</f>
        <v>568482.67000000004</v>
      </c>
    </row>
    <row r="154" spans="2:10" x14ac:dyDescent="0.25">
      <c r="B154" s="134" t="s">
        <v>438</v>
      </c>
      <c r="C154" s="169"/>
      <c r="D154" s="167"/>
      <c r="E154" s="168"/>
      <c r="F154" s="168">
        <v>67782.100000000006</v>
      </c>
      <c r="G154" s="168">
        <f>F154</f>
        <v>67782.100000000006</v>
      </c>
      <c r="J154" t="s">
        <v>479</v>
      </c>
    </row>
    <row r="155" spans="2:10" x14ac:dyDescent="0.25">
      <c r="B155" t="s">
        <v>93</v>
      </c>
      <c r="C155" s="169">
        <v>1276266.2626192733</v>
      </c>
      <c r="D155" s="167">
        <f t="shared" ref="D155:D156" si="16">C155-F155</f>
        <v>1276266.2626192733</v>
      </c>
      <c r="E155" s="168">
        <f t="shared" si="11"/>
        <v>63813.313130963666</v>
      </c>
      <c r="J155" t="s">
        <v>479</v>
      </c>
    </row>
    <row r="156" spans="2:10" x14ac:dyDescent="0.25">
      <c r="B156" t="s">
        <v>96</v>
      </c>
      <c r="C156" s="169">
        <v>135533.09134241921</v>
      </c>
      <c r="D156" s="167">
        <f t="shared" si="16"/>
        <v>135533.09134241921</v>
      </c>
      <c r="E156" s="168">
        <f t="shared" si="11"/>
        <v>6776.6545671209606</v>
      </c>
    </row>
    <row r="157" spans="2:10" x14ac:dyDescent="0.25">
      <c r="B157" t="s">
        <v>193</v>
      </c>
      <c r="C157" s="169">
        <v>1854731.3354302696</v>
      </c>
      <c r="D157" s="167">
        <f>C157-F157</f>
        <v>1676087.8554302696</v>
      </c>
      <c r="E157" s="168">
        <f t="shared" si="11"/>
        <v>92736.566771513491</v>
      </c>
      <c r="F157" s="168">
        <f>F158+F159</f>
        <v>178643.47999999998</v>
      </c>
      <c r="G157" s="168">
        <f>F158+F159</f>
        <v>178643.47999999998</v>
      </c>
    </row>
    <row r="158" spans="2:10" x14ac:dyDescent="0.25">
      <c r="B158" s="134" t="s">
        <v>439</v>
      </c>
      <c r="C158" s="169"/>
      <c r="D158" s="167"/>
      <c r="E158" s="168"/>
      <c r="F158" s="168">
        <v>125352.39</v>
      </c>
      <c r="G158" s="168">
        <f>F158</f>
        <v>125352.39</v>
      </c>
    </row>
    <row r="159" spans="2:10" x14ac:dyDescent="0.25">
      <c r="B159" s="134" t="s">
        <v>506</v>
      </c>
      <c r="C159" s="169"/>
      <c r="D159" s="167"/>
      <c r="E159" s="168"/>
      <c r="F159" s="168">
        <v>53291.09</v>
      </c>
      <c r="G159" s="168">
        <f>F159</f>
        <v>53291.09</v>
      </c>
    </row>
    <row r="160" spans="2:10" x14ac:dyDescent="0.25">
      <c r="B160" t="s">
        <v>172</v>
      </c>
      <c r="C160" s="169">
        <v>303820.56089920364</v>
      </c>
      <c r="D160" s="167">
        <f t="shared" ref="D160:D170" si="17">C160-F160</f>
        <v>303820.56089920364</v>
      </c>
      <c r="E160" s="168">
        <f t="shared" si="11"/>
        <v>15191.028044960183</v>
      </c>
    </row>
    <row r="161" spans="2:10" x14ac:dyDescent="0.25">
      <c r="B161" t="s">
        <v>173</v>
      </c>
      <c r="C161" s="169">
        <v>80016.307224342861</v>
      </c>
      <c r="D161" s="167">
        <f t="shared" si="17"/>
        <v>80016.307224342861</v>
      </c>
      <c r="E161" s="168">
        <f t="shared" si="11"/>
        <v>4000.8153612171432</v>
      </c>
    </row>
    <row r="162" spans="2:10" x14ac:dyDescent="0.25">
      <c r="B162" t="s">
        <v>55</v>
      </c>
      <c r="C162" s="169">
        <v>1800696.4421330888</v>
      </c>
      <c r="D162" s="167">
        <f t="shared" si="17"/>
        <v>1800696.4421330888</v>
      </c>
      <c r="E162" s="168">
        <f t="shared" si="11"/>
        <v>90034.82210665445</v>
      </c>
    </row>
    <row r="163" spans="2:10" x14ac:dyDescent="0.25">
      <c r="B163" t="s">
        <v>174</v>
      </c>
      <c r="C163" s="169">
        <v>546978.02911421726</v>
      </c>
      <c r="D163" s="167">
        <f t="shared" si="17"/>
        <v>546978.02911421726</v>
      </c>
      <c r="E163" s="168">
        <f t="shared" si="11"/>
        <v>27348.901455710864</v>
      </c>
    </row>
    <row r="164" spans="2:10" x14ac:dyDescent="0.25">
      <c r="B164" t="s">
        <v>71</v>
      </c>
      <c r="C164" s="169">
        <v>407350.63538265013</v>
      </c>
      <c r="D164" s="167">
        <f t="shared" si="17"/>
        <v>407350.63538265013</v>
      </c>
      <c r="E164" s="168">
        <f t="shared" si="11"/>
        <v>20367.531769132507</v>
      </c>
    </row>
    <row r="165" spans="2:10" x14ac:dyDescent="0.25">
      <c r="B165" t="s">
        <v>175</v>
      </c>
      <c r="C165" s="169">
        <v>598164.43493500305</v>
      </c>
      <c r="D165" s="167">
        <f t="shared" si="17"/>
        <v>598164.43493500305</v>
      </c>
      <c r="E165" s="168">
        <f t="shared" si="11"/>
        <v>29908.221746750154</v>
      </c>
    </row>
    <row r="166" spans="2:10" x14ac:dyDescent="0.25">
      <c r="B166" t="s">
        <v>199</v>
      </c>
      <c r="C166" s="169">
        <v>397652.05760530842</v>
      </c>
      <c r="D166" s="167">
        <f t="shared" si="17"/>
        <v>397652.05760530842</v>
      </c>
      <c r="E166" s="168">
        <f t="shared" si="11"/>
        <v>19882.602880265422</v>
      </c>
    </row>
    <row r="167" spans="2:10" x14ac:dyDescent="0.25">
      <c r="B167" t="s">
        <v>487</v>
      </c>
      <c r="C167" s="169">
        <v>60357.24</v>
      </c>
      <c r="D167" s="167">
        <f t="shared" si="17"/>
        <v>60357.24</v>
      </c>
      <c r="E167" s="168">
        <f t="shared" si="11"/>
        <v>3017.8620000000001</v>
      </c>
    </row>
    <row r="168" spans="2:10" x14ac:dyDescent="0.25">
      <c r="B168" t="s">
        <v>177</v>
      </c>
      <c r="C168" s="169">
        <v>3280500.9589857343</v>
      </c>
      <c r="D168" s="167">
        <f t="shared" si="17"/>
        <v>3280500.9589857343</v>
      </c>
      <c r="E168" s="168">
        <f t="shared" si="11"/>
        <v>164025.04794928673</v>
      </c>
      <c r="J168" t="s">
        <v>479</v>
      </c>
    </row>
    <row r="169" spans="2:10" x14ac:dyDescent="0.25">
      <c r="B169" t="s">
        <v>326</v>
      </c>
      <c r="C169" s="169">
        <v>52498.02</v>
      </c>
      <c r="D169" s="167">
        <f t="shared" si="17"/>
        <v>52498.02</v>
      </c>
      <c r="E169" s="168">
        <f t="shared" si="11"/>
        <v>2624.9009999999998</v>
      </c>
      <c r="J169" t="s">
        <v>479</v>
      </c>
    </row>
    <row r="170" spans="2:10" x14ac:dyDescent="0.25">
      <c r="B170" t="s">
        <v>86</v>
      </c>
      <c r="C170" s="169">
        <v>1672021.0313171919</v>
      </c>
      <c r="D170" s="167">
        <f t="shared" si="17"/>
        <v>1672021.0313171919</v>
      </c>
      <c r="E170" s="168">
        <f t="shared" si="11"/>
        <v>83601.051565859598</v>
      </c>
      <c r="J170" t="s">
        <v>479</v>
      </c>
    </row>
    <row r="171" spans="2:10" x14ac:dyDescent="0.25">
      <c r="B171" t="s">
        <v>46</v>
      </c>
      <c r="C171" s="169">
        <v>11419905.501978125</v>
      </c>
      <c r="D171" s="167">
        <f>C171-F171</f>
        <v>10953685.181978125</v>
      </c>
      <c r="E171" s="168">
        <f t="shared" si="11"/>
        <v>500000</v>
      </c>
      <c r="F171" s="168">
        <f>F172+F173+F174</f>
        <v>466220.32</v>
      </c>
      <c r="G171" s="168">
        <f>F172+F173+F174</f>
        <v>466220.32</v>
      </c>
    </row>
    <row r="172" spans="2:10" x14ac:dyDescent="0.25">
      <c r="B172" s="134" t="s">
        <v>441</v>
      </c>
      <c r="C172" s="169"/>
      <c r="D172" s="167"/>
      <c r="E172" s="168"/>
      <c r="F172" s="168">
        <v>167152.4</v>
      </c>
      <c r="G172" s="168">
        <f>F172</f>
        <v>167152.4</v>
      </c>
    </row>
    <row r="173" spans="2:10" x14ac:dyDescent="0.25">
      <c r="B173" s="134" t="s">
        <v>442</v>
      </c>
      <c r="C173" s="169"/>
      <c r="D173" s="167"/>
      <c r="E173" s="168"/>
      <c r="F173" s="168">
        <v>169025.78</v>
      </c>
      <c r="G173" s="168">
        <f>F173</f>
        <v>169025.78</v>
      </c>
    </row>
    <row r="174" spans="2:10" x14ac:dyDescent="0.25">
      <c r="B174" s="134" t="s">
        <v>443</v>
      </c>
      <c r="C174" s="169"/>
      <c r="D174" s="167"/>
      <c r="E174" s="168"/>
      <c r="F174" s="168">
        <v>130042.14</v>
      </c>
      <c r="G174" s="168">
        <f>F174</f>
        <v>130042.14</v>
      </c>
    </row>
    <row r="175" spans="2:10" x14ac:dyDescent="0.25">
      <c r="B175" t="s">
        <v>178</v>
      </c>
      <c r="C175" s="169">
        <v>256650.10598934666</v>
      </c>
      <c r="D175" s="167">
        <f t="shared" ref="D175:D185" si="18">C175-F175</f>
        <v>256650.10598934666</v>
      </c>
      <c r="E175" s="168">
        <f t="shared" ref="E175:E279" si="19">MIN((C175*0.05),500000)</f>
        <v>12832.505299467333</v>
      </c>
    </row>
    <row r="176" spans="2:10" x14ac:dyDescent="0.25">
      <c r="B176" t="s">
        <v>200</v>
      </c>
      <c r="C176" s="169">
        <v>229429.20795970206</v>
      </c>
      <c r="D176" s="167">
        <f t="shared" si="18"/>
        <v>229429.20795970206</v>
      </c>
      <c r="E176" s="168">
        <f t="shared" si="19"/>
        <v>11471.460397985104</v>
      </c>
    </row>
    <row r="177" spans="2:10" x14ac:dyDescent="0.25">
      <c r="B177" t="s">
        <v>180</v>
      </c>
      <c r="C177" s="169">
        <v>1330392.4568254731</v>
      </c>
      <c r="D177" s="167">
        <f t="shared" si="18"/>
        <v>1330392.4568254731</v>
      </c>
      <c r="E177" s="168">
        <f t="shared" si="19"/>
        <v>66519.622841273653</v>
      </c>
      <c r="J177" t="s">
        <v>479</v>
      </c>
    </row>
    <row r="178" spans="2:10" x14ac:dyDescent="0.25">
      <c r="B178" t="s">
        <v>181</v>
      </c>
      <c r="C178" s="169">
        <v>255856.19722553625</v>
      </c>
      <c r="D178" s="167">
        <f t="shared" si="18"/>
        <v>255856.19722553625</v>
      </c>
      <c r="E178" s="168">
        <f t="shared" si="19"/>
        <v>12792.809861276814</v>
      </c>
    </row>
    <row r="179" spans="2:10" x14ac:dyDescent="0.25">
      <c r="B179" t="s">
        <v>182</v>
      </c>
      <c r="C179" s="169">
        <v>1534154.787814067</v>
      </c>
      <c r="D179" s="167">
        <f t="shared" si="18"/>
        <v>1534154.787814067</v>
      </c>
      <c r="E179" s="168">
        <f t="shared" si="19"/>
        <v>76707.739390703355</v>
      </c>
    </row>
    <row r="180" spans="2:10" x14ac:dyDescent="0.25">
      <c r="B180" t="s">
        <v>66</v>
      </c>
      <c r="C180" s="169">
        <v>2102544.9818635895</v>
      </c>
      <c r="D180" s="167">
        <f>C180-F181</f>
        <v>1954923.6318635894</v>
      </c>
      <c r="E180" s="168">
        <f t="shared" si="19"/>
        <v>105127.24909317947</v>
      </c>
      <c r="G180" s="168">
        <f>F181</f>
        <v>147621.35</v>
      </c>
    </row>
    <row r="181" spans="2:10" x14ac:dyDescent="0.25">
      <c r="B181" s="134" t="s">
        <v>444</v>
      </c>
      <c r="C181" s="169"/>
      <c r="D181" s="167"/>
      <c r="E181" s="168"/>
      <c r="F181" s="168">
        <v>147621.35</v>
      </c>
      <c r="G181" s="168">
        <f>F181</f>
        <v>147621.35</v>
      </c>
    </row>
    <row r="182" spans="2:10" x14ac:dyDescent="0.25">
      <c r="B182" t="s">
        <v>183</v>
      </c>
      <c r="C182" s="169">
        <v>937023.13486217265</v>
      </c>
      <c r="D182" s="167">
        <f t="shared" si="18"/>
        <v>937023.13486217265</v>
      </c>
      <c r="E182" s="168">
        <f t="shared" si="19"/>
        <v>46851.156743108637</v>
      </c>
    </row>
    <row r="183" spans="2:10" x14ac:dyDescent="0.25">
      <c r="B183" t="s">
        <v>184</v>
      </c>
      <c r="C183" s="169">
        <v>476966.20535255864</v>
      </c>
      <c r="D183" s="167">
        <f t="shared" si="18"/>
        <v>476966.20535255864</v>
      </c>
      <c r="E183" s="168">
        <f t="shared" si="19"/>
        <v>23848.310267627934</v>
      </c>
      <c r="J183" t="s">
        <v>479</v>
      </c>
    </row>
    <row r="184" spans="2:10" x14ac:dyDescent="0.25">
      <c r="B184" t="s">
        <v>80</v>
      </c>
      <c r="C184" s="169">
        <v>489721.7662364667</v>
      </c>
      <c r="D184" s="167">
        <f t="shared" si="18"/>
        <v>489721.7662364667</v>
      </c>
      <c r="E184" s="168">
        <f t="shared" si="19"/>
        <v>24486.088311823336</v>
      </c>
      <c r="J184" t="s">
        <v>479</v>
      </c>
    </row>
    <row r="185" spans="2:10" x14ac:dyDescent="0.25">
      <c r="B185" t="s">
        <v>186</v>
      </c>
      <c r="C185" s="169">
        <v>1791504.0267310361</v>
      </c>
      <c r="D185" s="167">
        <f t="shared" si="18"/>
        <v>1791504.0267310361</v>
      </c>
      <c r="E185" s="168">
        <f t="shared" si="19"/>
        <v>89575.201336551807</v>
      </c>
      <c r="J185" t="s">
        <v>479</v>
      </c>
    </row>
    <row r="186" spans="2:10" x14ac:dyDescent="0.25">
      <c r="B186" t="s">
        <v>53</v>
      </c>
      <c r="C186" s="169">
        <v>5284155.6227509482</v>
      </c>
      <c r="D186" s="167">
        <f>C186-F186</f>
        <v>4804961.7627509478</v>
      </c>
      <c r="E186" s="168">
        <f t="shared" si="19"/>
        <v>264207.7811375474</v>
      </c>
      <c r="F186" s="168">
        <f>F187+F188+F189</f>
        <v>479193.86</v>
      </c>
      <c r="G186" s="168">
        <f>F187+F188+F189</f>
        <v>479193.86</v>
      </c>
      <c r="J186" t="s">
        <v>479</v>
      </c>
    </row>
    <row r="187" spans="2:10" x14ac:dyDescent="0.25">
      <c r="B187" s="134" t="s">
        <v>445</v>
      </c>
      <c r="C187" s="169"/>
      <c r="D187" s="167"/>
      <c r="E187" s="168"/>
      <c r="F187" s="168">
        <v>112014.56</v>
      </c>
      <c r="G187" s="168">
        <f>F187</f>
        <v>112014.56</v>
      </c>
      <c r="J187" t="s">
        <v>479</v>
      </c>
    </row>
    <row r="188" spans="2:10" x14ac:dyDescent="0.25">
      <c r="B188" s="134" t="s">
        <v>446</v>
      </c>
      <c r="C188" s="169"/>
      <c r="D188" s="167"/>
      <c r="E188" s="168"/>
      <c r="F188" s="168">
        <v>218005.44</v>
      </c>
      <c r="G188" s="168">
        <f>F188</f>
        <v>218005.44</v>
      </c>
    </row>
    <row r="189" spans="2:10" x14ac:dyDescent="0.25">
      <c r="B189" s="134" t="s">
        <v>447</v>
      </c>
      <c r="C189" s="169"/>
      <c r="D189" s="167"/>
      <c r="E189" s="168"/>
      <c r="F189" s="168">
        <v>149173.85999999999</v>
      </c>
      <c r="G189" s="168">
        <f>F189</f>
        <v>149173.85999999999</v>
      </c>
    </row>
    <row r="190" spans="2:10" x14ac:dyDescent="0.25">
      <c r="B190" s="1" t="s">
        <v>481</v>
      </c>
      <c r="C190" s="169">
        <v>93269.57</v>
      </c>
      <c r="D190" s="167">
        <f>C190-F190</f>
        <v>93269.57</v>
      </c>
      <c r="E190" s="168">
        <f>MIN((C1889*0.05),500000)</f>
        <v>0</v>
      </c>
    </row>
    <row r="191" spans="2:10" x14ac:dyDescent="0.25">
      <c r="B191" t="s">
        <v>188</v>
      </c>
      <c r="C191" s="169">
        <v>2959937.470370024</v>
      </c>
      <c r="D191" s="167">
        <f>C191-F192</f>
        <v>2764653.5703700241</v>
      </c>
      <c r="E191" s="168">
        <f t="shared" si="19"/>
        <v>147996.8735185012</v>
      </c>
      <c r="G191" s="168">
        <f>F192</f>
        <v>195283.9</v>
      </c>
    </row>
    <row r="192" spans="2:10" x14ac:dyDescent="0.25">
      <c r="B192" s="134" t="s">
        <v>448</v>
      </c>
      <c r="C192" s="169"/>
      <c r="D192" s="167"/>
      <c r="E192" s="168"/>
      <c r="F192" s="168">
        <v>195283.9</v>
      </c>
      <c r="G192" s="168">
        <f>F192</f>
        <v>195283.9</v>
      </c>
    </row>
    <row r="193" spans="2:10" x14ac:dyDescent="0.25">
      <c r="B193" t="s">
        <v>189</v>
      </c>
      <c r="C193" s="169">
        <v>78565.884458403132</v>
      </c>
      <c r="D193" s="167">
        <f t="shared" ref="D193:D196" si="20">C193-F193</f>
        <v>78565.884458403132</v>
      </c>
      <c r="E193" s="168">
        <f t="shared" si="19"/>
        <v>3928.2942229201567</v>
      </c>
    </row>
    <row r="194" spans="2:10" x14ac:dyDescent="0.25">
      <c r="B194" t="s">
        <v>203</v>
      </c>
      <c r="C194" s="169">
        <v>2259440.7459280225</v>
      </c>
      <c r="D194" s="167">
        <f t="shared" si="20"/>
        <v>2259440.7459280225</v>
      </c>
      <c r="E194" s="168">
        <f t="shared" si="19"/>
        <v>112972.03729640113</v>
      </c>
      <c r="J194" t="s">
        <v>479</v>
      </c>
    </row>
    <row r="195" spans="2:10" x14ac:dyDescent="0.25">
      <c r="B195" t="s">
        <v>76</v>
      </c>
      <c r="C195" s="169">
        <v>2048738.1446737116</v>
      </c>
      <c r="D195" s="167">
        <f t="shared" si="20"/>
        <v>2048738.1446737116</v>
      </c>
      <c r="E195" s="168">
        <f t="shared" si="19"/>
        <v>102436.90723368559</v>
      </c>
    </row>
    <row r="196" spans="2:10" x14ac:dyDescent="0.25">
      <c r="B196" t="s">
        <v>191</v>
      </c>
      <c r="C196" s="169">
        <v>261389.68245972184</v>
      </c>
      <c r="D196" s="167">
        <f t="shared" si="20"/>
        <v>261389.68245972184</v>
      </c>
      <c r="E196" s="168">
        <f t="shared" si="19"/>
        <v>13069.484122986092</v>
      </c>
    </row>
    <row r="197" spans="2:10" x14ac:dyDescent="0.25">
      <c r="B197" t="s">
        <v>192</v>
      </c>
      <c r="C197" s="169">
        <v>1106552.7252651555</v>
      </c>
      <c r="D197" s="167">
        <f>C197-F198</f>
        <v>950647.59526515554</v>
      </c>
      <c r="E197" s="168">
        <f t="shared" si="19"/>
        <v>55327.63626325778</v>
      </c>
      <c r="G197" s="168">
        <f>F198</f>
        <v>155905.13</v>
      </c>
      <c r="J197" t="s">
        <v>479</v>
      </c>
    </row>
    <row r="198" spans="2:10" x14ac:dyDescent="0.25">
      <c r="B198" s="134" t="s">
        <v>449</v>
      </c>
      <c r="C198" s="169"/>
      <c r="D198" s="167"/>
      <c r="E198" s="168"/>
      <c r="F198" s="168">
        <v>155905.13</v>
      </c>
      <c r="G198" s="168">
        <f>F198</f>
        <v>155905.13</v>
      </c>
    </row>
    <row r="199" spans="2:10" x14ac:dyDescent="0.25">
      <c r="B199" t="s">
        <v>316</v>
      </c>
      <c r="C199" s="169">
        <v>109711.02</v>
      </c>
      <c r="D199" s="167">
        <f t="shared" ref="D199" si="21">C199-F199</f>
        <v>109711.02</v>
      </c>
      <c r="E199" s="168">
        <f t="shared" si="19"/>
        <v>5485.5510000000004</v>
      </c>
    </row>
    <row r="200" spans="2:10" x14ac:dyDescent="0.25">
      <c r="B200" t="s">
        <v>49</v>
      </c>
      <c r="C200" s="169">
        <v>1887229.9752638657</v>
      </c>
      <c r="D200" s="167">
        <f>C200-F200</f>
        <v>1887229.9752638657</v>
      </c>
      <c r="E200" s="168">
        <f t="shared" si="19"/>
        <v>94361.498763193289</v>
      </c>
    </row>
    <row r="201" spans="2:10" x14ac:dyDescent="0.25">
      <c r="B201" t="s">
        <v>214</v>
      </c>
      <c r="C201" s="169">
        <v>270319.06829392671</v>
      </c>
      <c r="D201" s="167">
        <f t="shared" ref="D201:D207" si="22">C201-F201</f>
        <v>270319.06829392671</v>
      </c>
      <c r="E201" s="168">
        <f t="shared" si="19"/>
        <v>13515.953414696336</v>
      </c>
    </row>
    <row r="202" spans="2:10" x14ac:dyDescent="0.25">
      <c r="B202" t="s">
        <v>194</v>
      </c>
      <c r="C202" s="169">
        <v>28023.606205803651</v>
      </c>
      <c r="D202" s="167">
        <f t="shared" si="22"/>
        <v>28023.606205803651</v>
      </c>
      <c r="E202" s="168">
        <f t="shared" si="19"/>
        <v>1401.1803102901827</v>
      </c>
    </row>
    <row r="203" spans="2:10" x14ac:dyDescent="0.25">
      <c r="B203" t="s">
        <v>195</v>
      </c>
      <c r="C203" s="169">
        <v>216011.44926115088</v>
      </c>
      <c r="D203" s="167">
        <f t="shared" si="22"/>
        <v>216011.44926115088</v>
      </c>
      <c r="E203" s="168">
        <f t="shared" si="19"/>
        <v>10800.572463057544</v>
      </c>
    </row>
    <row r="204" spans="2:10" x14ac:dyDescent="0.25">
      <c r="B204" t="s">
        <v>196</v>
      </c>
      <c r="C204" s="169">
        <v>28185.974980160077</v>
      </c>
      <c r="D204" s="167">
        <f t="shared" si="22"/>
        <v>28185.974980160077</v>
      </c>
      <c r="E204" s="168">
        <f t="shared" si="19"/>
        <v>1409.2987490080041</v>
      </c>
      <c r="J204" t="s">
        <v>479</v>
      </c>
    </row>
    <row r="205" spans="2:10" x14ac:dyDescent="0.25">
      <c r="B205" t="s">
        <v>197</v>
      </c>
      <c r="C205" s="169">
        <v>701770.50943847967</v>
      </c>
      <c r="D205" s="167">
        <f t="shared" si="22"/>
        <v>701770.50943847967</v>
      </c>
      <c r="E205" s="168">
        <f t="shared" si="19"/>
        <v>35088.525471923982</v>
      </c>
      <c r="J205" t="s">
        <v>479</v>
      </c>
    </row>
    <row r="206" spans="2:10" x14ac:dyDescent="0.25">
      <c r="B206" t="s">
        <v>198</v>
      </c>
      <c r="C206" s="169">
        <v>0</v>
      </c>
      <c r="D206" s="167">
        <f t="shared" si="22"/>
        <v>0</v>
      </c>
      <c r="E206" s="168">
        <f t="shared" si="19"/>
        <v>0</v>
      </c>
      <c r="J206" t="s">
        <v>479</v>
      </c>
    </row>
    <row r="207" spans="2:10" x14ac:dyDescent="0.25">
      <c r="B207" t="s">
        <v>220</v>
      </c>
      <c r="C207" s="169">
        <v>232089.04051911974</v>
      </c>
      <c r="D207" s="167">
        <f t="shared" si="22"/>
        <v>232089.04051911974</v>
      </c>
      <c r="E207" s="168">
        <f t="shared" si="19"/>
        <v>11604.452025955987</v>
      </c>
      <c r="J207" t="s">
        <v>479</v>
      </c>
    </row>
    <row r="208" spans="2:10" x14ac:dyDescent="0.25">
      <c r="B208" t="s">
        <v>33</v>
      </c>
      <c r="C208" s="169">
        <v>32812664.069750819</v>
      </c>
      <c r="D208" s="167">
        <f>C208-F208</f>
        <v>31856754.27975082</v>
      </c>
      <c r="E208" s="168">
        <f t="shared" si="19"/>
        <v>500000</v>
      </c>
      <c r="F208" s="168">
        <f>F209+F210+F211+F212+F213+F46+F273</f>
        <v>955909.79</v>
      </c>
      <c r="G208" s="168">
        <f>F209+F210+F211+F212+F213</f>
        <v>669829.41</v>
      </c>
      <c r="J208" t="s">
        <v>479</v>
      </c>
    </row>
    <row r="209" spans="2:10" x14ac:dyDescent="0.25">
      <c r="B209" s="134" t="s">
        <v>450</v>
      </c>
      <c r="C209" s="169"/>
      <c r="D209" s="167"/>
      <c r="E209" s="168"/>
      <c r="F209" s="168">
        <v>51039.39</v>
      </c>
      <c r="G209" s="168">
        <f>F209</f>
        <v>51039.39</v>
      </c>
    </row>
    <row r="210" spans="2:10" x14ac:dyDescent="0.25">
      <c r="B210" s="134" t="s">
        <v>451</v>
      </c>
      <c r="C210" s="169"/>
      <c r="D210" s="167"/>
      <c r="E210" s="168"/>
      <c r="F210" s="168">
        <v>81725.240000000005</v>
      </c>
      <c r="G210" s="168">
        <f>F210</f>
        <v>81725.240000000005</v>
      </c>
    </row>
    <row r="211" spans="2:10" x14ac:dyDescent="0.25">
      <c r="B211" s="134" t="s">
        <v>452</v>
      </c>
      <c r="C211" s="169"/>
      <c r="D211" s="167"/>
      <c r="E211" s="168"/>
      <c r="F211" s="168">
        <v>101518.32</v>
      </c>
      <c r="G211" s="168">
        <f>F211</f>
        <v>101518.32</v>
      </c>
    </row>
    <row r="212" spans="2:10" x14ac:dyDescent="0.25">
      <c r="B212" s="134" t="s">
        <v>453</v>
      </c>
      <c r="C212" s="169"/>
      <c r="D212" s="167"/>
      <c r="E212" s="168"/>
      <c r="F212" s="168">
        <v>225661.49</v>
      </c>
      <c r="G212" s="168">
        <f>F212</f>
        <v>225661.49</v>
      </c>
    </row>
    <row r="213" spans="2:10" x14ac:dyDescent="0.25">
      <c r="B213" s="134" t="s">
        <v>454</v>
      </c>
      <c r="C213" s="169"/>
      <c r="D213" s="167"/>
      <c r="E213" s="168"/>
      <c r="F213" s="168">
        <v>209884.97</v>
      </c>
      <c r="G213" s="168">
        <f>F213</f>
        <v>209884.97</v>
      </c>
    </row>
    <row r="214" spans="2:10" x14ac:dyDescent="0.25">
      <c r="B214" t="s">
        <v>126</v>
      </c>
      <c r="C214" s="169">
        <v>133371.40388218343</v>
      </c>
      <c r="D214" s="167">
        <f t="shared" ref="D214:D217" si="23">C214-F214</f>
        <v>133371.40388218343</v>
      </c>
      <c r="E214" s="168">
        <f t="shared" si="19"/>
        <v>6668.570194109172</v>
      </c>
      <c r="J214" t="s">
        <v>479</v>
      </c>
    </row>
    <row r="215" spans="2:10" x14ac:dyDescent="0.25">
      <c r="B215" t="s">
        <v>201</v>
      </c>
      <c r="C215" s="169">
        <v>182774.16321518229</v>
      </c>
      <c r="D215" s="167">
        <f t="shared" si="23"/>
        <v>182774.16321518229</v>
      </c>
      <c r="E215" s="168">
        <f t="shared" si="19"/>
        <v>9138.7081607591153</v>
      </c>
    </row>
    <row r="216" spans="2:10" x14ac:dyDescent="0.25">
      <c r="B216" t="s">
        <v>202</v>
      </c>
      <c r="C216" s="169">
        <v>209168.19672011843</v>
      </c>
      <c r="D216" s="167">
        <f t="shared" si="23"/>
        <v>209168.19672011843</v>
      </c>
      <c r="E216" s="168">
        <f t="shared" si="19"/>
        <v>10458.409836005922</v>
      </c>
      <c r="J216" t="s">
        <v>479</v>
      </c>
    </row>
    <row r="217" spans="2:10" x14ac:dyDescent="0.25">
      <c r="B217" t="s">
        <v>153</v>
      </c>
      <c r="C217" s="169">
        <v>608471.74148634728</v>
      </c>
      <c r="D217" s="167">
        <f t="shared" si="23"/>
        <v>608471.74148634728</v>
      </c>
      <c r="E217" s="168">
        <f t="shared" si="19"/>
        <v>30423.587074317365</v>
      </c>
    </row>
    <row r="218" spans="2:10" x14ac:dyDescent="0.25">
      <c r="B218" t="s">
        <v>77</v>
      </c>
      <c r="C218" s="169">
        <v>4922020.3473676005</v>
      </c>
      <c r="D218" s="167">
        <f>C218-F219</f>
        <v>4409151.9273676006</v>
      </c>
      <c r="E218" s="168">
        <f t="shared" si="19"/>
        <v>246101.01736838004</v>
      </c>
      <c r="G218" s="168">
        <f>F219</f>
        <v>512868.42</v>
      </c>
      <c r="J218" t="s">
        <v>479</v>
      </c>
    </row>
    <row r="219" spans="2:10" x14ac:dyDescent="0.25">
      <c r="B219" s="134" t="s">
        <v>455</v>
      </c>
      <c r="C219" s="169"/>
      <c r="D219" s="167"/>
      <c r="E219" s="168"/>
      <c r="F219" s="168">
        <v>512868.42</v>
      </c>
      <c r="G219" s="168">
        <f>F219</f>
        <v>512868.42</v>
      </c>
      <c r="J219" t="s">
        <v>479</v>
      </c>
    </row>
    <row r="220" spans="2:10" x14ac:dyDescent="0.25">
      <c r="B220" s="1" t="s">
        <v>484</v>
      </c>
      <c r="C220" s="169">
        <v>201345.41</v>
      </c>
      <c r="D220" s="167">
        <f>C220-F220</f>
        <v>201345.41</v>
      </c>
      <c r="E220" s="168">
        <f>MIN((C220*0.05),500000)</f>
        <v>10067.270500000001</v>
      </c>
    </row>
    <row r="221" spans="2:10" x14ac:dyDescent="0.25">
      <c r="B221" t="s">
        <v>67</v>
      </c>
      <c r="C221" s="169">
        <v>527472.64639236685</v>
      </c>
      <c r="D221" s="167">
        <f>C221-F221</f>
        <v>527472.64639236685</v>
      </c>
      <c r="E221" s="168">
        <f t="shared" si="19"/>
        <v>26373.632319618344</v>
      </c>
      <c r="J221" t="s">
        <v>479</v>
      </c>
    </row>
    <row r="222" spans="2:10" x14ac:dyDescent="0.25">
      <c r="B222" s="1" t="s">
        <v>498</v>
      </c>
      <c r="C222" s="169">
        <v>39071.910000000003</v>
      </c>
      <c r="D222" s="167">
        <f>C222-F222</f>
        <v>39071.910000000003</v>
      </c>
      <c r="E222" s="168">
        <f>MIN((C222*0.05),500000)</f>
        <v>1953.5955000000004</v>
      </c>
    </row>
    <row r="223" spans="2:10" x14ac:dyDescent="0.25">
      <c r="B223" t="s">
        <v>35</v>
      </c>
      <c r="C223" s="169">
        <v>8366143.3524264973</v>
      </c>
      <c r="D223" s="167">
        <f>C223-F223</f>
        <v>7925601.0524264975</v>
      </c>
      <c r="E223" s="168">
        <f t="shared" si="19"/>
        <v>418307.16762132489</v>
      </c>
      <c r="F223" s="168">
        <f>F224+F225</f>
        <v>440542.3</v>
      </c>
      <c r="G223" s="168">
        <f>F224+F225</f>
        <v>440542.3</v>
      </c>
    </row>
    <row r="224" spans="2:10" x14ac:dyDescent="0.25">
      <c r="B224" s="134" t="s">
        <v>456</v>
      </c>
      <c r="C224" s="169"/>
      <c r="D224" s="167"/>
      <c r="E224" s="168"/>
      <c r="F224" s="168">
        <v>332022.28999999998</v>
      </c>
      <c r="G224" s="168">
        <f>F224</f>
        <v>332022.28999999998</v>
      </c>
    </row>
    <row r="225" spans="2:10" x14ac:dyDescent="0.25">
      <c r="B225" s="134" t="s">
        <v>457</v>
      </c>
      <c r="C225" s="169"/>
      <c r="D225" s="167"/>
      <c r="E225" s="168"/>
      <c r="F225" s="168">
        <v>108520.01</v>
      </c>
      <c r="G225" s="168">
        <f>F225</f>
        <v>108520.01</v>
      </c>
    </row>
    <row r="226" spans="2:10" x14ac:dyDescent="0.25">
      <c r="B226" t="s">
        <v>204</v>
      </c>
      <c r="C226" s="169">
        <v>315919.47264249728</v>
      </c>
      <c r="D226" s="167">
        <f t="shared" ref="D226:D228" si="24">C226-F226</f>
        <v>315919.47264249728</v>
      </c>
      <c r="E226" s="168">
        <f t="shared" si="19"/>
        <v>15795.973632124864</v>
      </c>
    </row>
    <row r="227" spans="2:10" x14ac:dyDescent="0.25">
      <c r="B227" t="s">
        <v>458</v>
      </c>
      <c r="C227" s="169">
        <v>20333.93</v>
      </c>
      <c r="D227" s="167">
        <f t="shared" si="24"/>
        <v>20333.93</v>
      </c>
      <c r="E227" s="168">
        <f t="shared" si="19"/>
        <v>1016.6965</v>
      </c>
      <c r="J227" t="s">
        <v>479</v>
      </c>
    </row>
    <row r="228" spans="2:10" x14ac:dyDescent="0.25">
      <c r="B228" t="s">
        <v>205</v>
      </c>
      <c r="C228" s="169">
        <v>411750.84598187305</v>
      </c>
      <c r="D228" s="167">
        <f t="shared" si="24"/>
        <v>411750.84598187305</v>
      </c>
      <c r="E228" s="168">
        <f t="shared" si="19"/>
        <v>20587.542299093653</v>
      </c>
      <c r="J228" t="s">
        <v>479</v>
      </c>
    </row>
    <row r="229" spans="2:10" x14ac:dyDescent="0.25">
      <c r="B229" t="s">
        <v>491</v>
      </c>
      <c r="C229" s="169">
        <v>205434.05</v>
      </c>
      <c r="D229" s="167"/>
      <c r="E229" s="168"/>
    </row>
    <row r="230" spans="2:10" x14ac:dyDescent="0.25">
      <c r="B230" t="s">
        <v>127</v>
      </c>
      <c r="C230" s="169">
        <v>787861.21354399261</v>
      </c>
      <c r="D230" s="167">
        <f>C230-F231</f>
        <v>679254.32354399259</v>
      </c>
      <c r="E230" s="168">
        <f t="shared" si="19"/>
        <v>39393.060677199632</v>
      </c>
      <c r="G230" s="168">
        <f>F231</f>
        <v>108606.89</v>
      </c>
      <c r="J230" t="s">
        <v>479</v>
      </c>
    </row>
    <row r="231" spans="2:10" x14ac:dyDescent="0.25">
      <c r="B231" s="134" t="s">
        <v>459</v>
      </c>
      <c r="C231" s="169"/>
      <c r="D231" s="167"/>
      <c r="E231" s="168"/>
      <c r="F231" s="168">
        <v>108606.89</v>
      </c>
      <c r="G231" s="168">
        <f>F231</f>
        <v>108606.89</v>
      </c>
      <c r="J231" t="s">
        <v>479</v>
      </c>
    </row>
    <row r="232" spans="2:10" x14ac:dyDescent="0.25">
      <c r="B232" t="s">
        <v>34</v>
      </c>
      <c r="C232" s="169">
        <v>30257224.319557276</v>
      </c>
      <c r="D232" s="167">
        <f>C232-F232</f>
        <v>30257224.319557276</v>
      </c>
      <c r="E232" s="168">
        <f t="shared" si="19"/>
        <v>500000</v>
      </c>
      <c r="G232" s="168">
        <f>F233+F234+F235+F236+F237</f>
        <v>421142.95</v>
      </c>
      <c r="H232" s="165"/>
      <c r="J232" t="s">
        <v>479</v>
      </c>
    </row>
    <row r="233" spans="2:10" x14ac:dyDescent="0.25">
      <c r="B233" s="134" t="s">
        <v>464</v>
      </c>
      <c r="C233" s="169"/>
      <c r="D233" s="167"/>
      <c r="F233" s="168">
        <v>105962.86</v>
      </c>
      <c r="G233" s="168">
        <f>F234</f>
        <v>77364.77</v>
      </c>
    </row>
    <row r="234" spans="2:10" x14ac:dyDescent="0.25">
      <c r="B234" s="134" t="s">
        <v>460</v>
      </c>
      <c r="C234" s="169"/>
      <c r="D234" s="167"/>
      <c r="F234" s="168">
        <v>77364.77</v>
      </c>
      <c r="G234" s="168">
        <f>F234</f>
        <v>77364.77</v>
      </c>
    </row>
    <row r="235" spans="2:10" x14ac:dyDescent="0.25">
      <c r="B235" s="134" t="s">
        <v>461</v>
      </c>
      <c r="C235" s="169"/>
      <c r="D235" s="167"/>
      <c r="F235" s="168">
        <v>57047.66</v>
      </c>
      <c r="G235" s="168">
        <f>F235</f>
        <v>57047.66</v>
      </c>
      <c r="J235" t="s">
        <v>479</v>
      </c>
    </row>
    <row r="236" spans="2:10" x14ac:dyDescent="0.25">
      <c r="B236" s="134" t="s">
        <v>507</v>
      </c>
      <c r="C236" s="169"/>
      <c r="D236" s="167"/>
      <c r="F236" s="168">
        <v>97283.95</v>
      </c>
      <c r="G236" s="168">
        <f>F236</f>
        <v>97283.95</v>
      </c>
      <c r="J236" t="s">
        <v>479</v>
      </c>
    </row>
    <row r="237" spans="2:10" x14ac:dyDescent="0.25">
      <c r="B237" s="134" t="s">
        <v>463</v>
      </c>
      <c r="C237" s="169"/>
      <c r="D237" s="167"/>
      <c r="F237" s="168">
        <v>83483.710000000006</v>
      </c>
      <c r="G237" s="168">
        <f>F237</f>
        <v>83483.710000000006</v>
      </c>
    </row>
    <row r="238" spans="2:10" x14ac:dyDescent="0.25">
      <c r="B238" t="s">
        <v>57</v>
      </c>
      <c r="C238" s="169">
        <v>894190.19700773701</v>
      </c>
      <c r="D238" s="167">
        <f t="shared" ref="D238" si="25">C238-F238</f>
        <v>894190.19700773701</v>
      </c>
      <c r="E238" s="168">
        <f t="shared" si="19"/>
        <v>44709.50985038685</v>
      </c>
      <c r="J238" t="s">
        <v>479</v>
      </c>
    </row>
    <row r="239" spans="2:10" x14ac:dyDescent="0.25">
      <c r="B239" t="s">
        <v>206</v>
      </c>
      <c r="C239" s="169">
        <v>1594127.8272190453</v>
      </c>
      <c r="D239" s="167">
        <f>C239-F239</f>
        <v>1408818.9272190453</v>
      </c>
      <c r="E239" s="168">
        <f t="shared" si="19"/>
        <v>79706.391360952271</v>
      </c>
      <c r="F239" s="168">
        <f>F240+F241</f>
        <v>185308.9</v>
      </c>
      <c r="G239" s="168">
        <f>F240+F241</f>
        <v>185308.9</v>
      </c>
    </row>
    <row r="240" spans="2:10" x14ac:dyDescent="0.25">
      <c r="B240" s="134" t="s">
        <v>465</v>
      </c>
      <c r="C240" s="169"/>
      <c r="D240" s="167"/>
      <c r="E240" s="168"/>
      <c r="F240" s="168">
        <v>40651.040000000001</v>
      </c>
      <c r="G240" s="168">
        <f>F240</f>
        <v>40651.040000000001</v>
      </c>
      <c r="J240" t="s">
        <v>479</v>
      </c>
    </row>
    <row r="241" spans="2:10" x14ac:dyDescent="0.25">
      <c r="B241" s="134" t="s">
        <v>466</v>
      </c>
      <c r="C241" s="169"/>
      <c r="D241" s="167"/>
      <c r="E241" s="168"/>
      <c r="F241" s="168">
        <v>144657.85999999999</v>
      </c>
      <c r="G241" s="168">
        <f>F241</f>
        <v>144657.85999999999</v>
      </c>
    </row>
    <row r="242" spans="2:10" x14ac:dyDescent="0.25">
      <c r="B242" t="s">
        <v>160</v>
      </c>
      <c r="C242" s="169">
        <v>553947.7838485816</v>
      </c>
      <c r="D242" s="167">
        <f>C242-F243</f>
        <v>525765.84384858166</v>
      </c>
      <c r="E242" s="168">
        <f t="shared" si="19"/>
        <v>27697.38919242908</v>
      </c>
      <c r="G242" s="168">
        <f>F243</f>
        <v>28181.94</v>
      </c>
      <c r="J242" t="s">
        <v>479</v>
      </c>
    </row>
    <row r="243" spans="2:10" x14ac:dyDescent="0.25">
      <c r="B243" s="134" t="s">
        <v>467</v>
      </c>
      <c r="C243" s="169"/>
      <c r="D243" s="167"/>
      <c r="E243" s="168"/>
      <c r="F243" s="168">
        <v>28181.94</v>
      </c>
      <c r="G243" s="168">
        <f>F243</f>
        <v>28181.94</v>
      </c>
    </row>
    <row r="244" spans="2:10" x14ac:dyDescent="0.25">
      <c r="B244" t="s">
        <v>207</v>
      </c>
      <c r="C244" s="169">
        <v>1147381.4941378515</v>
      </c>
      <c r="D244" s="167">
        <f>C244-F244</f>
        <v>1147381.4941378515</v>
      </c>
      <c r="E244" s="168">
        <f t="shared" si="19"/>
        <v>57369.074706892578</v>
      </c>
    </row>
    <row r="245" spans="2:10" x14ac:dyDescent="0.25">
      <c r="B245" t="s">
        <v>68</v>
      </c>
      <c r="C245" s="169">
        <v>616442.74366534094</v>
      </c>
      <c r="D245" s="167">
        <f>C245-F246</f>
        <v>566923.63366534095</v>
      </c>
      <c r="E245" s="168">
        <f t="shared" si="19"/>
        <v>30822.137183267048</v>
      </c>
      <c r="G245" s="168">
        <f>F246</f>
        <v>49519.11</v>
      </c>
    </row>
    <row r="246" spans="2:10" x14ac:dyDescent="0.25">
      <c r="B246" s="134" t="s">
        <v>468</v>
      </c>
      <c r="C246" s="169"/>
      <c r="D246" s="167"/>
      <c r="E246" s="168"/>
      <c r="F246" s="168">
        <v>49519.11</v>
      </c>
      <c r="G246" s="168">
        <f>F246</f>
        <v>49519.11</v>
      </c>
      <c r="J246" t="s">
        <v>479</v>
      </c>
    </row>
    <row r="247" spans="2:10" x14ac:dyDescent="0.25">
      <c r="B247" t="s">
        <v>208</v>
      </c>
      <c r="C247" s="169">
        <v>245385.84933328669</v>
      </c>
      <c r="D247" s="167">
        <f t="shared" ref="D247:D250" si="26">C247-F247</f>
        <v>245385.84933328669</v>
      </c>
      <c r="E247" s="168">
        <f t="shared" si="19"/>
        <v>12269.292466664336</v>
      </c>
      <c r="J247" t="s">
        <v>479</v>
      </c>
    </row>
    <row r="248" spans="2:10" x14ac:dyDescent="0.25">
      <c r="B248" t="s">
        <v>209</v>
      </c>
      <c r="C248" s="169">
        <v>3381709.445836667</v>
      </c>
      <c r="D248" s="167">
        <f>C248-F249</f>
        <v>3255463.0958366669</v>
      </c>
      <c r="E248" s="168">
        <f t="shared" si="19"/>
        <v>169085.47229183337</v>
      </c>
      <c r="G248" s="168">
        <f>F249</f>
        <v>126246.35</v>
      </c>
    </row>
    <row r="249" spans="2:10" x14ac:dyDescent="0.25">
      <c r="B249" s="134" t="s">
        <v>500</v>
      </c>
      <c r="C249" s="169"/>
      <c r="D249" s="167"/>
      <c r="E249" s="168"/>
      <c r="F249" s="168">
        <v>126246.35</v>
      </c>
      <c r="G249" s="168">
        <f>F249</f>
        <v>126246.35</v>
      </c>
    </row>
    <row r="250" spans="2:10" x14ac:dyDescent="0.25">
      <c r="B250" t="s">
        <v>322</v>
      </c>
      <c r="C250" s="169">
        <v>173953.73</v>
      </c>
      <c r="D250" s="167">
        <f t="shared" si="26"/>
        <v>173953.73</v>
      </c>
      <c r="E250" s="168">
        <f t="shared" si="19"/>
        <v>8697.6865000000016</v>
      </c>
    </row>
    <row r="251" spans="2:10" x14ac:dyDescent="0.25">
      <c r="B251" t="s">
        <v>210</v>
      </c>
      <c r="C251" s="169">
        <v>2621684.9210450859</v>
      </c>
      <c r="D251" s="167">
        <f>C251-F251</f>
        <v>2544883.4210450859</v>
      </c>
      <c r="E251" s="168">
        <f t="shared" si="19"/>
        <v>131084.24605225431</v>
      </c>
      <c r="F251" s="168">
        <f>F252</f>
        <v>76801.5</v>
      </c>
      <c r="G251" s="168">
        <f>F252</f>
        <v>76801.5</v>
      </c>
    </row>
    <row r="252" spans="2:10" x14ac:dyDescent="0.25">
      <c r="B252" s="134" t="s">
        <v>469</v>
      </c>
      <c r="C252" s="169"/>
      <c r="D252" s="167"/>
      <c r="E252" s="168"/>
      <c r="F252" s="168">
        <v>76801.5</v>
      </c>
      <c r="G252" s="168">
        <f>F252</f>
        <v>76801.5</v>
      </c>
      <c r="J252" t="s">
        <v>479</v>
      </c>
    </row>
    <row r="253" spans="2:10" x14ac:dyDescent="0.25">
      <c r="B253" t="s">
        <v>211</v>
      </c>
      <c r="C253" s="169">
        <v>704404.16794970119</v>
      </c>
      <c r="D253" s="167">
        <f t="shared" ref="D253:D255" si="27">C253-F253</f>
        <v>704404.16794970119</v>
      </c>
      <c r="E253" s="168">
        <f t="shared" si="19"/>
        <v>35220.208397485061</v>
      </c>
    </row>
    <row r="254" spans="2:10" x14ac:dyDescent="0.25">
      <c r="B254" t="s">
        <v>212</v>
      </c>
      <c r="C254" s="169">
        <v>987109.44599774352</v>
      </c>
      <c r="D254" s="167">
        <f t="shared" si="27"/>
        <v>987109.44599774352</v>
      </c>
      <c r="E254" s="168">
        <f t="shared" si="19"/>
        <v>49355.47229988718</v>
      </c>
    </row>
    <row r="255" spans="2:10" x14ac:dyDescent="0.25">
      <c r="B255" t="s">
        <v>213</v>
      </c>
      <c r="C255" s="169">
        <v>28023.606205803651</v>
      </c>
      <c r="D255" s="167">
        <f t="shared" si="27"/>
        <v>28023.606205803651</v>
      </c>
      <c r="E255" s="168">
        <f t="shared" si="19"/>
        <v>1401.1803102901827</v>
      </c>
    </row>
    <row r="256" spans="2:10" x14ac:dyDescent="0.25">
      <c r="B256" t="s">
        <v>74</v>
      </c>
      <c r="C256" s="169">
        <v>1988370.028468444</v>
      </c>
      <c r="D256" s="167">
        <f>C256-F256</f>
        <v>1903143.238468444</v>
      </c>
      <c r="E256" s="168">
        <f t="shared" si="19"/>
        <v>99418.501423422204</v>
      </c>
      <c r="F256" s="168">
        <f>F257</f>
        <v>85226.79</v>
      </c>
      <c r="G256" s="168">
        <f>F257</f>
        <v>85226.79</v>
      </c>
    </row>
    <row r="257" spans="2:10" x14ac:dyDescent="0.25">
      <c r="B257" s="134" t="s">
        <v>470</v>
      </c>
      <c r="C257" s="169"/>
      <c r="D257" s="167"/>
      <c r="E257" s="168"/>
      <c r="F257" s="168">
        <v>85226.79</v>
      </c>
      <c r="G257" s="168">
        <f>F257</f>
        <v>85226.79</v>
      </c>
      <c r="J257" t="s">
        <v>479</v>
      </c>
    </row>
    <row r="258" spans="2:10" x14ac:dyDescent="0.25">
      <c r="B258" t="s">
        <v>115</v>
      </c>
      <c r="C258" s="169">
        <v>1044117.3076300857</v>
      </c>
      <c r="D258" s="167">
        <f t="shared" ref="D258:D261" si="28">C258-F258</f>
        <v>1044117.3076300857</v>
      </c>
      <c r="E258" s="168">
        <f t="shared" si="19"/>
        <v>52205.865381504293</v>
      </c>
    </row>
    <row r="259" spans="2:10" x14ac:dyDescent="0.25">
      <c r="B259" t="s">
        <v>224</v>
      </c>
      <c r="C259" s="169">
        <v>233379.41549047217</v>
      </c>
      <c r="D259" s="167">
        <f t="shared" si="28"/>
        <v>233379.41549047217</v>
      </c>
      <c r="E259" s="168">
        <f t="shared" si="19"/>
        <v>11668.970774523608</v>
      </c>
    </row>
    <row r="260" spans="2:10" x14ac:dyDescent="0.25">
      <c r="B260" t="s">
        <v>215</v>
      </c>
      <c r="C260" s="169">
        <v>87080.553923914267</v>
      </c>
      <c r="D260" s="167">
        <f t="shared" si="28"/>
        <v>87080.553923914267</v>
      </c>
      <c r="E260" s="168">
        <f t="shared" si="19"/>
        <v>4354.0276961957134</v>
      </c>
    </row>
    <row r="261" spans="2:10" x14ac:dyDescent="0.25">
      <c r="B261" t="s">
        <v>41</v>
      </c>
      <c r="C261" s="169">
        <v>7257165.1279970175</v>
      </c>
      <c r="D261" s="167">
        <f t="shared" si="28"/>
        <v>7257165.1279970175</v>
      </c>
      <c r="E261" s="168">
        <f t="shared" si="19"/>
        <v>362858.25639985088</v>
      </c>
    </row>
    <row r="262" spans="2:10" x14ac:dyDescent="0.25">
      <c r="B262" t="s">
        <v>79</v>
      </c>
      <c r="C262" s="169">
        <v>1923176.4154161741</v>
      </c>
      <c r="D262" s="167">
        <f>C262-F263</f>
        <v>1811349.6154161741</v>
      </c>
      <c r="E262" s="168">
        <f t="shared" si="19"/>
        <v>96158.820770808714</v>
      </c>
      <c r="G262" s="168">
        <f>F263</f>
        <v>111826.8</v>
      </c>
    </row>
    <row r="263" spans="2:10" x14ac:dyDescent="0.25">
      <c r="B263" s="134" t="s">
        <v>471</v>
      </c>
      <c r="C263" s="169"/>
      <c r="D263" s="167"/>
      <c r="E263" s="168"/>
      <c r="F263" s="168">
        <v>111826.8</v>
      </c>
      <c r="G263" s="168">
        <f>F263</f>
        <v>111826.8</v>
      </c>
      <c r="J263" t="s">
        <v>479</v>
      </c>
    </row>
    <row r="264" spans="2:10" x14ac:dyDescent="0.25">
      <c r="B264" t="s">
        <v>216</v>
      </c>
      <c r="C264" s="169">
        <v>228098.1427121388</v>
      </c>
      <c r="D264" s="167">
        <f t="shared" ref="D264:D269" si="29">C264-F264</f>
        <v>228098.1427121388</v>
      </c>
      <c r="E264" s="168">
        <f t="shared" si="19"/>
        <v>11404.90713560694</v>
      </c>
      <c r="J264" s="217" t="s">
        <v>479</v>
      </c>
    </row>
    <row r="265" spans="2:10" x14ac:dyDescent="0.25">
      <c r="B265" t="s">
        <v>217</v>
      </c>
      <c r="C265" s="169">
        <v>415075.73476376681</v>
      </c>
      <c r="D265" s="167">
        <f t="shared" si="29"/>
        <v>415075.73476376681</v>
      </c>
      <c r="E265" s="168">
        <f t="shared" si="19"/>
        <v>20753.786738188341</v>
      </c>
    </row>
    <row r="266" spans="2:10" x14ac:dyDescent="0.25">
      <c r="B266" t="s">
        <v>318</v>
      </c>
      <c r="C266" s="169">
        <v>91913.22</v>
      </c>
      <c r="D266" s="167">
        <f t="shared" si="29"/>
        <v>91913.22</v>
      </c>
      <c r="E266" s="168">
        <f t="shared" si="19"/>
        <v>4595.6610000000001</v>
      </c>
      <c r="J266" t="s">
        <v>479</v>
      </c>
    </row>
    <row r="267" spans="2:10" x14ac:dyDescent="0.25">
      <c r="B267" t="s">
        <v>218</v>
      </c>
      <c r="C267" s="169">
        <v>28023.606205803651</v>
      </c>
      <c r="D267" s="167">
        <f t="shared" si="29"/>
        <v>28023.606205803651</v>
      </c>
      <c r="E267" s="168">
        <f t="shared" si="19"/>
        <v>1401.1803102901827</v>
      </c>
    </row>
    <row r="268" spans="2:10" x14ac:dyDescent="0.25">
      <c r="B268" t="s">
        <v>219</v>
      </c>
      <c r="C268" s="169">
        <v>938688.12940128427</v>
      </c>
      <c r="D268" s="167">
        <f t="shared" si="29"/>
        <v>938688.12940128427</v>
      </c>
      <c r="E268" s="168">
        <f t="shared" si="19"/>
        <v>46934.406470064219</v>
      </c>
      <c r="J268" t="s">
        <v>479</v>
      </c>
    </row>
    <row r="269" spans="2:10" x14ac:dyDescent="0.25">
      <c r="B269" t="s">
        <v>323</v>
      </c>
      <c r="C269" s="169">
        <v>81781.289999999994</v>
      </c>
      <c r="D269" s="167">
        <f t="shared" si="29"/>
        <v>81781.289999999994</v>
      </c>
      <c r="E269" s="168">
        <f t="shared" si="19"/>
        <v>4089.0645</v>
      </c>
    </row>
    <row r="270" spans="2:10" x14ac:dyDescent="0.25">
      <c r="B270" t="s">
        <v>89</v>
      </c>
      <c r="C270" s="169">
        <v>1582386.6648325748</v>
      </c>
      <c r="D270" s="167">
        <f>C270-F270</f>
        <v>1582386.6648325748</v>
      </c>
      <c r="E270" s="168">
        <f t="shared" si="19"/>
        <v>79119.333241628745</v>
      </c>
    </row>
    <row r="271" spans="2:10" x14ac:dyDescent="0.25">
      <c r="B271" s="1" t="s">
        <v>482</v>
      </c>
      <c r="C271" s="169">
        <v>14171.27</v>
      </c>
      <c r="D271" s="167">
        <f>C271-F271</f>
        <v>14171.27</v>
      </c>
      <c r="E271" s="168">
        <f>MIN((C271*0.05),500000)</f>
        <v>708.56350000000009</v>
      </c>
    </row>
    <row r="272" spans="2:10" x14ac:dyDescent="0.25">
      <c r="B272" s="1" t="s">
        <v>489</v>
      </c>
      <c r="C272" s="169">
        <v>36536.879999999997</v>
      </c>
      <c r="D272" s="167">
        <f>C272-F272</f>
        <v>36536.879999999997</v>
      </c>
      <c r="E272" s="168">
        <f>MIN((C272*0.05),500000)</f>
        <v>1826.8440000000001</v>
      </c>
    </row>
    <row r="273" spans="2:10" s="213" customFormat="1" x14ac:dyDescent="0.25">
      <c r="B273" s="213" t="s">
        <v>472</v>
      </c>
      <c r="C273" s="214"/>
      <c r="D273" s="215"/>
      <c r="E273" s="216"/>
      <c r="F273" s="220">
        <v>168529.76</v>
      </c>
      <c r="G273" s="220">
        <f>F273</f>
        <v>168529.76</v>
      </c>
      <c r="J273"/>
    </row>
    <row r="274" spans="2:10" x14ac:dyDescent="0.25">
      <c r="B274" t="s">
        <v>40</v>
      </c>
      <c r="C274" s="169">
        <v>3312246.8847566424</v>
      </c>
      <c r="D274" s="167">
        <f>C274-F275</f>
        <v>3215237.5647566426</v>
      </c>
      <c r="E274" s="168">
        <f t="shared" si="19"/>
        <v>165612.34423783212</v>
      </c>
      <c r="G274" s="168">
        <f>F275</f>
        <v>97009.32</v>
      </c>
    </row>
    <row r="275" spans="2:10" x14ac:dyDescent="0.25">
      <c r="B275" s="134" t="s">
        <v>473</v>
      </c>
      <c r="C275" s="169"/>
      <c r="D275" s="167"/>
      <c r="E275" s="168"/>
      <c r="F275" s="168">
        <v>97009.32</v>
      </c>
      <c r="G275" s="168">
        <f>F275</f>
        <v>97009.32</v>
      </c>
    </row>
    <row r="276" spans="2:10" x14ac:dyDescent="0.25">
      <c r="B276" t="s">
        <v>136</v>
      </c>
      <c r="C276" s="169">
        <v>8397361.6497397628</v>
      </c>
      <c r="D276" s="167">
        <f>C276-F277</f>
        <v>7100802.0297397627</v>
      </c>
      <c r="E276" s="168">
        <f t="shared" si="19"/>
        <v>419868.08248698816</v>
      </c>
      <c r="G276" s="168">
        <f>F277</f>
        <v>1296559.6200000001</v>
      </c>
    </row>
    <row r="277" spans="2:10" x14ac:dyDescent="0.25">
      <c r="B277" s="134" t="s">
        <v>474</v>
      </c>
      <c r="C277" s="169"/>
      <c r="D277" s="167"/>
      <c r="E277" s="168"/>
      <c r="F277" s="168">
        <v>1296559.6200000001</v>
      </c>
      <c r="G277" s="168">
        <f>F277</f>
        <v>1296559.6200000001</v>
      </c>
    </row>
    <row r="278" spans="2:10" x14ac:dyDescent="0.25">
      <c r="B278" t="s">
        <v>221</v>
      </c>
      <c r="C278" s="169">
        <v>1552224.2970011442</v>
      </c>
      <c r="D278" s="167">
        <f t="shared" ref="D278:D296" si="30">C278-F278</f>
        <v>1552224.2970011442</v>
      </c>
      <c r="E278" s="168">
        <f t="shared" si="19"/>
        <v>77611.214850057208</v>
      </c>
    </row>
    <row r="279" spans="2:10" x14ac:dyDescent="0.25">
      <c r="B279" t="s">
        <v>222</v>
      </c>
      <c r="C279" s="169">
        <v>28023.606205803651</v>
      </c>
      <c r="D279" s="167">
        <f t="shared" si="30"/>
        <v>28023.606205803651</v>
      </c>
      <c r="E279" s="168">
        <f t="shared" si="19"/>
        <v>1401.1803102901827</v>
      </c>
    </row>
    <row r="280" spans="2:10" x14ac:dyDescent="0.25">
      <c r="B280" t="s">
        <v>223</v>
      </c>
      <c r="C280" s="169">
        <v>64740.807623196531</v>
      </c>
      <c r="D280" s="167">
        <f t="shared" si="30"/>
        <v>64740.807623196531</v>
      </c>
      <c r="E280" s="168">
        <f t="shared" ref="E280:E296" si="31">MIN((C280*0.05),500000)</f>
        <v>3237.0403811598267</v>
      </c>
    </row>
    <row r="281" spans="2:10" x14ac:dyDescent="0.25">
      <c r="B281" t="s">
        <v>90</v>
      </c>
      <c r="C281" s="169">
        <v>1063633.1711806569</v>
      </c>
      <c r="D281" s="167">
        <f t="shared" si="30"/>
        <v>1063633.1711806569</v>
      </c>
      <c r="E281" s="168">
        <f t="shared" si="31"/>
        <v>53181.658559032847</v>
      </c>
    </row>
    <row r="282" spans="2:10" x14ac:dyDescent="0.25">
      <c r="B282" t="s">
        <v>117</v>
      </c>
      <c r="C282" s="169">
        <v>285456.8598941777</v>
      </c>
      <c r="D282" s="167">
        <f t="shared" si="30"/>
        <v>285456.8598941777</v>
      </c>
      <c r="E282" s="168">
        <f t="shared" si="31"/>
        <v>14272.842994708886</v>
      </c>
      <c r="J282" t="s">
        <v>479</v>
      </c>
    </row>
    <row r="283" spans="2:10" x14ac:dyDescent="0.25">
      <c r="B283" t="s">
        <v>225</v>
      </c>
      <c r="C283" s="169">
        <v>719097.22491946607</v>
      </c>
      <c r="D283" s="167">
        <f t="shared" si="30"/>
        <v>719097.22491946607</v>
      </c>
      <c r="E283" s="168">
        <f t="shared" si="31"/>
        <v>35954.861245973305</v>
      </c>
    </row>
    <row r="284" spans="2:10" x14ac:dyDescent="0.25">
      <c r="B284" t="s">
        <v>123</v>
      </c>
      <c r="C284" s="169">
        <v>452655.05440247501</v>
      </c>
      <c r="D284" s="167">
        <f t="shared" si="30"/>
        <v>452655.05440247501</v>
      </c>
      <c r="E284" s="168">
        <f t="shared" si="31"/>
        <v>22632.752720123754</v>
      </c>
    </row>
    <row r="285" spans="2:10" x14ac:dyDescent="0.25">
      <c r="B285" t="s">
        <v>319</v>
      </c>
      <c r="C285" s="169">
        <v>127562.05</v>
      </c>
      <c r="D285" s="167">
        <f t="shared" si="30"/>
        <v>127562.05</v>
      </c>
      <c r="E285" s="168">
        <f t="shared" si="31"/>
        <v>6378.1025000000009</v>
      </c>
    </row>
    <row r="286" spans="2:10" x14ac:dyDescent="0.25">
      <c r="B286" t="s">
        <v>226</v>
      </c>
      <c r="C286" s="169">
        <v>189232.42745415936</v>
      </c>
      <c r="D286" s="167">
        <f t="shared" si="30"/>
        <v>189232.42745415936</v>
      </c>
      <c r="E286" s="168">
        <f t="shared" si="31"/>
        <v>9461.6213727079685</v>
      </c>
    </row>
    <row r="287" spans="2:10" x14ac:dyDescent="0.25">
      <c r="B287" t="s">
        <v>227</v>
      </c>
      <c r="C287" s="169">
        <v>718484.90912386926</v>
      </c>
      <c r="D287" s="167">
        <f t="shared" si="30"/>
        <v>718484.90912386926</v>
      </c>
      <c r="E287" s="168">
        <f t="shared" si="31"/>
        <v>35924.245456193465</v>
      </c>
      <c r="J287" t="s">
        <v>479</v>
      </c>
    </row>
    <row r="288" spans="2:10" x14ac:dyDescent="0.25">
      <c r="B288" t="s">
        <v>141</v>
      </c>
      <c r="C288" s="169">
        <v>6381069.348425556</v>
      </c>
      <c r="D288" s="167">
        <f>C288-F289</f>
        <v>6319846.178425556</v>
      </c>
      <c r="E288" s="168">
        <f t="shared" si="31"/>
        <v>319053.46742127783</v>
      </c>
      <c r="G288" s="168">
        <f>F289</f>
        <v>61223.17</v>
      </c>
    </row>
    <row r="289" spans="2:7" x14ac:dyDescent="0.25">
      <c r="B289" s="134" t="s">
        <v>475</v>
      </c>
      <c r="C289" s="169"/>
      <c r="D289" s="167"/>
      <c r="E289" s="168"/>
      <c r="F289" s="168">
        <v>61223.17</v>
      </c>
      <c r="G289" s="168">
        <f>F289</f>
        <v>61223.17</v>
      </c>
    </row>
    <row r="290" spans="2:7" x14ac:dyDescent="0.25">
      <c r="B290" t="s">
        <v>320</v>
      </c>
      <c r="C290" s="169">
        <v>181783.53</v>
      </c>
      <c r="D290" s="167">
        <f t="shared" si="30"/>
        <v>181783.53</v>
      </c>
      <c r="E290" s="168">
        <f t="shared" si="31"/>
        <v>9089.1764999999996</v>
      </c>
    </row>
    <row r="291" spans="2:7" x14ac:dyDescent="0.25">
      <c r="B291" t="s">
        <v>58</v>
      </c>
      <c r="C291" s="169">
        <v>628140.95021007676</v>
      </c>
      <c r="D291" s="167">
        <f t="shared" si="30"/>
        <v>628140.95021007676</v>
      </c>
      <c r="E291" s="168">
        <f t="shared" si="31"/>
        <v>31407.047510503839</v>
      </c>
    </row>
    <row r="292" spans="2:7" x14ac:dyDescent="0.25">
      <c r="B292" t="s">
        <v>56</v>
      </c>
      <c r="C292" s="169">
        <v>953522.03301583952</v>
      </c>
      <c r="D292" s="167">
        <f t="shared" si="30"/>
        <v>953522.03301583952</v>
      </c>
      <c r="E292" s="168">
        <f t="shared" si="31"/>
        <v>47676.101650791978</v>
      </c>
    </row>
    <row r="293" spans="2:7" x14ac:dyDescent="0.25">
      <c r="B293" t="s">
        <v>490</v>
      </c>
      <c r="C293" s="169">
        <v>110886.61</v>
      </c>
      <c r="D293" s="167">
        <f>C293</f>
        <v>110886.61</v>
      </c>
      <c r="E293" s="168">
        <f t="shared" si="31"/>
        <v>5544.3305</v>
      </c>
    </row>
    <row r="294" spans="2:7" x14ac:dyDescent="0.25">
      <c r="B294" t="s">
        <v>39</v>
      </c>
      <c r="C294" s="169">
        <v>4440896.447703924</v>
      </c>
      <c r="D294" s="167">
        <f>C294-F294</f>
        <v>4440896.447703924</v>
      </c>
      <c r="E294" s="168">
        <f t="shared" si="31"/>
        <v>222044.82238519622</v>
      </c>
    </row>
    <row r="295" spans="2:7" x14ac:dyDescent="0.25">
      <c r="B295" t="s">
        <v>97</v>
      </c>
      <c r="C295" s="169">
        <v>670004.51876552822</v>
      </c>
      <c r="D295" s="167">
        <f t="shared" si="30"/>
        <v>670004.51876552822</v>
      </c>
      <c r="E295" s="168">
        <f t="shared" si="31"/>
        <v>33500.22593827641</v>
      </c>
    </row>
    <row r="296" spans="2:7" x14ac:dyDescent="0.25">
      <c r="B296" t="s">
        <v>228</v>
      </c>
      <c r="C296" s="169">
        <v>258810.55788617692</v>
      </c>
      <c r="D296" s="167">
        <f t="shared" si="30"/>
        <v>258810.55788617692</v>
      </c>
      <c r="E296" s="168">
        <f t="shared" si="31"/>
        <v>12940.527894308847</v>
      </c>
    </row>
    <row r="297" spans="2:7" x14ac:dyDescent="0.25">
      <c r="B297" s="166"/>
      <c r="C297" s="221"/>
      <c r="D297" s="221"/>
      <c r="E297" s="168"/>
    </row>
    <row r="298" spans="2:7" x14ac:dyDescent="0.25">
      <c r="B298" s="222" t="s">
        <v>476</v>
      </c>
      <c r="C298" s="165">
        <f>SUM(C2:C297)</f>
        <v>399326903.95701987</v>
      </c>
    </row>
  </sheetData>
  <sheetProtection algorithmName="SHA-512" hashValue="62dR/6hPs/J6+pdbge3RHLxsTp7jJq7Yn9oL2yYRa/5dMNBP9beUPLospVMI/yhhmkYkS/pM0+/cd6wHMv0dBA==" saltValue="zLT0R4jpcKFFn9M1eRe+Cw==" spinCount="100000" sheet="1" selectLockedCells="1" selectUnlockedCells="1"/>
  <autoFilter ref="B1:J1"/>
  <pageMargins left="0.75" right="0.75" top="1" bottom="1" header="0.5" footer="0.5"/>
  <pageSetup orientation="portrait" verticalDpi="1200"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7B0CB-ECF0-438A-9EA6-9710E3CEFFFA}">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54031767-dd6d-417c-ab73-583408f47564"/>
    <ds:schemaRef ds:uri="http://schemas.microsoft.com/sharepoint/v3"/>
    <ds:schemaRef ds:uri="http://purl.org/dc/terms/"/>
    <ds:schemaRef ds:uri="http://schemas.openxmlformats.org/package/2006/metadata/core-properties"/>
    <ds:schemaRef ds:uri="3815300f-9bc2-46c5-83e2-2c3e624abb24"/>
    <ds:schemaRef ds:uri="http://www.w3.org/XML/1998/namespace"/>
    <ds:schemaRef ds:uri="http://purl.org/dc/dcmitype/"/>
  </ds:schemaRefs>
</ds:datastoreItem>
</file>

<file path=customXml/itemProps3.xml><?xml version="1.0" encoding="utf-8"?>
<ds:datastoreItem xmlns:ds="http://schemas.openxmlformats.org/officeDocument/2006/customXml" ds:itemID="{46CD4904-E14F-41EE-9E7B-65B4BE2D1E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START HERE</vt:lpstr>
      <vt:lpstr>INFO</vt:lpstr>
      <vt:lpstr>2021-22 Expenditures</vt:lpstr>
      <vt:lpstr>2022-23 Expenditures</vt:lpstr>
      <vt:lpstr>Summary</vt:lpstr>
      <vt:lpstr>CODES</vt:lpstr>
      <vt:lpstr>Initial Payment Summary</vt:lpstr>
      <vt:lpstr>Y1Wrksht</vt:lpstr>
      <vt:lpstr>Y2Wrksht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2021-04-02T19:20:40Z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