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8800" windowHeight="12300" tabRatio="500"/>
  </bookViews>
  <sheets>
    <sheet name="START HERE" sheetId="3" r:id="rId1"/>
    <sheet name="INFO" sheetId="9" r:id="rId2"/>
    <sheet name="2021-22 Expenditures" sheetId="1" r:id="rId3"/>
    <sheet name="2022-23 Expenditures" sheetId="14" r:id="rId4"/>
    <sheet name="Summary" sheetId="7" r:id="rId5"/>
    <sheet name="CODES" sheetId="2"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Y2Wrksht!$B$1:$J$1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E201" i="6" l="1"/>
  <c r="G208" i="11"/>
  <c r="G73" i="11"/>
  <c r="G77" i="11"/>
  <c r="E77" i="11"/>
  <c r="D77" i="11"/>
  <c r="G70" i="6"/>
  <c r="E74" i="6"/>
  <c r="D74" i="6"/>
  <c r="F5" i="1"/>
  <c r="F9" i="3"/>
  <c r="D293" i="11"/>
  <c r="G289" i="11"/>
  <c r="G288" i="11"/>
  <c r="G277" i="11"/>
  <c r="G276" i="11"/>
  <c r="G275" i="11"/>
  <c r="G274" i="11"/>
  <c r="G263" i="11"/>
  <c r="G262" i="11"/>
  <c r="G257" i="11"/>
  <c r="G256" i="11"/>
  <c r="G252" i="11"/>
  <c r="G251" i="11"/>
  <c r="G249" i="11"/>
  <c r="G248" i="11"/>
  <c r="G246" i="11"/>
  <c r="G245" i="11"/>
  <c r="G243" i="11"/>
  <c r="G242" i="11"/>
  <c r="G241" i="11"/>
  <c r="G240" i="11"/>
  <c r="G239" i="11"/>
  <c r="G237" i="11"/>
  <c r="G232" i="11"/>
  <c r="G236" i="11"/>
  <c r="G235" i="11"/>
  <c r="G234" i="11"/>
  <c r="G233" i="11"/>
  <c r="G231" i="11"/>
  <c r="G230" i="11"/>
  <c r="G225" i="11"/>
  <c r="G224" i="11"/>
  <c r="G223" i="11"/>
  <c r="G219" i="11"/>
  <c r="G218" i="11"/>
  <c r="G213" i="11"/>
  <c r="G212" i="11"/>
  <c r="G211" i="11"/>
  <c r="G210" i="11"/>
  <c r="G209" i="11"/>
  <c r="G198" i="11"/>
  <c r="G197" i="11"/>
  <c r="G192" i="11"/>
  <c r="G191" i="11"/>
  <c r="G186" i="11"/>
  <c r="G189" i="11"/>
  <c r="G188" i="11"/>
  <c r="G187" i="11"/>
  <c r="G181" i="11"/>
  <c r="G180" i="11"/>
  <c r="G174" i="11"/>
  <c r="G173" i="11"/>
  <c r="G172" i="11"/>
  <c r="G171" i="11"/>
  <c r="G160" i="11"/>
  <c r="G159" i="11"/>
  <c r="G158" i="11"/>
  <c r="G155" i="11"/>
  <c r="G154" i="11"/>
  <c r="G153" i="11"/>
  <c r="G152" i="11"/>
  <c r="G145" i="11"/>
  <c r="G144" i="11"/>
  <c r="G143" i="11"/>
  <c r="G141" i="11"/>
  <c r="G140" i="11"/>
  <c r="G137" i="11"/>
  <c r="G136" i="11"/>
  <c r="G113" i="11"/>
  <c r="G112" i="11"/>
  <c r="G95" i="11"/>
  <c r="G94" i="11"/>
  <c r="G93" i="11"/>
  <c r="G88" i="11"/>
  <c r="G89" i="11"/>
  <c r="G81" i="11"/>
  <c r="G80" i="11"/>
  <c r="G76" i="11"/>
  <c r="G75" i="11"/>
  <c r="G74" i="11"/>
  <c r="G56" i="11"/>
  <c r="G55" i="11"/>
  <c r="G54" i="11"/>
  <c r="G53" i="11"/>
  <c r="G50" i="11"/>
  <c r="G49" i="11"/>
  <c r="G44" i="11"/>
  <c r="G45" i="11"/>
  <c r="G22" i="11"/>
  <c r="G21" i="11"/>
  <c r="G16" i="11"/>
  <c r="G15" i="11"/>
  <c r="G273" i="11"/>
  <c r="G46" i="11"/>
  <c r="E3" i="6"/>
  <c r="E4" i="6"/>
  <c r="E5" i="6"/>
  <c r="E6" i="6"/>
  <c r="E7" i="6"/>
  <c r="E8" i="6"/>
  <c r="E9" i="6"/>
  <c r="E10" i="6"/>
  <c r="E11" i="6"/>
  <c r="E12" i="6"/>
  <c r="E13" i="6"/>
  <c r="E14" i="6"/>
  <c r="E15" i="6"/>
  <c r="E17" i="6"/>
  <c r="E18" i="6"/>
  <c r="E19" i="6"/>
  <c r="E20" i="6"/>
  <c r="E21" i="6"/>
  <c r="E23" i="6"/>
  <c r="E24" i="6"/>
  <c r="E25" i="6"/>
  <c r="E26" i="6"/>
  <c r="E27" i="6"/>
  <c r="E28" i="6"/>
  <c r="E29" i="6"/>
  <c r="E30" i="6"/>
  <c r="E31" i="6"/>
  <c r="E32" i="6"/>
  <c r="E33" i="6"/>
  <c r="E34" i="6"/>
  <c r="E35" i="6"/>
  <c r="E36" i="6"/>
  <c r="E37" i="6"/>
  <c r="E38" i="6"/>
  <c r="E39" i="6"/>
  <c r="E40" i="6"/>
  <c r="E41" i="6"/>
  <c r="E42" i="6"/>
  <c r="E43" i="6"/>
  <c r="E44" i="6"/>
  <c r="E47" i="6"/>
  <c r="E48" i="6"/>
  <c r="E49" i="6"/>
  <c r="E51" i="6"/>
  <c r="E52" i="6"/>
  <c r="E53" i="6"/>
  <c r="E55" i="6"/>
  <c r="E57" i="6"/>
  <c r="E58" i="6"/>
  <c r="E59" i="6"/>
  <c r="E60" i="6"/>
  <c r="E61" i="6"/>
  <c r="E62" i="6"/>
  <c r="E63" i="6"/>
  <c r="E64" i="6"/>
  <c r="E65" i="6"/>
  <c r="E66" i="6"/>
  <c r="E67" i="6"/>
  <c r="E68" i="6"/>
  <c r="E69" i="6"/>
  <c r="E70" i="6"/>
  <c r="E75" i="6"/>
  <c r="E76" i="6"/>
  <c r="E77" i="6"/>
  <c r="E79" i="6"/>
  <c r="E80" i="6"/>
  <c r="E81" i="6"/>
  <c r="E82" i="6"/>
  <c r="E83" i="6"/>
  <c r="E84" i="6"/>
  <c r="E86" i="6"/>
  <c r="E87" i="6"/>
  <c r="E88" i="6"/>
  <c r="E89" i="6"/>
  <c r="E100" i="6"/>
  <c r="E101" i="6"/>
  <c r="E102" i="6"/>
  <c r="E103" i="6"/>
  <c r="E104" i="6"/>
  <c r="E105" i="6"/>
  <c r="E106" i="6"/>
  <c r="E107" i="6"/>
  <c r="E109" i="6"/>
  <c r="E110" i="6"/>
  <c r="E111" i="6"/>
  <c r="E112" i="6"/>
  <c r="E113" i="6"/>
  <c r="E114" i="6"/>
  <c r="E115" i="6"/>
  <c r="E116" i="6"/>
  <c r="E117" i="6"/>
  <c r="E118" i="6"/>
  <c r="E119" i="6"/>
  <c r="E120" i="6"/>
  <c r="E121" i="6"/>
  <c r="E122" i="6"/>
  <c r="E123" i="6"/>
  <c r="E124" i="6"/>
  <c r="E125" i="6"/>
  <c r="E126" i="6"/>
  <c r="E127" i="6"/>
  <c r="E128" i="6"/>
  <c r="E129" i="6"/>
  <c r="E130" i="6"/>
  <c r="E132" i="6"/>
  <c r="E134" i="6"/>
  <c r="E135" i="6"/>
  <c r="E136" i="6"/>
  <c r="E138" i="6"/>
  <c r="E139" i="6"/>
  <c r="E142" i="6"/>
  <c r="E143" i="6"/>
  <c r="E144" i="6"/>
  <c r="E145" i="6"/>
  <c r="E146" i="6"/>
  <c r="E147" i="6"/>
  <c r="E148" i="6"/>
  <c r="E152" i="6"/>
  <c r="E153" i="6"/>
  <c r="E154" i="6"/>
  <c r="E157" i="6"/>
  <c r="E158" i="6"/>
  <c r="E159" i="6"/>
  <c r="E160" i="6"/>
  <c r="E161" i="6"/>
  <c r="E162" i="6"/>
  <c r="E163" i="6"/>
  <c r="E164" i="6"/>
  <c r="E165" i="6"/>
  <c r="E166" i="6"/>
  <c r="E167" i="6"/>
  <c r="E171" i="6"/>
  <c r="E172" i="6"/>
  <c r="E173" i="6"/>
  <c r="E174" i="6"/>
  <c r="E175" i="6"/>
  <c r="E176" i="6"/>
  <c r="E178" i="6"/>
  <c r="E179" i="6"/>
  <c r="E180" i="6"/>
  <c r="E181" i="6"/>
  <c r="E182" i="6"/>
  <c r="E186" i="6"/>
  <c r="E187" i="6"/>
  <c r="E189" i="6"/>
  <c r="E190" i="6"/>
  <c r="E191" i="6"/>
  <c r="E192" i="6"/>
  <c r="E193" i="6"/>
  <c r="E195" i="6"/>
  <c r="E196" i="6"/>
  <c r="E197" i="6"/>
  <c r="E198" i="6"/>
  <c r="E199" i="6"/>
  <c r="E200" i="6"/>
  <c r="E202" i="6"/>
  <c r="E203" i="6"/>
  <c r="E209" i="6"/>
  <c r="E210" i="6"/>
  <c r="E211" i="6"/>
  <c r="E212" i="6"/>
  <c r="E213" i="6"/>
  <c r="E215" i="6"/>
  <c r="E216" i="6"/>
  <c r="E217" i="6"/>
  <c r="E218" i="6"/>
  <c r="E221" i="6"/>
  <c r="E222" i="6"/>
  <c r="E223" i="6"/>
  <c r="E224" i="6"/>
  <c r="E225" i="6"/>
  <c r="E227" i="6"/>
  <c r="E233" i="6"/>
  <c r="E234" i="6"/>
  <c r="E237" i="6"/>
  <c r="E239" i="6"/>
  <c r="E240" i="6"/>
  <c r="E242" i="6"/>
  <c r="E243" i="6"/>
  <c r="E245" i="6"/>
  <c r="E246" i="6"/>
  <c r="E249" i="6"/>
  <c r="E250" i="6"/>
  <c r="E251" i="6"/>
  <c r="E253" i="6"/>
  <c r="E254" i="6"/>
  <c r="E255" i="6"/>
  <c r="E256" i="6"/>
  <c r="E257" i="6"/>
  <c r="E259" i="6"/>
  <c r="E260" i="6"/>
  <c r="E261" i="6"/>
  <c r="E262" i="6"/>
  <c r="E263" i="6"/>
  <c r="E264" i="6"/>
  <c r="E265" i="6"/>
  <c r="E267" i="6"/>
  <c r="E269" i="6"/>
  <c r="E271" i="6"/>
  <c r="E272" i="6"/>
  <c r="E273" i="6"/>
  <c r="E274" i="6"/>
  <c r="E275" i="6"/>
  <c r="E276" i="6"/>
  <c r="E277" i="6"/>
  <c r="E278" i="6"/>
  <c r="E279" i="6"/>
  <c r="E280" i="6"/>
  <c r="E281" i="6"/>
  <c r="E283" i="6"/>
  <c r="E284" i="6"/>
  <c r="E285" i="6"/>
  <c r="E286" i="6"/>
  <c r="E287" i="6"/>
  <c r="E288" i="6"/>
  <c r="E289" i="6"/>
  <c r="C258" i="6"/>
  <c r="E258" i="6"/>
  <c r="G282" i="6"/>
  <c r="G270" i="6"/>
  <c r="G268" i="6"/>
  <c r="G266" i="6"/>
  <c r="G258" i="6"/>
  <c r="G252" i="6"/>
  <c r="G248" i="6"/>
  <c r="G247" i="6"/>
  <c r="G244" i="6"/>
  <c r="G241" i="6"/>
  <c r="G238" i="6"/>
  <c r="G236" i="6"/>
  <c r="G235" i="6"/>
  <c r="G229" i="6"/>
  <c r="G230" i="6"/>
  <c r="G231" i="6"/>
  <c r="G232" i="6"/>
  <c r="G228" i="6"/>
  <c r="G226" i="6"/>
  <c r="G220" i="6"/>
  <c r="G219" i="6"/>
  <c r="G214" i="6"/>
  <c r="G205" i="6"/>
  <c r="G206" i="6"/>
  <c r="G207" i="6"/>
  <c r="G208" i="6"/>
  <c r="G204" i="6"/>
  <c r="G194" i="6"/>
  <c r="G188" i="6"/>
  <c r="G185" i="6"/>
  <c r="G184" i="6"/>
  <c r="G183" i="6"/>
  <c r="G177" i="6"/>
  <c r="G170" i="6"/>
  <c r="G169" i="6"/>
  <c r="G168" i="6"/>
  <c r="G156" i="6"/>
  <c r="G155" i="6"/>
  <c r="G151" i="6"/>
  <c r="G150" i="6"/>
  <c r="G149" i="6"/>
  <c r="G141" i="6"/>
  <c r="G140" i="6"/>
  <c r="G137" i="6"/>
  <c r="G133" i="6"/>
  <c r="G131" i="6"/>
  <c r="G108" i="6"/>
  <c r="G91" i="6"/>
  <c r="G90" i="6"/>
  <c r="G85" i="6"/>
  <c r="G78" i="6"/>
  <c r="G73" i="6"/>
  <c r="G72" i="6"/>
  <c r="G71" i="6"/>
  <c r="G56" i="6"/>
  <c r="G54" i="6"/>
  <c r="G50" i="6"/>
  <c r="G46" i="6"/>
  <c r="G45" i="6"/>
  <c r="G22" i="6"/>
  <c r="G16" i="6"/>
  <c r="E9" i="3"/>
  <c r="D222" i="6"/>
  <c r="G130" i="6"/>
  <c r="G246" i="6"/>
  <c r="G281" i="6"/>
  <c r="G269" i="6"/>
  <c r="G267" i="6"/>
  <c r="G257" i="6"/>
  <c r="G243" i="6"/>
  <c r="G240" i="6"/>
  <c r="G237" i="6"/>
  <c r="G225" i="6"/>
  <c r="G213" i="6"/>
  <c r="G193" i="6"/>
  <c r="G187" i="6"/>
  <c r="G176" i="6"/>
  <c r="G136" i="6"/>
  <c r="G132" i="6"/>
  <c r="G107" i="6"/>
  <c r="G84" i="6"/>
  <c r="G77" i="6"/>
  <c r="G55" i="6"/>
  <c r="G49" i="6"/>
  <c r="G44" i="6"/>
  <c r="G21" i="6"/>
  <c r="G15" i="6"/>
  <c r="D200" i="11"/>
  <c r="D243" i="6"/>
  <c r="D132" i="6"/>
  <c r="D84" i="6"/>
  <c r="D86" i="6"/>
  <c r="D88" i="11"/>
  <c r="D136" i="11"/>
  <c r="D248" i="11"/>
  <c r="D272" i="6"/>
  <c r="D245" i="6"/>
  <c r="D200" i="6"/>
  <c r="G182" i="6"/>
  <c r="D186" i="6"/>
  <c r="D124" i="6"/>
  <c r="D130" i="6"/>
  <c r="D265" i="6"/>
  <c r="D239" i="6"/>
  <c r="D134" i="6"/>
  <c r="D217" i="6"/>
  <c r="D41" i="6"/>
  <c r="D221" i="6"/>
  <c r="D216" i="6"/>
  <c r="D215" i="6"/>
  <c r="D9" i="6"/>
  <c r="D196" i="6"/>
  <c r="D63" i="6"/>
  <c r="D126" i="6"/>
  <c r="D37" i="6"/>
  <c r="G251" i="6"/>
  <c r="D263" i="6"/>
  <c r="D264" i="6"/>
  <c r="D287" i="6"/>
  <c r="D286" i="6"/>
  <c r="D224" i="6"/>
  <c r="G218" i="6"/>
  <c r="D142" i="6"/>
  <c r="G53" i="6"/>
  <c r="D53" i="6"/>
  <c r="D119" i="6"/>
  <c r="D120" i="6"/>
  <c r="D7" i="6"/>
  <c r="E114" i="11"/>
  <c r="D114" i="11"/>
  <c r="D7" i="11"/>
  <c r="E7" i="11"/>
  <c r="E124" i="11"/>
  <c r="D124" i="11"/>
  <c r="D125" i="11"/>
  <c r="E146" i="11"/>
  <c r="D146" i="11"/>
  <c r="F53" i="11"/>
  <c r="F223" i="11"/>
  <c r="E293" i="11"/>
  <c r="D294" i="11"/>
  <c r="D272" i="11"/>
  <c r="E272" i="11"/>
  <c r="F251" i="11"/>
  <c r="D269" i="11"/>
  <c r="E269" i="11"/>
  <c r="D270" i="11"/>
  <c r="D37" i="11"/>
  <c r="E37" i="11"/>
  <c r="F256" i="11"/>
  <c r="F73" i="11"/>
  <c r="D66" i="11"/>
  <c r="E66" i="11"/>
  <c r="D131" i="11"/>
  <c r="D9" i="11"/>
  <c r="E9" i="11"/>
  <c r="D221" i="11"/>
  <c r="D220" i="11"/>
  <c r="E220" i="11"/>
  <c r="E222" i="11"/>
  <c r="D222" i="11"/>
  <c r="D135" i="11"/>
  <c r="D138" i="11"/>
  <c r="E138" i="11"/>
  <c r="D41" i="11"/>
  <c r="D244" i="11"/>
  <c r="E271" i="11"/>
  <c r="D271" i="11"/>
  <c r="F186" i="11"/>
  <c r="E190" i="11"/>
  <c r="D190" i="11"/>
  <c r="E96" i="11"/>
  <c r="D96" i="11"/>
  <c r="D111" i="6"/>
  <c r="G4" i="14"/>
  <c r="G4" i="1"/>
  <c r="F6" i="3"/>
  <c r="E6" i="3"/>
  <c r="G5" i="1"/>
  <c r="H5" i="1"/>
  <c r="D251" i="6"/>
  <c r="D246" i="6"/>
  <c r="G234" i="6"/>
  <c r="D234" i="6"/>
  <c r="G227" i="6"/>
  <c r="D227" i="6"/>
  <c r="D218" i="6"/>
  <c r="G203" i="6"/>
  <c r="D203" i="6"/>
  <c r="D182" i="6"/>
  <c r="G167" i="6"/>
  <c r="D167" i="6"/>
  <c r="G154" i="6"/>
  <c r="D158" i="6"/>
  <c r="G148" i="6"/>
  <c r="D148" i="6"/>
  <c r="G139" i="6"/>
  <c r="D144" i="6"/>
  <c r="G89" i="6"/>
  <c r="D89" i="6"/>
  <c r="D70" i="6"/>
  <c r="D19" i="6"/>
  <c r="C97" i="11"/>
  <c r="E97" i="1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c r="E239" i="11"/>
  <c r="E238" i="11"/>
  <c r="D238" i="11"/>
  <c r="D232" i="11"/>
  <c r="E232" i="11"/>
  <c r="E230" i="11"/>
  <c r="D230" i="11"/>
  <c r="E228" i="11"/>
  <c r="D228" i="11"/>
  <c r="E227" i="11"/>
  <c r="D227" i="11"/>
  <c r="E226" i="11"/>
  <c r="D226" i="11"/>
  <c r="D223" i="11"/>
  <c r="E223" i="11"/>
  <c r="E221" i="11"/>
  <c r="E218" i="11"/>
  <c r="D218" i="11"/>
  <c r="E217" i="11"/>
  <c r="D217" i="11"/>
  <c r="E216" i="11"/>
  <c r="D216" i="11"/>
  <c r="E215" i="11"/>
  <c r="D215" i="11"/>
  <c r="E214" i="11"/>
  <c r="D214" i="11"/>
  <c r="F208" i="11"/>
  <c r="D208" i="1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c r="E171" i="11"/>
  <c r="E170" i="11"/>
  <c r="D170" i="11"/>
  <c r="E169" i="11"/>
  <c r="D169" i="11"/>
  <c r="E168" i="11"/>
  <c r="D168" i="11"/>
  <c r="E167" i="11"/>
  <c r="D167" i="11"/>
  <c r="E166" i="11"/>
  <c r="D166" i="11"/>
  <c r="E165" i="11"/>
  <c r="D165" i="11"/>
  <c r="E164" i="11"/>
  <c r="D164" i="11"/>
  <c r="E163" i="11"/>
  <c r="D163" i="11"/>
  <c r="E162" i="11"/>
  <c r="D162" i="11"/>
  <c r="E161" i="11"/>
  <c r="D161" i="11"/>
  <c r="F158" i="11"/>
  <c r="D158" i="11"/>
  <c r="E158" i="11"/>
  <c r="E157" i="11"/>
  <c r="D157" i="11"/>
  <c r="E156" i="11"/>
  <c r="D156" i="11"/>
  <c r="F152" i="11"/>
  <c r="D152" i="11"/>
  <c r="E152" i="11"/>
  <c r="E151" i="11"/>
  <c r="D151" i="11"/>
  <c r="E150" i="11"/>
  <c r="D150" i="11"/>
  <c r="E149" i="11"/>
  <c r="D149" i="11"/>
  <c r="E148" i="11"/>
  <c r="D148" i="11"/>
  <c r="E147" i="11"/>
  <c r="D147" i="11"/>
  <c r="F143" i="11"/>
  <c r="D143" i="11"/>
  <c r="E143" i="11"/>
  <c r="E142" i="11"/>
  <c r="D142" i="11"/>
  <c r="E140" i="11"/>
  <c r="D140" i="11"/>
  <c r="E139" i="11"/>
  <c r="D139" i="11"/>
  <c r="E136" i="11"/>
  <c r="E135" i="11"/>
  <c r="E134" i="11"/>
  <c r="D134" i="11"/>
  <c r="E133" i="11"/>
  <c r="D133" i="11"/>
  <c r="E132" i="11"/>
  <c r="D132" i="11"/>
  <c r="E131" i="11"/>
  <c r="E130" i="11"/>
  <c r="D130" i="11"/>
  <c r="E129" i="11"/>
  <c r="D129" i="11"/>
  <c r="E128" i="11"/>
  <c r="D128" i="11"/>
  <c r="E127" i="11"/>
  <c r="D127" i="11"/>
  <c r="E126" i="11"/>
  <c r="D126" i="11"/>
  <c r="E125" i="11"/>
  <c r="E123" i="11"/>
  <c r="D123" i="11"/>
  <c r="E122" i="11"/>
  <c r="D122" i="11"/>
  <c r="E121" i="11"/>
  <c r="D121" i="11"/>
  <c r="E120" i="11"/>
  <c r="D120" i="11"/>
  <c r="E119" i="11"/>
  <c r="D119" i="11"/>
  <c r="E118" i="11"/>
  <c r="D118" i="11"/>
  <c r="E117" i="11"/>
  <c r="D117" i="11"/>
  <c r="E116" i="11"/>
  <c r="D116" i="11"/>
  <c r="E115" i="11"/>
  <c r="D115" i="11"/>
  <c r="E112" i="11"/>
  <c r="D112" i="11"/>
  <c r="E111" i="11"/>
  <c r="D111" i="11"/>
  <c r="E110" i="11"/>
  <c r="D110" i="11"/>
  <c r="E109" i="11"/>
  <c r="D109" i="11"/>
  <c r="E108" i="11"/>
  <c r="D108" i="11"/>
  <c r="E107" i="11"/>
  <c r="D107" i="11"/>
  <c r="E106" i="11"/>
  <c r="D106" i="11"/>
  <c r="E105" i="11"/>
  <c r="D105" i="11"/>
  <c r="F93" i="11"/>
  <c r="D93" i="11"/>
  <c r="E93" i="11"/>
  <c r="E92" i="11"/>
  <c r="D92" i="11"/>
  <c r="E91" i="11"/>
  <c r="D91" i="11"/>
  <c r="E90" i="11"/>
  <c r="D90" i="11"/>
  <c r="E88" i="11"/>
  <c r="E87" i="11"/>
  <c r="D87" i="11"/>
  <c r="E86" i="11"/>
  <c r="D86" i="11"/>
  <c r="E85" i="11"/>
  <c r="D85" i="11"/>
  <c r="E84" i="11"/>
  <c r="D84" i="11"/>
  <c r="E83" i="11"/>
  <c r="D83" i="11"/>
  <c r="E82" i="11"/>
  <c r="D82" i="11"/>
  <c r="E80" i="11"/>
  <c r="D80" i="11"/>
  <c r="E79" i="11"/>
  <c r="D79" i="11"/>
  <c r="E78" i="11"/>
  <c r="D78"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c r="E38" i="11"/>
  <c r="D38" i="11"/>
  <c r="E36" i="11"/>
  <c r="D36" i="11"/>
  <c r="E35" i="11"/>
  <c r="D35" i="11"/>
  <c r="E34" i="11"/>
  <c r="D34" i="11"/>
  <c r="E33" i="11"/>
  <c r="D33" i="11"/>
  <c r="E32" i="11"/>
  <c r="D32" i="11"/>
  <c r="E31" i="11"/>
  <c r="D31" i="11"/>
  <c r="E30" i="11"/>
  <c r="D30" i="11"/>
  <c r="E29" i="11"/>
  <c r="D29" i="11"/>
  <c r="E28" i="11"/>
  <c r="D28" i="11"/>
  <c r="E27" i="11"/>
  <c r="D27" i="11"/>
  <c r="E26" i="11"/>
  <c r="D26" i="1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2" i="6"/>
  <c r="E92" i="6"/>
  <c r="D289" i="6"/>
  <c r="D288" i="6"/>
  <c r="D285" i="6"/>
  <c r="D284" i="6"/>
  <c r="D283" i="6"/>
  <c r="D281" i="6"/>
  <c r="D280" i="6"/>
  <c r="D279" i="6"/>
  <c r="D278" i="6"/>
  <c r="D277" i="6"/>
  <c r="D276" i="6"/>
  <c r="D275" i="6"/>
  <c r="D274" i="6"/>
  <c r="D273" i="6"/>
  <c r="D271" i="6"/>
  <c r="D269" i="6"/>
  <c r="D267" i="6"/>
  <c r="D262" i="6"/>
  <c r="D261" i="6"/>
  <c r="D260" i="6"/>
  <c r="D259" i="6"/>
  <c r="D257" i="6"/>
  <c r="D256" i="6"/>
  <c r="D255" i="6"/>
  <c r="D254" i="6"/>
  <c r="D253" i="6"/>
  <c r="D250" i="6"/>
  <c r="D249" i="6"/>
  <c r="D242" i="6"/>
  <c r="D240" i="6"/>
  <c r="D237" i="6"/>
  <c r="D233" i="6"/>
  <c r="D225" i="6"/>
  <c r="D223" i="6"/>
  <c r="D213" i="6"/>
  <c r="D212" i="6"/>
  <c r="D211" i="6"/>
  <c r="D210" i="6"/>
  <c r="D209" i="6"/>
  <c r="D202" i="6"/>
  <c r="D201" i="6"/>
  <c r="D199" i="6"/>
  <c r="D198" i="6"/>
  <c r="D197" i="6"/>
  <c r="D195" i="6"/>
  <c r="D193" i="6"/>
  <c r="D192" i="6"/>
  <c r="D191" i="6"/>
  <c r="D190" i="6"/>
  <c r="D189" i="6"/>
  <c r="D187" i="6"/>
  <c r="D181" i="6"/>
  <c r="D180" i="6"/>
  <c r="D179" i="6"/>
  <c r="D178" i="6"/>
  <c r="D176" i="6"/>
  <c r="D175" i="6"/>
  <c r="D174" i="6"/>
  <c r="D173" i="6"/>
  <c r="D172" i="6"/>
  <c r="D166" i="6"/>
  <c r="D165" i="6"/>
  <c r="D164" i="6"/>
  <c r="D163" i="6"/>
  <c r="D162" i="6"/>
  <c r="D161" i="6"/>
  <c r="D160" i="6"/>
  <c r="D159" i="6"/>
  <c r="D157" i="6"/>
  <c r="D153" i="6"/>
  <c r="D147" i="6"/>
  <c r="D146" i="6"/>
  <c r="D145" i="6"/>
  <c r="D143" i="6"/>
  <c r="D138" i="6"/>
  <c r="D136" i="6"/>
  <c r="D135" i="6"/>
  <c r="D129" i="6"/>
  <c r="D128" i="6"/>
  <c r="D127" i="6"/>
  <c r="D125" i="6"/>
  <c r="D123" i="6"/>
  <c r="D122" i="6"/>
  <c r="D121" i="6"/>
  <c r="D118" i="6"/>
  <c r="D117" i="6"/>
  <c r="D116" i="6"/>
  <c r="D115" i="6"/>
  <c r="D114" i="6"/>
  <c r="D113" i="6"/>
  <c r="D112" i="6"/>
  <c r="D109" i="6"/>
  <c r="D107" i="6"/>
  <c r="D106" i="6"/>
  <c r="D105" i="6"/>
  <c r="D104" i="6"/>
  <c r="D103" i="6"/>
  <c r="D102" i="6"/>
  <c r="D101" i="6"/>
  <c r="D100" i="6"/>
  <c r="D88" i="6"/>
  <c r="D87" i="6"/>
  <c r="D83" i="6"/>
  <c r="D82" i="6"/>
  <c r="D81" i="6"/>
  <c r="D80" i="6"/>
  <c r="D79" i="6"/>
  <c r="D77" i="6"/>
  <c r="D76" i="6"/>
  <c r="D75" i="6"/>
  <c r="D69" i="6"/>
  <c r="D68" i="6"/>
  <c r="D67" i="6"/>
  <c r="D66" i="6"/>
  <c r="D65" i="6"/>
  <c r="D64" i="6"/>
  <c r="D62" i="6"/>
  <c r="D61" i="6"/>
  <c r="D60" i="6"/>
  <c r="D59" i="6"/>
  <c r="D58" i="6"/>
  <c r="D57" i="6"/>
  <c r="D55" i="6"/>
  <c r="D52" i="6"/>
  <c r="D51" i="6"/>
  <c r="D49" i="6"/>
  <c r="D48" i="6"/>
  <c r="D47" i="6"/>
  <c r="D44" i="6"/>
  <c r="D43" i="6"/>
  <c r="D42" i="6"/>
  <c r="D40" i="6"/>
  <c r="D39" i="6"/>
  <c r="D38" i="6"/>
  <c r="D36" i="6"/>
  <c r="D35" i="6"/>
  <c r="D34" i="6"/>
  <c r="D33" i="6"/>
  <c r="D32" i="6"/>
  <c r="D31" i="6"/>
  <c r="D30" i="6"/>
  <c r="D29" i="6"/>
  <c r="D28" i="6"/>
  <c r="D27" i="6"/>
  <c r="D26" i="6"/>
  <c r="D25" i="6"/>
  <c r="D24" i="6"/>
  <c r="D23" i="6"/>
  <c r="D21" i="6"/>
  <c r="D20" i="6"/>
  <c r="D18" i="6"/>
  <c r="D17" i="6"/>
  <c r="D15" i="6"/>
  <c r="D14" i="6"/>
  <c r="D13" i="6"/>
  <c r="D12" i="6"/>
  <c r="D11" i="6"/>
  <c r="D10" i="6"/>
  <c r="D8" i="6"/>
  <c r="D6" i="6"/>
  <c r="D5" i="6"/>
  <c r="D4" i="6"/>
  <c r="D3" i="6"/>
  <c r="E2" i="6"/>
  <c r="D2" i="6"/>
  <c r="F6" i="1"/>
  <c r="I31" i="7"/>
  <c r="I30" i="7"/>
  <c r="I29" i="7"/>
  <c r="I28" i="7"/>
  <c r="I26" i="7"/>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G5" i="14"/>
  <c r="H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10" i="14"/>
  <c r="A11" i="14"/>
  <c r="A12" i="14"/>
  <c r="A13" i="14"/>
  <c r="A14" i="14"/>
  <c r="A15" i="14"/>
  <c r="A16" i="14"/>
  <c r="A17" i="14"/>
  <c r="A18" i="14"/>
  <c r="A19" i="14"/>
  <c r="A20" i="14"/>
  <c r="A21" i="14"/>
  <c r="A22" i="14"/>
  <c r="A23" i="14"/>
  <c r="F6" i="14"/>
  <c r="H9" i="7"/>
  <c r="I9" i="7"/>
  <c r="I5" i="7"/>
  <c r="H5" i="7"/>
  <c r="I4" i="7"/>
  <c r="H4" i="7"/>
  <c r="D13" i="7"/>
  <c r="E19" i="7"/>
  <c r="E18" i="7"/>
  <c r="D19" i="7"/>
  <c r="D18" i="7"/>
  <c r="I8" i="7"/>
  <c r="I7" i="7"/>
  <c r="I6" i="7"/>
  <c r="H8" i="7"/>
  <c r="H7" i="7"/>
  <c r="H6" i="7"/>
  <c r="I11"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c r="AA15" i="5"/>
  <c r="G103" i="5"/>
  <c r="U103" i="5"/>
  <c r="G40" i="5"/>
  <c r="G168" i="5"/>
  <c r="G136" i="5"/>
  <c r="G163" i="5"/>
  <c r="U163" i="5"/>
  <c r="Z163" i="5"/>
  <c r="G56" i="5"/>
  <c r="G223" i="5"/>
  <c r="G121" i="5"/>
  <c r="U121" i="5"/>
  <c r="G158" i="5"/>
  <c r="K158" i="5"/>
  <c r="U158" i="5"/>
  <c r="Y158" i="5"/>
  <c r="G51" i="5"/>
  <c r="G157" i="5"/>
  <c r="G43" i="5"/>
  <c r="G78" i="5"/>
  <c r="U78" i="5"/>
  <c r="G88" i="5"/>
  <c r="U88" i="5"/>
  <c r="G28" i="5"/>
  <c r="U28" i="5"/>
  <c r="G108" i="5"/>
  <c r="U108" i="5"/>
  <c r="G222" i="5"/>
  <c r="K222" i="5"/>
  <c r="N222" i="5"/>
  <c r="G118" i="5"/>
  <c r="U118" i="5"/>
  <c r="G186" i="5"/>
  <c r="U186" i="5"/>
  <c r="G50" i="5"/>
  <c r="U50" i="5"/>
  <c r="X50" i="5"/>
  <c r="G177" i="5"/>
  <c r="U177" i="5"/>
  <c r="G202" i="5"/>
  <c r="U202" i="5"/>
  <c r="G54" i="5"/>
  <c r="U54" i="5"/>
  <c r="X54" i="5"/>
  <c r="G53" i="5"/>
  <c r="G145" i="5"/>
  <c r="G174" i="5"/>
  <c r="G140" i="5"/>
  <c r="U140" i="5"/>
  <c r="G31" i="5"/>
  <c r="U31" i="5"/>
  <c r="Y31" i="5"/>
  <c r="G46" i="5"/>
  <c r="U46" i="5"/>
  <c r="G172" i="5"/>
  <c r="U172" i="5"/>
  <c r="G39" i="5"/>
  <c r="K39" i="5"/>
  <c r="N39" i="5"/>
  <c r="G35" i="5"/>
  <c r="G178" i="5"/>
  <c r="U178" i="5"/>
  <c r="G194" i="5"/>
  <c r="U194" i="5"/>
  <c r="G154" i="5"/>
  <c r="U154" i="5"/>
  <c r="Y154" i="5"/>
  <c r="G90" i="5"/>
  <c r="U90" i="5"/>
  <c r="G68" i="5"/>
  <c r="U68" i="5"/>
  <c r="Y68" i="5"/>
  <c r="G198" i="5"/>
  <c r="K198" i="5"/>
  <c r="G42" i="5"/>
  <c r="G147" i="5"/>
  <c r="U147" i="5"/>
  <c r="G229" i="5"/>
  <c r="U229" i="5"/>
  <c r="G75" i="5"/>
  <c r="U75" i="5"/>
  <c r="G89" i="5"/>
  <c r="U89" i="5"/>
  <c r="X89" i="5"/>
  <c r="G179" i="5"/>
  <c r="U179" i="5"/>
  <c r="G226" i="5"/>
  <c r="K226" i="5"/>
  <c r="N226" i="5"/>
  <c r="G207" i="5"/>
  <c r="G24" i="5"/>
  <c r="U24" i="5"/>
  <c r="X24" i="5"/>
  <c r="G52" i="5"/>
  <c r="U52" i="5"/>
  <c r="X52" i="5"/>
  <c r="G109" i="5"/>
  <c r="U109" i="5"/>
  <c r="G175" i="5"/>
  <c r="U175" i="5"/>
  <c r="X175" i="5"/>
  <c r="G65" i="5"/>
  <c r="U65" i="5"/>
  <c r="G125" i="5"/>
  <c r="K125" i="5"/>
  <c r="N125" i="5"/>
  <c r="G94" i="5"/>
  <c r="U94" i="5"/>
  <c r="G95" i="5"/>
  <c r="G167" i="5"/>
  <c r="K167" i="5"/>
  <c r="N167" i="5"/>
  <c r="G66" i="5"/>
  <c r="K66" i="5"/>
  <c r="M66" i="5"/>
  <c r="G206" i="5"/>
  <c r="U206" i="5"/>
  <c r="G85" i="5"/>
  <c r="U85" i="5"/>
  <c r="G67" i="5"/>
  <c r="K67" i="5"/>
  <c r="N67" i="5"/>
  <c r="G196" i="5"/>
  <c r="G96" i="5"/>
  <c r="U96" i="5"/>
  <c r="G102" i="5"/>
  <c r="G165" i="5"/>
  <c r="K165" i="5"/>
  <c r="N165" i="5"/>
  <c r="G26" i="5"/>
  <c r="U26" i="5"/>
  <c r="G72" i="5"/>
  <c r="G183" i="5"/>
  <c r="G176" i="5"/>
  <c r="G41" i="5"/>
  <c r="K41" i="5"/>
  <c r="G169" i="5"/>
  <c r="U169" i="5"/>
  <c r="G132" i="5"/>
  <c r="U132" i="5"/>
  <c r="X132" i="5"/>
  <c r="G61" i="5"/>
  <c r="U61" i="5"/>
  <c r="G27" i="5"/>
  <c r="U27" i="5"/>
  <c r="G38" i="5"/>
  <c r="K38" i="5"/>
  <c r="G106" i="5"/>
  <c r="G91" i="5"/>
  <c r="K91" i="5"/>
  <c r="N91" i="5"/>
  <c r="G210" i="5"/>
  <c r="U210" i="5"/>
  <c r="G116" i="5"/>
  <c r="U116" i="5"/>
  <c r="G120" i="5"/>
  <c r="U120" i="5"/>
  <c r="G159" i="5"/>
  <c r="U159" i="5"/>
  <c r="Y159" i="5"/>
  <c r="G148" i="5"/>
  <c r="G171" i="5"/>
  <c r="G19" i="5"/>
  <c r="G170" i="5"/>
  <c r="G79" i="5"/>
  <c r="U79" i="5"/>
  <c r="X79" i="5"/>
  <c r="G201" i="5"/>
  <c r="K201" i="5"/>
  <c r="G128" i="5"/>
  <c r="G58" i="5"/>
  <c r="G197" i="5"/>
  <c r="G36" i="5"/>
  <c r="U36" i="5"/>
  <c r="Z36" i="5"/>
  <c r="G60" i="5"/>
  <c r="U60" i="5"/>
  <c r="X60" i="5"/>
  <c r="G130" i="5"/>
  <c r="U130" i="5"/>
  <c r="G112" i="5"/>
  <c r="U112" i="5"/>
  <c r="G126" i="5"/>
  <c r="U126" i="5"/>
  <c r="G155" i="5"/>
  <c r="U155" i="5"/>
  <c r="G129" i="5"/>
  <c r="G37" i="5"/>
  <c r="G195" i="5"/>
  <c r="G124" i="5"/>
  <c r="U124" i="5"/>
  <c r="Y124" i="5"/>
  <c r="G98" i="5"/>
  <c r="U98" i="5"/>
  <c r="G92" i="5"/>
  <c r="U92" i="5"/>
  <c r="G122" i="5"/>
  <c r="U122" i="5"/>
  <c r="X122" i="5"/>
  <c r="G209" i="5"/>
  <c r="G187" i="5"/>
  <c r="G185" i="5"/>
  <c r="G47" i="5"/>
  <c r="U47" i="5"/>
  <c r="X47" i="5"/>
  <c r="G110" i="5"/>
  <c r="U110" i="5"/>
  <c r="G156" i="5"/>
  <c r="K156" i="5"/>
  <c r="P156" i="5"/>
  <c r="G113" i="5"/>
  <c r="U113" i="5"/>
  <c r="G153" i="5"/>
  <c r="G23" i="5"/>
  <c r="U23" i="5"/>
  <c r="G127" i="5"/>
  <c r="G20" i="5"/>
  <c r="G97" i="5"/>
  <c r="G25" i="5"/>
  <c r="U25" i="5"/>
  <c r="G217" i="5"/>
  <c r="U217" i="5"/>
  <c r="X217" i="5"/>
  <c r="G87" i="5"/>
  <c r="K87" i="5"/>
  <c r="G193" i="5"/>
  <c r="U193" i="5"/>
  <c r="G44" i="5"/>
  <c r="G107" i="5"/>
  <c r="G149" i="5"/>
  <c r="K149" i="5"/>
  <c r="G184" i="5"/>
  <c r="U184" i="5"/>
  <c r="G203" i="5"/>
  <c r="U203" i="5"/>
  <c r="X203" i="5"/>
  <c r="G139" i="5"/>
  <c r="K139" i="5"/>
  <c r="G227" i="5"/>
  <c r="G138" i="5"/>
  <c r="U138" i="5"/>
  <c r="G105" i="5"/>
  <c r="U105" i="5"/>
  <c r="G160" i="5"/>
  <c r="G93" i="5"/>
  <c r="G45" i="5"/>
  <c r="K45" i="5"/>
  <c r="M45" i="5"/>
  <c r="G55" i="5"/>
  <c r="U55" i="5"/>
  <c r="G63" i="5"/>
  <c r="G182" i="5"/>
  <c r="G62" i="5"/>
  <c r="G49" i="5"/>
  <c r="U49" i="5"/>
  <c r="G162" i="5"/>
  <c r="G80" i="5"/>
  <c r="K80" i="5"/>
  <c r="G190" i="5"/>
  <c r="U190" i="5"/>
  <c r="Z190" i="5"/>
  <c r="G212" i="5"/>
  <c r="U212" i="5"/>
  <c r="G141" i="5"/>
  <c r="U141" i="5"/>
  <c r="G99" i="5"/>
  <c r="U99" i="5"/>
  <c r="X99" i="5"/>
  <c r="G166" i="5"/>
  <c r="G73" i="5"/>
  <c r="U73" i="5"/>
  <c r="G215" i="5"/>
  <c r="G133" i="5"/>
  <c r="G100" i="5"/>
  <c r="G161" i="5"/>
  <c r="G29" i="5"/>
  <c r="G204" i="5"/>
  <c r="G214" i="5"/>
  <c r="U214" i="5"/>
  <c r="G119" i="5"/>
  <c r="U119" i="5"/>
  <c r="Z119" i="5"/>
  <c r="G216" i="5"/>
  <c r="K216" i="5"/>
  <c r="G150" i="5"/>
  <c r="U150" i="5"/>
  <c r="Z150" i="5"/>
  <c r="G104" i="5"/>
  <c r="U104" i="5"/>
  <c r="X104" i="5"/>
  <c r="G57" i="5"/>
  <c r="G74" i="5"/>
  <c r="U74" i="5"/>
  <c r="G111" i="5"/>
  <c r="K111" i="5"/>
  <c r="P111" i="5"/>
  <c r="G221" i="5"/>
  <c r="U221" i="5"/>
  <c r="G76" i="5"/>
  <c r="U76" i="5"/>
  <c r="G213" i="5"/>
  <c r="K213" i="5"/>
  <c r="G71" i="5"/>
  <c r="K71" i="5"/>
  <c r="G152" i="5"/>
  <c r="U152" i="5"/>
  <c r="G32" i="5"/>
  <c r="G211" i="5"/>
  <c r="G33" i="5"/>
  <c r="G191" i="5"/>
  <c r="G200" i="5"/>
  <c r="K200" i="5"/>
  <c r="G83" i="5"/>
  <c r="G228" i="5"/>
  <c r="G22" i="5"/>
  <c r="U22" i="5"/>
  <c r="G64" i="5"/>
  <c r="K64" i="5"/>
  <c r="G131" i="5"/>
  <c r="G189" i="5"/>
  <c r="X158" i="5"/>
  <c r="X154" i="5"/>
  <c r="X68" i="5"/>
  <c r="X75" i="5"/>
  <c r="X109" i="5"/>
  <c r="X94" i="5"/>
  <c r="X124" i="5"/>
  <c r="X25" i="5"/>
  <c r="Z25" i="5"/>
  <c r="X190" i="5"/>
  <c r="X119" i="5"/>
  <c r="X221" i="5"/>
  <c r="Y50" i="5"/>
  <c r="Y75" i="5"/>
  <c r="Y89" i="5"/>
  <c r="Y24" i="5"/>
  <c r="Y52" i="5"/>
  <c r="Y109" i="5"/>
  <c r="Y94" i="5"/>
  <c r="Y132" i="5"/>
  <c r="Y79" i="5"/>
  <c r="Y122" i="5"/>
  <c r="Y47" i="5"/>
  <c r="Y110" i="5"/>
  <c r="Y203" i="5"/>
  <c r="Y190" i="5"/>
  <c r="Y104" i="5"/>
  <c r="Y221" i="5"/>
  <c r="K30" i="5"/>
  <c r="N30" i="5"/>
  <c r="K103" i="5"/>
  <c r="K56" i="5"/>
  <c r="K223" i="5"/>
  <c r="P223" i="5"/>
  <c r="K121" i="5"/>
  <c r="K157" i="5"/>
  <c r="P157" i="5"/>
  <c r="K78" i="5"/>
  <c r="O78" i="5"/>
  <c r="K28" i="5"/>
  <c r="P28" i="5"/>
  <c r="K108" i="5"/>
  <c r="N108" i="5"/>
  <c r="K118" i="5"/>
  <c r="N118" i="5"/>
  <c r="K186" i="5"/>
  <c r="K50" i="5"/>
  <c r="K202" i="5"/>
  <c r="P202" i="5"/>
  <c r="K54" i="5"/>
  <c r="O54" i="5"/>
  <c r="K145" i="5"/>
  <c r="N145" i="5"/>
  <c r="K140" i="5"/>
  <c r="O140" i="5"/>
  <c r="K31" i="5"/>
  <c r="N31" i="5"/>
  <c r="K46" i="5"/>
  <c r="N46" i="5"/>
  <c r="K172" i="5"/>
  <c r="N172" i="5"/>
  <c r="K35" i="5"/>
  <c r="N35" i="5"/>
  <c r="K194" i="5"/>
  <c r="K154" i="5"/>
  <c r="N154" i="5"/>
  <c r="K68" i="5"/>
  <c r="O68" i="5"/>
  <c r="K42" i="5"/>
  <c r="N42" i="5"/>
  <c r="K229" i="5"/>
  <c r="O229" i="5"/>
  <c r="K75" i="5"/>
  <c r="N75" i="5"/>
  <c r="K89" i="5"/>
  <c r="N89" i="5"/>
  <c r="K179" i="5"/>
  <c r="K207" i="5"/>
  <c r="K24" i="5"/>
  <c r="N24" i="5"/>
  <c r="K52" i="5"/>
  <c r="K109" i="5"/>
  <c r="P109" i="5"/>
  <c r="K175" i="5"/>
  <c r="O175" i="5"/>
  <c r="K65" i="5"/>
  <c r="N65" i="5"/>
  <c r="K94" i="5"/>
  <c r="K95" i="5"/>
  <c r="K206" i="5"/>
  <c r="N206" i="5"/>
  <c r="K85" i="5"/>
  <c r="P85" i="5"/>
  <c r="O85" i="5"/>
  <c r="K196" i="5"/>
  <c r="K96" i="5"/>
  <c r="N96" i="5"/>
  <c r="K102" i="5"/>
  <c r="K26" i="5"/>
  <c r="O26" i="5"/>
  <c r="P26" i="5"/>
  <c r="K72" i="5"/>
  <c r="N72" i="5"/>
  <c r="K183" i="5"/>
  <c r="O183" i="5"/>
  <c r="K176" i="5"/>
  <c r="K169" i="5"/>
  <c r="K132" i="5"/>
  <c r="P132" i="5"/>
  <c r="N132" i="5"/>
  <c r="K61" i="5"/>
  <c r="P61" i="5"/>
  <c r="K27" i="5"/>
  <c r="K106" i="5"/>
  <c r="K210" i="5"/>
  <c r="K116" i="5"/>
  <c r="K159" i="5"/>
  <c r="K148" i="5"/>
  <c r="O148" i="5"/>
  <c r="K171" i="5"/>
  <c r="K19" i="5"/>
  <c r="K170" i="5"/>
  <c r="K79" i="5"/>
  <c r="N79" i="5"/>
  <c r="K58" i="5"/>
  <c r="N58" i="5"/>
  <c r="K197" i="5"/>
  <c r="K36" i="5"/>
  <c r="O36" i="5"/>
  <c r="K60" i="5"/>
  <c r="K130" i="5"/>
  <c r="N130" i="5"/>
  <c r="K112" i="5"/>
  <c r="N112" i="5"/>
  <c r="K126" i="5"/>
  <c r="M126" i="5"/>
  <c r="K155" i="5"/>
  <c r="N155" i="5"/>
  <c r="K129" i="5"/>
  <c r="P129" i="5"/>
  <c r="K37" i="5"/>
  <c r="P37" i="5"/>
  <c r="K195" i="5"/>
  <c r="O195" i="5"/>
  <c r="K124" i="5"/>
  <c r="K98" i="5"/>
  <c r="K92" i="5"/>
  <c r="O92" i="5"/>
  <c r="K122" i="5"/>
  <c r="K209" i="5"/>
  <c r="N209" i="5"/>
  <c r="K187" i="5"/>
  <c r="M187" i="5"/>
  <c r="O187" i="5"/>
  <c r="K185" i="5"/>
  <c r="O185" i="5"/>
  <c r="K47" i="5"/>
  <c r="K110" i="5"/>
  <c r="N110" i="5"/>
  <c r="K113" i="5"/>
  <c r="K153" i="5"/>
  <c r="M153" i="5"/>
  <c r="K23" i="5"/>
  <c r="K127" i="5"/>
  <c r="N127" i="5"/>
  <c r="P127" i="5"/>
  <c r="K20" i="5"/>
  <c r="N20" i="5"/>
  <c r="K97" i="5"/>
  <c r="N97" i="5"/>
  <c r="K25" i="5"/>
  <c r="K193" i="5"/>
  <c r="N193" i="5"/>
  <c r="K107" i="5"/>
  <c r="P107" i="5"/>
  <c r="K184" i="5"/>
  <c r="K203" i="5"/>
  <c r="K227" i="5"/>
  <c r="M227" i="5"/>
  <c r="K138" i="5"/>
  <c r="N138" i="5"/>
  <c r="K105" i="5"/>
  <c r="K160" i="5"/>
  <c r="K93" i="5"/>
  <c r="N93" i="5"/>
  <c r="K55" i="5"/>
  <c r="K182" i="5"/>
  <c r="P182" i="5"/>
  <c r="M182" i="5"/>
  <c r="K62" i="5"/>
  <c r="O62" i="5"/>
  <c r="K162" i="5"/>
  <c r="O162" i="5"/>
  <c r="K190" i="5"/>
  <c r="P190" i="5"/>
  <c r="K212" i="5"/>
  <c r="N212" i="5"/>
  <c r="K141" i="5"/>
  <c r="K99" i="5"/>
  <c r="K166" i="5"/>
  <c r="N166" i="5"/>
  <c r="K73" i="5"/>
  <c r="K215" i="5"/>
  <c r="O215" i="5"/>
  <c r="K100" i="5"/>
  <c r="O100" i="5"/>
  <c r="K161" i="5"/>
  <c r="M161" i="5"/>
  <c r="K29" i="5"/>
  <c r="O29" i="5"/>
  <c r="K204" i="5"/>
  <c r="K214" i="5"/>
  <c r="N214" i="5"/>
  <c r="K119" i="5"/>
  <c r="K150" i="5"/>
  <c r="M150" i="5"/>
  <c r="K57" i="5"/>
  <c r="K74" i="5"/>
  <c r="N74" i="5"/>
  <c r="K221" i="5"/>
  <c r="N221" i="5"/>
  <c r="K76" i="5"/>
  <c r="K152" i="5"/>
  <c r="K211" i="5"/>
  <c r="O211" i="5"/>
  <c r="K191" i="5"/>
  <c r="N191" i="5"/>
  <c r="K83" i="5"/>
  <c r="M83" i="5"/>
  <c r="Z121" i="5"/>
  <c r="Z78" i="5"/>
  <c r="Z88" i="5"/>
  <c r="Z108" i="5"/>
  <c r="Z50" i="5"/>
  <c r="Z54" i="5"/>
  <c r="Z140" i="5"/>
  <c r="Z31" i="5"/>
  <c r="Z154" i="5"/>
  <c r="Z90" i="5"/>
  <c r="Z68" i="5"/>
  <c r="Z147" i="5"/>
  <c r="Z75" i="5"/>
  <c r="Z89" i="5"/>
  <c r="Z24" i="5"/>
  <c r="Z52" i="5"/>
  <c r="Z109" i="5"/>
  <c r="Z175" i="5"/>
  <c r="Z94" i="5"/>
  <c r="Z26" i="5"/>
  <c r="Z132" i="5"/>
  <c r="Z116" i="5"/>
  <c r="Z79" i="5"/>
  <c r="Z124" i="5"/>
  <c r="Z98" i="5"/>
  <c r="Z92" i="5"/>
  <c r="Z122" i="5"/>
  <c r="Z47" i="5"/>
  <c r="Z184" i="5"/>
  <c r="Z203" i="5"/>
  <c r="Z105" i="5"/>
  <c r="Z141" i="5"/>
  <c r="Z73" i="5"/>
  <c r="Z104" i="5"/>
  <c r="Z221" i="5"/>
  <c r="D12" i="5"/>
  <c r="D14" i="5"/>
  <c r="Q15" i="5"/>
  <c r="N223" i="5"/>
  <c r="N158" i="5"/>
  <c r="N78" i="5"/>
  <c r="N28" i="5"/>
  <c r="N186" i="5"/>
  <c r="N202" i="5"/>
  <c r="N54" i="5"/>
  <c r="N140" i="5"/>
  <c r="N194" i="5"/>
  <c r="N68" i="5"/>
  <c r="N229" i="5"/>
  <c r="N207" i="5"/>
  <c r="N52" i="5"/>
  <c r="N175" i="5"/>
  <c r="N95" i="5"/>
  <c r="N85" i="5"/>
  <c r="N26" i="5"/>
  <c r="N183" i="5"/>
  <c r="N38" i="5"/>
  <c r="N106" i="5"/>
  <c r="N148" i="5"/>
  <c r="N19" i="5"/>
  <c r="N197" i="5"/>
  <c r="N36" i="5"/>
  <c r="N37" i="5"/>
  <c r="N195" i="5"/>
  <c r="N92" i="5"/>
  <c r="N185" i="5"/>
  <c r="N47" i="5"/>
  <c r="N156" i="5"/>
  <c r="N113" i="5"/>
  <c r="N23" i="5"/>
  <c r="N149" i="5"/>
  <c r="N160" i="5"/>
  <c r="N55" i="5"/>
  <c r="N182" i="5"/>
  <c r="N80" i="5"/>
  <c r="N190" i="5"/>
  <c r="N73" i="5"/>
  <c r="N215" i="5"/>
  <c r="N100" i="5"/>
  <c r="N161" i="5"/>
  <c r="N29" i="5"/>
  <c r="N119" i="5"/>
  <c r="N150" i="5"/>
  <c r="N111" i="5"/>
  <c r="N71" i="5"/>
  <c r="N83" i="5"/>
  <c r="O30" i="5"/>
  <c r="O223" i="5"/>
  <c r="O158" i="5"/>
  <c r="O28" i="5"/>
  <c r="O108" i="5"/>
  <c r="O222" i="5"/>
  <c r="O118" i="5"/>
  <c r="O186" i="5"/>
  <c r="O202" i="5"/>
  <c r="O31" i="5"/>
  <c r="O46" i="5"/>
  <c r="O172" i="5"/>
  <c r="O39" i="5"/>
  <c r="O194" i="5"/>
  <c r="O154" i="5"/>
  <c r="O198" i="5"/>
  <c r="O42" i="5"/>
  <c r="O75" i="5"/>
  <c r="O89" i="5"/>
  <c r="O226" i="5"/>
  <c r="O207" i="5"/>
  <c r="O24" i="5"/>
  <c r="O65" i="5"/>
  <c r="O125" i="5"/>
  <c r="O95" i="5"/>
  <c r="O96" i="5"/>
  <c r="O165" i="5"/>
  <c r="O72" i="5"/>
  <c r="O132" i="5"/>
  <c r="O61" i="5"/>
  <c r="O38" i="5"/>
  <c r="O106" i="5"/>
  <c r="O91" i="5"/>
  <c r="O79" i="5"/>
  <c r="O197" i="5"/>
  <c r="O130" i="5"/>
  <c r="O112" i="5"/>
  <c r="O155" i="5"/>
  <c r="O37" i="5"/>
  <c r="O209" i="5"/>
  <c r="O47" i="5"/>
  <c r="O156" i="5"/>
  <c r="O23" i="5"/>
  <c r="O20" i="5"/>
  <c r="O97" i="5"/>
  <c r="O149" i="5"/>
  <c r="O227" i="5"/>
  <c r="O138" i="5"/>
  <c r="O160" i="5"/>
  <c r="O93" i="5"/>
  <c r="O182" i="5"/>
  <c r="O80" i="5"/>
  <c r="O190" i="5"/>
  <c r="O212" i="5"/>
  <c r="O99" i="5"/>
  <c r="O166" i="5"/>
  <c r="O161" i="5"/>
  <c r="O119" i="5"/>
  <c r="O150" i="5"/>
  <c r="O74" i="5"/>
  <c r="O111" i="5"/>
  <c r="O221" i="5"/>
  <c r="O71" i="5"/>
  <c r="O200" i="5"/>
  <c r="O83" i="5"/>
  <c r="O64" i="5"/>
  <c r="P30" i="5"/>
  <c r="P158" i="5"/>
  <c r="P78" i="5"/>
  <c r="P108" i="5"/>
  <c r="P222" i="5"/>
  <c r="P118" i="5"/>
  <c r="P186" i="5"/>
  <c r="P54" i="5"/>
  <c r="P140" i="5"/>
  <c r="P31" i="5"/>
  <c r="P46" i="5"/>
  <c r="P39" i="5"/>
  <c r="P194" i="5"/>
  <c r="P154" i="5"/>
  <c r="P68" i="5"/>
  <c r="P42" i="5"/>
  <c r="P229" i="5"/>
  <c r="P75" i="5"/>
  <c r="P89" i="5"/>
  <c r="P226" i="5"/>
  <c r="P207" i="5"/>
  <c r="P24" i="5"/>
  <c r="P175" i="5"/>
  <c r="P65" i="5"/>
  <c r="P125" i="5"/>
  <c r="P95" i="5"/>
  <c r="P167" i="5"/>
  <c r="P67" i="5"/>
  <c r="P165" i="5"/>
  <c r="P72" i="5"/>
  <c r="P183" i="5"/>
  <c r="P176" i="5"/>
  <c r="P41" i="5"/>
  <c r="P38" i="5"/>
  <c r="P106" i="5"/>
  <c r="P91" i="5"/>
  <c r="P210" i="5"/>
  <c r="P148" i="5"/>
  <c r="P19" i="5"/>
  <c r="P170" i="5"/>
  <c r="P79" i="5"/>
  <c r="P201" i="5"/>
  <c r="P197" i="5"/>
  <c r="P36" i="5"/>
  <c r="P130" i="5"/>
  <c r="P112" i="5"/>
  <c r="P126" i="5"/>
  <c r="P155" i="5"/>
  <c r="P195" i="5"/>
  <c r="P92" i="5"/>
  <c r="P122" i="5"/>
  <c r="P209" i="5"/>
  <c r="P185" i="5"/>
  <c r="P47" i="5"/>
  <c r="P113" i="5"/>
  <c r="P23" i="5"/>
  <c r="P20" i="5"/>
  <c r="P97" i="5"/>
  <c r="P87" i="5"/>
  <c r="P193" i="5"/>
  <c r="P149" i="5"/>
  <c r="P184" i="5"/>
  <c r="P139" i="5"/>
  <c r="P227" i="5"/>
  <c r="P138" i="5"/>
  <c r="P160" i="5"/>
  <c r="P45" i="5"/>
  <c r="P62" i="5"/>
  <c r="P162" i="5"/>
  <c r="P80" i="5"/>
  <c r="P212" i="5"/>
  <c r="P166" i="5"/>
  <c r="P73" i="5"/>
  <c r="P215" i="5"/>
  <c r="P100" i="5"/>
  <c r="P29" i="5"/>
  <c r="P214" i="5"/>
  <c r="P119" i="5"/>
  <c r="P150" i="5"/>
  <c r="P74" i="5"/>
  <c r="P221" i="5"/>
  <c r="P71" i="5"/>
  <c r="P211" i="5"/>
  <c r="P191" i="5"/>
  <c r="P83" i="5"/>
  <c r="H232" i="5"/>
  <c r="B232" i="5"/>
  <c r="Z230" i="5"/>
  <c r="Y230" i="5"/>
  <c r="X230" i="5"/>
  <c r="W230" i="5"/>
  <c r="P230" i="5"/>
  <c r="O230" i="5"/>
  <c r="N230" i="5"/>
  <c r="M230" i="5"/>
  <c r="M64" i="5"/>
  <c r="W22" i="5"/>
  <c r="M200" i="5"/>
  <c r="M191" i="5"/>
  <c r="M211" i="5"/>
  <c r="M71" i="5"/>
  <c r="M76" i="5"/>
  <c r="W221" i="5"/>
  <c r="M221" i="5"/>
  <c r="M111" i="5"/>
  <c r="M74" i="5"/>
  <c r="W104" i="5"/>
  <c r="W150" i="5"/>
  <c r="W119" i="5"/>
  <c r="M119" i="5"/>
  <c r="W214" i="5"/>
  <c r="M214" i="5"/>
  <c r="M29" i="5"/>
  <c r="M100" i="5"/>
  <c r="M215" i="5"/>
  <c r="W73" i="5"/>
  <c r="M166" i="5"/>
  <c r="W99" i="5"/>
  <c r="W141" i="5"/>
  <c r="M141" i="5"/>
  <c r="M212" i="5"/>
  <c r="M190" i="5"/>
  <c r="M80" i="5"/>
  <c r="M162" i="5"/>
  <c r="W49" i="5"/>
  <c r="M93" i="5"/>
  <c r="M160" i="5"/>
  <c r="W105" i="5"/>
  <c r="W138" i="5"/>
  <c r="M138" i="5"/>
  <c r="M139" i="5"/>
  <c r="W203" i="5"/>
  <c r="W184" i="5"/>
  <c r="M184" i="5"/>
  <c r="M149" i="5"/>
  <c r="M107" i="5"/>
  <c r="W193" i="5"/>
  <c r="W217" i="5"/>
  <c r="W25" i="5"/>
  <c r="M97" i="5"/>
  <c r="M20" i="5"/>
  <c r="M127" i="5"/>
  <c r="W23" i="5"/>
  <c r="M23" i="5"/>
  <c r="W113" i="5"/>
  <c r="M113" i="5"/>
  <c r="M156" i="5"/>
  <c r="W110" i="5"/>
  <c r="W47" i="5"/>
  <c r="M47" i="5"/>
  <c r="M185" i="5"/>
  <c r="M209" i="5"/>
  <c r="W122" i="5"/>
  <c r="M122" i="5"/>
  <c r="W92" i="5"/>
  <c r="M92" i="5"/>
  <c r="W98" i="5"/>
  <c r="M98" i="5"/>
  <c r="W124" i="5"/>
  <c r="M124" i="5"/>
  <c r="M195" i="5"/>
  <c r="M37" i="5"/>
  <c r="M129" i="5"/>
  <c r="W155" i="5"/>
  <c r="M155" i="5"/>
  <c r="W126" i="5"/>
  <c r="M112" i="5"/>
  <c r="W130" i="5"/>
  <c r="M130" i="5"/>
  <c r="W60" i="5"/>
  <c r="M60" i="5"/>
  <c r="W36" i="5"/>
  <c r="M197" i="5"/>
  <c r="M201" i="5"/>
  <c r="W79" i="5"/>
  <c r="M170" i="5"/>
  <c r="M19" i="5"/>
  <c r="M171" i="5"/>
  <c r="M148" i="5"/>
  <c r="W159" i="5"/>
  <c r="W116" i="5"/>
  <c r="W210" i="5"/>
  <c r="M210" i="5"/>
  <c r="M91" i="5"/>
  <c r="M106" i="5"/>
  <c r="M38" i="5"/>
  <c r="W61" i="5"/>
  <c r="M61" i="5"/>
  <c r="W132" i="5"/>
  <c r="M132" i="5"/>
  <c r="W169" i="5"/>
  <c r="M41" i="5"/>
  <c r="M176" i="5"/>
  <c r="M183" i="5"/>
  <c r="M72" i="5"/>
  <c r="W26" i="5"/>
  <c r="M26" i="5"/>
  <c r="M165" i="5"/>
  <c r="W96" i="5"/>
  <c r="M96" i="5"/>
  <c r="M196" i="5"/>
  <c r="M67" i="5"/>
  <c r="W85" i="5"/>
  <c r="M85" i="5"/>
  <c r="W206" i="5"/>
  <c r="M206" i="5"/>
  <c r="M167" i="5"/>
  <c r="M95" i="5"/>
  <c r="W94" i="5"/>
  <c r="M125" i="5"/>
  <c r="W65" i="5"/>
  <c r="M65" i="5"/>
  <c r="W175" i="5"/>
  <c r="M175" i="5"/>
  <c r="W109" i="5"/>
  <c r="M109" i="5"/>
  <c r="W52" i="5"/>
  <c r="M52" i="5"/>
  <c r="W24" i="5"/>
  <c r="M207" i="5"/>
  <c r="M226" i="5"/>
  <c r="W179" i="5"/>
  <c r="M179" i="5"/>
  <c r="W89" i="5"/>
  <c r="M89" i="5"/>
  <c r="W75" i="5"/>
  <c r="M75" i="5"/>
  <c r="W229" i="5"/>
  <c r="M229" i="5"/>
  <c r="W147" i="5"/>
  <c r="M42" i="5"/>
  <c r="M198" i="5"/>
  <c r="W68" i="5"/>
  <c r="M68" i="5"/>
  <c r="W90" i="5"/>
  <c r="W154" i="5"/>
  <c r="M154" i="5"/>
  <c r="W194" i="5"/>
  <c r="M194" i="5"/>
  <c r="W178" i="5"/>
  <c r="M39" i="5"/>
  <c r="W172" i="5"/>
  <c r="M172" i="5"/>
  <c r="W46" i="5"/>
  <c r="M46" i="5"/>
  <c r="W31" i="5"/>
  <c r="M31" i="5"/>
  <c r="W140" i="5"/>
  <c r="M140" i="5"/>
  <c r="W54" i="5"/>
  <c r="M54" i="5"/>
  <c r="W202" i="5"/>
  <c r="M202" i="5"/>
  <c r="W177" i="5"/>
  <c r="W50" i="5"/>
  <c r="M50" i="5"/>
  <c r="W186" i="5"/>
  <c r="M186" i="5"/>
  <c r="W118" i="5"/>
  <c r="M118" i="5"/>
  <c r="M222" i="5"/>
  <c r="W108" i="5"/>
  <c r="M108" i="5"/>
  <c r="W28" i="5"/>
  <c r="M28" i="5"/>
  <c r="W88" i="5"/>
  <c r="W78" i="5"/>
  <c r="M78" i="5"/>
  <c r="M157" i="5"/>
  <c r="W158" i="5"/>
  <c r="M158" i="5"/>
  <c r="W121" i="5"/>
  <c r="M121" i="5"/>
  <c r="M223" i="5"/>
  <c r="M56" i="5"/>
  <c r="W163" i="5"/>
  <c r="W103" i="5"/>
  <c r="M103" i="5"/>
  <c r="M30" i="5"/>
  <c r="AD17" i="5"/>
  <c r="AA17" i="5"/>
  <c r="AE15" i="5"/>
  <c r="AD15" i="5"/>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10" i="1"/>
  <c r="A11" i="1"/>
  <c r="A12" i="1"/>
  <c r="A13" i="1"/>
  <c r="E21" i="7"/>
  <c r="X22" i="5"/>
  <c r="X76" i="5"/>
  <c r="X150" i="5"/>
  <c r="Y150" i="5"/>
  <c r="U63" i="5"/>
  <c r="K63" i="5"/>
  <c r="P63" i="5"/>
  <c r="M63" i="5"/>
  <c r="U43" i="5"/>
  <c r="K43" i="5"/>
  <c r="U40" i="5"/>
  <c r="W40" i="5"/>
  <c r="K40" i="5"/>
  <c r="N40" i="5"/>
  <c r="N157" i="5"/>
  <c r="Y22" i="5"/>
  <c r="Z22" i="5"/>
  <c r="Z76" i="5"/>
  <c r="U64" i="5"/>
  <c r="U200" i="5"/>
  <c r="Z200" i="5"/>
  <c r="G225" i="5"/>
  <c r="I232" i="5"/>
  <c r="Q12" i="5"/>
  <c r="U71" i="5"/>
  <c r="U111" i="5"/>
  <c r="W111" i="5"/>
  <c r="U83" i="5"/>
  <c r="U162" i="5"/>
  <c r="X162" i="5"/>
  <c r="W162" i="5"/>
  <c r="G143" i="5"/>
  <c r="G101" i="5"/>
  <c r="K101" i="5"/>
  <c r="U149" i="5"/>
  <c r="U97" i="5"/>
  <c r="W97" i="5"/>
  <c r="U185" i="5"/>
  <c r="W185" i="5"/>
  <c r="U195" i="5"/>
  <c r="Z195" i="5"/>
  <c r="U197" i="5"/>
  <c r="U19" i="5"/>
  <c r="W19" i="5"/>
  <c r="U106" i="5"/>
  <c r="U176" i="5"/>
  <c r="U67" i="5"/>
  <c r="X67" i="5"/>
  <c r="U226" i="5"/>
  <c r="W226" i="5"/>
  <c r="U39" i="5"/>
  <c r="U222" i="5"/>
  <c r="U93" i="5"/>
  <c r="W93" i="5"/>
  <c r="G180" i="5"/>
  <c r="K180" i="5"/>
  <c r="G81" i="5"/>
  <c r="X108" i="5"/>
  <c r="Y108" i="5"/>
  <c r="U100" i="5"/>
  <c r="W100" i="5"/>
  <c r="U166" i="5"/>
  <c r="X166" i="5"/>
  <c r="U139" i="5"/>
  <c r="U127" i="5"/>
  <c r="U129" i="5"/>
  <c r="U148" i="5"/>
  <c r="U72" i="5"/>
  <c r="U80" i="5"/>
  <c r="U20" i="5"/>
  <c r="X20" i="5"/>
  <c r="U37" i="5"/>
  <c r="W37" i="5"/>
  <c r="U171" i="5"/>
  <c r="U183" i="5"/>
  <c r="Z183" i="5"/>
  <c r="U125" i="5"/>
  <c r="U198" i="5"/>
  <c r="U53" i="5"/>
  <c r="Z53" i="5"/>
  <c r="U51" i="5"/>
  <c r="Z51" i="5"/>
  <c r="U62" i="5"/>
  <c r="G146" i="5"/>
  <c r="U146" i="5"/>
  <c r="U30" i="5"/>
  <c r="X30" i="5"/>
  <c r="U215" i="5"/>
  <c r="U216" i="5"/>
  <c r="W216" i="5"/>
  <c r="G142" i="5"/>
  <c r="K142" i="5"/>
  <c r="U160" i="5"/>
  <c r="G151" i="5"/>
  <c r="K151" i="5"/>
  <c r="U107" i="5"/>
  <c r="Y107" i="5"/>
  <c r="U187" i="5"/>
  <c r="X187" i="5"/>
  <c r="U58" i="5"/>
  <c r="X58" i="5"/>
  <c r="U38" i="5"/>
  <c r="Y215" i="5"/>
  <c r="Z215" i="5"/>
  <c r="X149" i="5"/>
  <c r="Y149" i="5"/>
  <c r="Z149" i="5"/>
  <c r="W149" i="5"/>
  <c r="X71" i="5"/>
  <c r="Z71" i="5"/>
  <c r="W71" i="5"/>
  <c r="P40" i="5"/>
  <c r="M40" i="5"/>
  <c r="X40" i="5"/>
  <c r="Y40" i="5"/>
  <c r="Z40" i="5"/>
  <c r="N63" i="5"/>
  <c r="U151" i="5"/>
  <c r="W151" i="5"/>
  <c r="K146" i="5"/>
  <c r="Z106" i="5"/>
  <c r="W106" i="5"/>
  <c r="X97" i="5"/>
  <c r="Y97" i="5"/>
  <c r="Z97" i="5"/>
  <c r="X125" i="5"/>
  <c r="Y125" i="5"/>
  <c r="Z125" i="5"/>
  <c r="W125" i="5"/>
  <c r="Y226" i="5"/>
  <c r="Z226" i="5"/>
  <c r="X107" i="5"/>
  <c r="W107" i="5"/>
  <c r="X139" i="5"/>
  <c r="Z139" i="5"/>
  <c r="U101" i="5"/>
  <c r="X62" i="5"/>
  <c r="Y62" i="5"/>
  <c r="Z62" i="5"/>
  <c r="W62" i="5"/>
  <c r="Y100" i="5"/>
  <c r="X100" i="5"/>
  <c r="Z100" i="5"/>
  <c r="Z162" i="5"/>
  <c r="X64" i="5"/>
  <c r="Y64" i="5"/>
  <c r="Z64" i="5"/>
  <c r="W64" i="5"/>
  <c r="P43" i="5"/>
  <c r="Y30" i="5"/>
  <c r="Z30" i="5"/>
  <c r="W30" i="5"/>
  <c r="X176" i="5"/>
  <c r="Y20" i="5"/>
  <c r="W20" i="5"/>
  <c r="X93" i="5"/>
  <c r="Y93" i="5"/>
  <c r="U143" i="5"/>
  <c r="Y143" i="5"/>
  <c r="X143" i="5"/>
  <c r="K143" i="5"/>
  <c r="M143" i="5"/>
  <c r="Y80" i="5"/>
  <c r="Z80" i="5"/>
  <c r="X197" i="5"/>
  <c r="Y197" i="5"/>
  <c r="Z197" i="5"/>
  <c r="W197" i="5"/>
  <c r="Y53" i="5"/>
  <c r="Z72" i="5"/>
  <c r="X222" i="5"/>
  <c r="Z222" i="5"/>
  <c r="X195" i="5"/>
  <c r="Y195" i="5"/>
  <c r="W195" i="5"/>
  <c r="Y43" i="5"/>
  <c r="X43" i="5"/>
  <c r="Z43" i="5"/>
  <c r="W43" i="5"/>
  <c r="Z58" i="5"/>
  <c r="X129" i="5"/>
  <c r="Y129" i="5"/>
  <c r="Z129" i="5"/>
  <c r="W129" i="5"/>
  <c r="Y111" i="5"/>
  <c r="Z111" i="5"/>
  <c r="X171" i="5"/>
  <c r="U81" i="5"/>
  <c r="Z81" i="5"/>
  <c r="K81" i="5"/>
  <c r="M81" i="5"/>
  <c r="Z160" i="5"/>
  <c r="Y166" i="5"/>
  <c r="W166" i="5"/>
  <c r="X200" i="5"/>
  <c r="W200" i="5"/>
  <c r="Y216" i="5"/>
  <c r="X216" i="5"/>
  <c r="Z216" i="5"/>
  <c r="X38" i="5"/>
  <c r="Y38" i="5"/>
  <c r="Z38" i="5"/>
  <c r="W38" i="5"/>
  <c r="X198" i="5"/>
  <c r="Y198" i="5"/>
  <c r="Z198" i="5"/>
  <c r="W198" i="5"/>
  <c r="X148" i="5"/>
  <c r="Y148" i="5"/>
  <c r="Z148" i="5"/>
  <c r="W148" i="5"/>
  <c r="X39" i="5"/>
  <c r="Y39" i="5"/>
  <c r="Z39" i="5"/>
  <c r="W39" i="5"/>
  <c r="Y185" i="5"/>
  <c r="Z185" i="5"/>
  <c r="X83" i="5"/>
  <c r="Y83" i="5"/>
  <c r="W83" i="5"/>
  <c r="Z83" i="5"/>
  <c r="O143" i="5"/>
  <c r="P143" i="5"/>
  <c r="Y101" i="5"/>
  <c r="Z143" i="5"/>
  <c r="W143" i="5"/>
  <c r="O146" i="5"/>
  <c r="M146" i="5"/>
  <c r="X151" i="5"/>
  <c r="Y151" i="5"/>
  <c r="Z151" i="5"/>
  <c r="AE232" i="5"/>
  <c r="X63" i="5"/>
  <c r="W63" i="5"/>
  <c r="Y63" i="5"/>
  <c r="Z63" i="5"/>
  <c r="O81" i="5"/>
  <c r="P81" i="5"/>
  <c r="N81" i="5"/>
  <c r="W101" i="5"/>
  <c r="X101" i="5"/>
  <c r="Z101" i="5"/>
  <c r="G134" i="5"/>
  <c r="F232" i="5"/>
  <c r="U168" i="5"/>
  <c r="K168" i="5"/>
  <c r="O56" i="5"/>
  <c r="P56" i="5"/>
  <c r="N56" i="5"/>
  <c r="Y51" i="5"/>
  <c r="W80" i="5"/>
  <c r="X80" i="5"/>
  <c r="Y160" i="5"/>
  <c r="X160" i="5"/>
  <c r="W160" i="5"/>
  <c r="W53" i="5"/>
  <c r="X53" i="5"/>
  <c r="Y72" i="5"/>
  <c r="W72" i="5"/>
  <c r="X72" i="5"/>
  <c r="P146" i="5"/>
  <c r="N146" i="5"/>
  <c r="N57" i="5"/>
  <c r="M57" i="5"/>
  <c r="O57" i="5"/>
  <c r="P57" i="5"/>
  <c r="P105" i="5"/>
  <c r="O105" i="5"/>
  <c r="M105" i="5"/>
  <c r="N105" i="5"/>
  <c r="N87" i="5"/>
  <c r="O87" i="5"/>
  <c r="M87" i="5"/>
  <c r="N27" i="5"/>
  <c r="P27" i="5"/>
  <c r="M27" i="5"/>
  <c r="N66"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N187" i="5"/>
  <c r="P187" i="5"/>
  <c r="P58" i="5"/>
  <c r="N116" i="5"/>
  <c r="O116" i="5"/>
  <c r="M116" i="5"/>
  <c r="P116" i="5"/>
  <c r="U131" i="5"/>
  <c r="J232" i="5"/>
  <c r="Z107" i="5"/>
  <c r="Y37" i="5"/>
  <c r="O40" i="5"/>
  <c r="O214" i="5"/>
  <c r="N129" i="5"/>
  <c r="N171" i="5"/>
  <c r="P171" i="5"/>
  <c r="K131" i="5"/>
  <c r="N204" i="5"/>
  <c r="O204" i="5"/>
  <c r="P204" i="5"/>
  <c r="M204" i="5"/>
  <c r="N141" i="5"/>
  <c r="P141" i="5"/>
  <c r="O141" i="5"/>
  <c r="N45" i="5"/>
  <c r="O45" i="5"/>
  <c r="N184" i="5"/>
  <c r="O184" i="5"/>
  <c r="P35" i="5"/>
  <c r="O35" i="5"/>
  <c r="M35" i="5"/>
  <c r="Y200" i="5"/>
  <c r="X111" i="5"/>
  <c r="Z93" i="5"/>
  <c r="X37" i="5"/>
  <c r="Y71" i="5"/>
  <c r="O129" i="5"/>
  <c r="N121" i="5"/>
  <c r="M24" i="5"/>
  <c r="M79" i="5"/>
  <c r="M36" i="5"/>
  <c r="M193" i="5"/>
  <c r="W74" i="5"/>
  <c r="P93" i="5"/>
  <c r="P96" i="5"/>
  <c r="P172" i="5"/>
  <c r="N107" i="5"/>
  <c r="N61" i="5"/>
  <c r="K217" i="5"/>
  <c r="P217" i="5"/>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X133" i="5"/>
  <c r="K133" i="5"/>
  <c r="K104" i="5"/>
  <c r="K120" i="5"/>
  <c r="Y169" i="5"/>
  <c r="U191" i="5"/>
  <c r="G82" i="5"/>
  <c r="U211" i="5"/>
  <c r="U204" i="5"/>
  <c r="Y204" i="5"/>
  <c r="G70" i="5"/>
  <c r="U42" i="5"/>
  <c r="U209" i="5"/>
  <c r="X209" i="5"/>
  <c r="G137" i="5"/>
  <c r="K137" i="5"/>
  <c r="G181" i="5"/>
  <c r="X140" i="5"/>
  <c r="Y140" i="5"/>
  <c r="U56" i="5"/>
  <c r="X56" i="5"/>
  <c r="G86" i="5"/>
  <c r="G199" i="5"/>
  <c r="U153" i="5"/>
  <c r="U201" i="5"/>
  <c r="Z201" i="5"/>
  <c r="U102" i="5"/>
  <c r="U95" i="5"/>
  <c r="U35" i="5"/>
  <c r="K53" i="5"/>
  <c r="N53" i="5"/>
  <c r="K51" i="5"/>
  <c r="U136" i="5"/>
  <c r="K136" i="5"/>
  <c r="U161" i="5"/>
  <c r="X161" i="5"/>
  <c r="U227" i="5"/>
  <c r="U207" i="5"/>
  <c r="G218" i="5"/>
  <c r="G173" i="5"/>
  <c r="K173" i="5"/>
  <c r="U156" i="5"/>
  <c r="U170" i="5"/>
  <c r="G117" i="5"/>
  <c r="K117" i="5"/>
  <c r="G48" i="5"/>
  <c r="G232" i="5"/>
  <c r="U167" i="5"/>
  <c r="G69" i="5"/>
  <c r="G188" i="5"/>
  <c r="U29" i="5"/>
  <c r="Y29" i="5"/>
  <c r="U182" i="5"/>
  <c r="Y182" i="5"/>
  <c r="U196" i="5"/>
  <c r="U145" i="5"/>
  <c r="W145" i="5"/>
  <c r="U157" i="5"/>
  <c r="Y157" i="5"/>
  <c r="G135" i="5"/>
  <c r="U223" i="5"/>
  <c r="G21" i="5"/>
  <c r="U117" i="5"/>
  <c r="X168" i="5"/>
  <c r="W168" i="5"/>
  <c r="Z168" i="5"/>
  <c r="Y168" i="5"/>
  <c r="Y136" i="5"/>
  <c r="X136" i="5"/>
  <c r="Z136" i="5"/>
  <c r="W136" i="5"/>
  <c r="Z182" i="5"/>
  <c r="W182" i="5"/>
  <c r="X182" i="5"/>
  <c r="N51" i="5"/>
  <c r="O51" i="5"/>
  <c r="P51" i="5"/>
  <c r="M51" i="5"/>
  <c r="U70" i="5"/>
  <c r="K70" i="5"/>
  <c r="Z180" i="5"/>
  <c r="Y180" i="5"/>
  <c r="W180" i="5"/>
  <c r="X180" i="5"/>
  <c r="U134" i="5"/>
  <c r="K134" i="5"/>
  <c r="Z145" i="5"/>
  <c r="X145" i="5"/>
  <c r="Z209" i="5"/>
  <c r="W209" i="5"/>
  <c r="O33" i="5"/>
  <c r="M33" i="5"/>
  <c r="N33" i="5"/>
  <c r="P33" i="5"/>
  <c r="K199" i="5"/>
  <c r="U199" i="5"/>
  <c r="X156" i="5"/>
  <c r="Z156" i="5"/>
  <c r="W156" i="5"/>
  <c r="Y156" i="5"/>
  <c r="U86" i="5"/>
  <c r="K86" i="5"/>
  <c r="N133" i="5"/>
  <c r="O133" i="5"/>
  <c r="M133" i="5"/>
  <c r="P133" i="5"/>
  <c r="W29" i="5"/>
  <c r="P53" i="5"/>
  <c r="O53" i="5"/>
  <c r="Y56" i="5"/>
  <c r="X204" i="5"/>
  <c r="W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c r="W196" i="5"/>
  <c r="U188" i="5"/>
  <c r="K188" i="5"/>
  <c r="P188" i="5"/>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U218" i="5"/>
  <c r="Y218" i="5"/>
  <c r="K218" i="5"/>
  <c r="Y211" i="5"/>
  <c r="Z211" i="5"/>
  <c r="X211" i="5"/>
  <c r="W211" i="5"/>
  <c r="P44" i="5"/>
  <c r="M44" i="5"/>
  <c r="O44" i="5"/>
  <c r="N44" i="5"/>
  <c r="U69" i="5"/>
  <c r="K69" i="5"/>
  <c r="P69" i="5"/>
  <c r="X174" i="5"/>
  <c r="Y174" i="5"/>
  <c r="W174" i="5"/>
  <c r="Z174" i="5"/>
  <c r="X167" i="5"/>
  <c r="Z167" i="5"/>
  <c r="W167" i="5"/>
  <c r="Y102" i="5"/>
  <c r="Z102" i="5"/>
  <c r="X102" i="5"/>
  <c r="W102" i="5"/>
  <c r="Y191" i="5"/>
  <c r="X191" i="5"/>
  <c r="Z191" i="5"/>
  <c r="W191" i="5"/>
  <c r="U59" i="5"/>
  <c r="Y59" i="5"/>
  <c r="K59" i="5"/>
  <c r="N59" i="5"/>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c r="Y57" i="5"/>
  <c r="W57" i="5"/>
  <c r="Z57" i="5"/>
  <c r="X57" i="5"/>
  <c r="U135" i="5"/>
  <c r="Y135" i="5"/>
  <c r="K135" i="5"/>
  <c r="P135" i="5"/>
  <c r="X227" i="5"/>
  <c r="Z227" i="5"/>
  <c r="Y227" i="5"/>
  <c r="W227" i="5"/>
  <c r="U181" i="5"/>
  <c r="K181" i="5"/>
  <c r="Z157" i="5"/>
  <c r="X157" i="5"/>
  <c r="W157" i="5"/>
  <c r="U48" i="5"/>
  <c r="K48" i="5"/>
  <c r="O48" i="5"/>
  <c r="Y161" i="5"/>
  <c r="W161" i="5"/>
  <c r="X201" i="5"/>
  <c r="Y201" i="5"/>
  <c r="W201" i="5"/>
  <c r="U137" i="5"/>
  <c r="Y128" i="5"/>
  <c r="X128" i="5"/>
  <c r="W128" i="5"/>
  <c r="Z128" i="5"/>
  <c r="X32" i="5"/>
  <c r="W32" i="5"/>
  <c r="Y32" i="5"/>
  <c r="Z32" i="5"/>
  <c r="Z19" i="5"/>
  <c r="P66" i="5"/>
  <c r="N168" i="5"/>
  <c r="O168" i="5"/>
  <c r="M168" i="5"/>
  <c r="P168" i="5"/>
  <c r="Y199" i="5"/>
  <c r="Z199" i="5"/>
  <c r="X199" i="5"/>
  <c r="W199" i="5"/>
  <c r="O199" i="5"/>
  <c r="M199" i="5"/>
  <c r="P199" i="5"/>
  <c r="N199" i="5"/>
  <c r="O59" i="5"/>
  <c r="P218" i="5"/>
  <c r="N218" i="5"/>
  <c r="O218" i="5"/>
  <c r="M218" i="5"/>
  <c r="X59" i="5"/>
  <c r="W59" i="5"/>
  <c r="Z59" i="5"/>
  <c r="Z218" i="5"/>
  <c r="W218" i="5"/>
  <c r="N69" i="5"/>
  <c r="M69" i="5"/>
  <c r="O188" i="5"/>
  <c r="N188" i="5"/>
  <c r="P134" i="5"/>
  <c r="O134" i="5"/>
  <c r="N134" i="5"/>
  <c r="M134" i="5"/>
  <c r="N70" i="5"/>
  <c r="P70" i="5"/>
  <c r="M70" i="5"/>
  <c r="X69" i="5"/>
  <c r="Z69" i="5"/>
  <c r="Y69" i="5"/>
  <c r="W69" i="5"/>
  <c r="Z21" i="5"/>
  <c r="W21" i="5"/>
  <c r="X21" i="5"/>
  <c r="Y21" i="5"/>
  <c r="X188" i="5"/>
  <c r="Y188" i="5"/>
  <c r="Z188" i="5"/>
  <c r="W188" i="5"/>
  <c r="X134" i="5"/>
  <c r="W134" i="5"/>
  <c r="Y134" i="5"/>
  <c r="Z134" i="5"/>
  <c r="X70" i="5"/>
  <c r="W70" i="5"/>
  <c r="O86" i="5"/>
  <c r="M86" i="5"/>
  <c r="P86" i="5"/>
  <c r="N86" i="5"/>
  <c r="X137" i="5"/>
  <c r="Y137" i="5"/>
  <c r="Z137" i="5"/>
  <c r="W137" i="5"/>
  <c r="N48" i="5"/>
  <c r="P48" i="5"/>
  <c r="M48" i="5"/>
  <c r="P181" i="5"/>
  <c r="O181" i="5"/>
  <c r="M181" i="5"/>
  <c r="N181" i="5"/>
  <c r="N135" i="5"/>
  <c r="O135" i="5"/>
  <c r="W82" i="5"/>
  <c r="Z82" i="5"/>
  <c r="O21" i="5"/>
  <c r="N21" i="5"/>
  <c r="P21" i="5"/>
  <c r="P82" i="5"/>
  <c r="P137" i="5"/>
  <c r="M21" i="5"/>
  <c r="M82" i="5"/>
  <c r="X86" i="5"/>
  <c r="Y86" i="5"/>
  <c r="W86" i="5"/>
  <c r="Z86" i="5"/>
  <c r="X48" i="5"/>
  <c r="Y48" i="5"/>
  <c r="Z48" i="5"/>
  <c r="W48" i="5"/>
  <c r="Y181" i="5"/>
  <c r="Z181" i="5"/>
  <c r="X181" i="5"/>
  <c r="W181" i="5"/>
  <c r="Z135" i="5"/>
  <c r="W135" i="5"/>
  <c r="N82" i="5"/>
  <c r="O82" i="5"/>
  <c r="Y117" i="5"/>
  <c r="Z117" i="5"/>
  <c r="W117" i="5"/>
  <c r="X117" i="5"/>
  <c r="Z70" i="5"/>
  <c r="F7" i="3"/>
  <c r="G6" i="14"/>
  <c r="H6" i="14"/>
  <c r="F5" i="14"/>
  <c r="E43" i="7"/>
  <c r="I33" i="7"/>
  <c r="E7" i="3"/>
  <c r="G6" i="1"/>
  <c r="H6" i="1"/>
  <c r="D152" i="6"/>
  <c r="D154" i="6"/>
  <c r="D97" i="11"/>
  <c r="C298" i="11"/>
  <c r="C291" i="6"/>
  <c r="D92" i="6"/>
  <c r="D139" i="6"/>
  <c r="F4" i="14"/>
  <c r="F7" i="14"/>
  <c r="F4" i="1"/>
  <c r="F7" i="1"/>
  <c r="H4" i="14"/>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c r="Z212" i="5"/>
  <c r="O157" i="5"/>
  <c r="Y60" i="5"/>
  <c r="Z55" i="5"/>
  <c r="Y55" i="5"/>
  <c r="W55" i="5"/>
  <c r="X55" i="5"/>
  <c r="X206" i="5"/>
  <c r="Z206" i="5"/>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X213" i="5"/>
  <c r="W213" i="5"/>
  <c r="Z213" i="5"/>
  <c r="Z45" i="5"/>
  <c r="X45" i="5"/>
  <c r="W45" i="5"/>
  <c r="Y45" i="5"/>
  <c r="N177" i="5"/>
  <c r="O177" i="5"/>
  <c r="P177" i="5"/>
  <c r="M177" i="5"/>
  <c r="N22" i="5"/>
  <c r="M22" i="5"/>
  <c r="O22" i="5"/>
  <c r="K232" i="5"/>
  <c r="P22" i="5"/>
  <c r="Z142" i="5"/>
  <c r="X142" i="5"/>
  <c r="W142" i="5"/>
  <c r="Y142" i="5"/>
  <c r="X41" i="5"/>
  <c r="Y41" i="5"/>
  <c r="Z41" i="5"/>
  <c r="U232" i="5"/>
  <c r="W41" i="5"/>
  <c r="W14" i="5"/>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X232" i="5"/>
  <c r="AA13" i="5"/>
  <c r="Z87" i="5"/>
  <c r="X87" i="5"/>
  <c r="W87" i="5"/>
  <c r="Y87" i="5"/>
  <c r="N90" i="5"/>
  <c r="P90" i="5"/>
  <c r="O90" i="5"/>
  <c r="M90" i="5"/>
  <c r="X66" i="5"/>
  <c r="W66" i="5"/>
  <c r="N88" i="5"/>
  <c r="O88" i="5"/>
  <c r="P88" i="5"/>
  <c r="M88" i="5"/>
  <c r="Z113" i="5"/>
  <c r="D15" i="5"/>
  <c r="D16" i="5"/>
  <c r="E15" i="5"/>
  <c r="E16" i="5"/>
  <c r="M14" i="5"/>
  <c r="Z66" i="5"/>
  <c r="Z232" i="5"/>
  <c r="AA14" i="5"/>
  <c r="N232" i="5"/>
  <c r="Q13" i="5"/>
  <c r="Q14" i="5"/>
  <c r="Q16" i="5"/>
  <c r="P232" i="5"/>
  <c r="Q197" i="5"/>
  <c r="R197" i="5"/>
  <c r="S197" i="5"/>
  <c r="Q183" i="5"/>
  <c r="R183" i="5"/>
  <c r="S183" i="5"/>
  <c r="Q186" i="5"/>
  <c r="R186" i="5"/>
  <c r="S186" i="5"/>
  <c r="Q96" i="5"/>
  <c r="R96" i="5"/>
  <c r="S96" i="5"/>
  <c r="Q203" i="5"/>
  <c r="R203" i="5"/>
  <c r="S203" i="5"/>
  <c r="Q209" i="5"/>
  <c r="R209" i="5"/>
  <c r="S209" i="5"/>
  <c r="O171" i="5"/>
  <c r="Q39" i="5"/>
  <c r="R39" i="5"/>
  <c r="S39" i="5"/>
  <c r="Q55" i="5"/>
  <c r="R55" i="5"/>
  <c r="S55" i="5"/>
  <c r="Q160" i="5"/>
  <c r="R160" i="5"/>
  <c r="S160" i="5"/>
  <c r="Q45" i="5"/>
  <c r="R45" i="5"/>
  <c r="S45" i="5"/>
  <c r="Q226" i="5"/>
  <c r="R226" i="5"/>
  <c r="S226" i="5"/>
  <c r="Q227" i="5"/>
  <c r="R227" i="5"/>
  <c r="S227" i="5"/>
  <c r="Q91" i="5"/>
  <c r="R91" i="5"/>
  <c r="S91" i="5"/>
  <c r="Q155" i="5"/>
  <c r="R155" i="5"/>
  <c r="S155" i="5"/>
  <c r="Q121" i="5"/>
  <c r="R121" i="5"/>
  <c r="S121" i="5"/>
  <c r="Q132" i="5"/>
  <c r="R132" i="5"/>
  <c r="S132" i="5"/>
  <c r="Q207" i="5"/>
  <c r="R207" i="5"/>
  <c r="S207" i="5"/>
  <c r="Q159" i="5"/>
  <c r="R159" i="5"/>
  <c r="S159" i="5"/>
  <c r="Q111" i="5"/>
  <c r="R111" i="5"/>
  <c r="S111" i="5"/>
  <c r="Q56" i="5"/>
  <c r="R56" i="5"/>
  <c r="S56" i="5"/>
  <c r="Q211" i="5"/>
  <c r="R211" i="5"/>
  <c r="S211" i="5"/>
  <c r="Q190" i="5"/>
  <c r="R190" i="5"/>
  <c r="S190" i="5"/>
  <c r="Q169" i="5"/>
  <c r="R169" i="5"/>
  <c r="S169" i="5"/>
  <c r="Q112" i="5"/>
  <c r="R112" i="5"/>
  <c r="S112" i="5"/>
  <c r="Q83" i="5"/>
  <c r="R83" i="5"/>
  <c r="S83" i="5"/>
  <c r="Q148" i="5"/>
  <c r="R148" i="5"/>
  <c r="S148" i="5"/>
  <c r="Q63" i="5"/>
  <c r="R63" i="5"/>
  <c r="S63" i="5"/>
  <c r="Q106" i="5"/>
  <c r="R106" i="5"/>
  <c r="S106" i="5"/>
  <c r="Q222" i="5"/>
  <c r="R222" i="5"/>
  <c r="S222" i="5"/>
  <c r="O19" i="5"/>
  <c r="Q19" i="5"/>
  <c r="Q68" i="5"/>
  <c r="R68" i="5"/>
  <c r="S68" i="5"/>
  <c r="Q37" i="5"/>
  <c r="R37" i="5"/>
  <c r="S37" i="5"/>
  <c r="Q36" i="5"/>
  <c r="R36" i="5"/>
  <c r="S36" i="5"/>
  <c r="Q152" i="5"/>
  <c r="R152" i="5"/>
  <c r="S152" i="5"/>
  <c r="Q214" i="5"/>
  <c r="R214" i="5"/>
  <c r="S214" i="5"/>
  <c r="Q172" i="5"/>
  <c r="R172" i="5"/>
  <c r="S172" i="5"/>
  <c r="Q221" i="5"/>
  <c r="R221" i="5"/>
  <c r="S221" i="5"/>
  <c r="Q191" i="5"/>
  <c r="R191" i="5"/>
  <c r="S191" i="5"/>
  <c r="Q149" i="5"/>
  <c r="R149" i="5"/>
  <c r="S149" i="5"/>
  <c r="Q38" i="5"/>
  <c r="R38" i="5"/>
  <c r="S38" i="5"/>
  <c r="Q80" i="5"/>
  <c r="R80" i="5"/>
  <c r="S80" i="5"/>
  <c r="Q125" i="5"/>
  <c r="R125" i="5"/>
  <c r="S125" i="5"/>
  <c r="Q110" i="5"/>
  <c r="R110" i="5"/>
  <c r="S110" i="5"/>
  <c r="Q41" i="5"/>
  <c r="R41" i="5"/>
  <c r="S41" i="5"/>
  <c r="Q46" i="5"/>
  <c r="R46" i="5"/>
  <c r="S46" i="5"/>
  <c r="Q107" i="5"/>
  <c r="R107" i="5"/>
  <c r="S107" i="5"/>
  <c r="Q184" i="5"/>
  <c r="R184" i="5"/>
  <c r="S184" i="5"/>
  <c r="Q126" i="5"/>
  <c r="R126" i="5"/>
  <c r="S126" i="5"/>
  <c r="Q141" i="5"/>
  <c r="R141" i="5"/>
  <c r="S141" i="5"/>
  <c r="Q101" i="5"/>
  <c r="R101" i="5"/>
  <c r="S101" i="5"/>
  <c r="Q176" i="5"/>
  <c r="R176" i="5"/>
  <c r="S176" i="5"/>
  <c r="Q200" i="5"/>
  <c r="R200" i="5"/>
  <c r="S200" i="5"/>
  <c r="Q113" i="5"/>
  <c r="R113" i="5"/>
  <c r="S113" i="5"/>
  <c r="Q138" i="5"/>
  <c r="R138" i="5"/>
  <c r="S138" i="5"/>
  <c r="Q168" i="5"/>
  <c r="R168" i="5"/>
  <c r="S168" i="5"/>
  <c r="Q225" i="5"/>
  <c r="R225" i="5"/>
  <c r="S225" i="5"/>
  <c r="Q228" i="5"/>
  <c r="R228" i="5"/>
  <c r="S228" i="5"/>
  <c r="Q21" i="5"/>
  <c r="R21" i="5"/>
  <c r="S21" i="5"/>
  <c r="Q204" i="5"/>
  <c r="R204" i="5"/>
  <c r="S204" i="5"/>
  <c r="Q185" i="5"/>
  <c r="R185" i="5"/>
  <c r="S185" i="5"/>
  <c r="Q139" i="5"/>
  <c r="R139" i="5"/>
  <c r="S139" i="5"/>
  <c r="Q210" i="5"/>
  <c r="R210" i="5"/>
  <c r="S210" i="5"/>
  <c r="Q60" i="5"/>
  <c r="R60" i="5"/>
  <c r="S60" i="5"/>
  <c r="Q100" i="5"/>
  <c r="R100" i="5"/>
  <c r="S100" i="5"/>
  <c r="Q223" i="5"/>
  <c r="R223" i="5"/>
  <c r="S223" i="5"/>
  <c r="Q92" i="5"/>
  <c r="R92" i="5"/>
  <c r="S92" i="5"/>
  <c r="Q93" i="5"/>
  <c r="R93" i="5"/>
  <c r="S93" i="5"/>
  <c r="Q130" i="5"/>
  <c r="R130" i="5"/>
  <c r="S130" i="5"/>
  <c r="Q73" i="5"/>
  <c r="R73" i="5"/>
  <c r="S73" i="5"/>
  <c r="Q140" i="5"/>
  <c r="R140" i="5"/>
  <c r="S140" i="5"/>
  <c r="Q120" i="5"/>
  <c r="R120" i="5"/>
  <c r="S120" i="5"/>
  <c r="O27" i="5"/>
  <c r="Q173" i="5"/>
  <c r="R173" i="5"/>
  <c r="S173" i="5"/>
  <c r="Q135" i="5"/>
  <c r="R135" i="5"/>
  <c r="S135" i="5"/>
  <c r="Q124" i="5"/>
  <c r="R124" i="5"/>
  <c r="S124" i="5"/>
  <c r="Q30" i="5"/>
  <c r="R30" i="5"/>
  <c r="S30" i="5"/>
  <c r="Q102" i="5"/>
  <c r="R102" i="5"/>
  <c r="S102" i="5"/>
  <c r="Q151" i="5"/>
  <c r="R151" i="5"/>
  <c r="S151" i="5"/>
  <c r="Q74" i="5"/>
  <c r="R74" i="5"/>
  <c r="S74" i="5"/>
  <c r="Q24" i="5"/>
  <c r="R24" i="5"/>
  <c r="S24" i="5"/>
  <c r="Q145" i="5"/>
  <c r="R145" i="5"/>
  <c r="S145" i="5"/>
  <c r="Q99" i="5"/>
  <c r="R99" i="5"/>
  <c r="S99" i="5"/>
  <c r="Q158" i="5"/>
  <c r="R158" i="5"/>
  <c r="S158" i="5"/>
  <c r="Q170" i="5"/>
  <c r="R170" i="5"/>
  <c r="S170" i="5"/>
  <c r="Q95" i="5"/>
  <c r="R95" i="5"/>
  <c r="S95" i="5"/>
  <c r="Q28" i="5"/>
  <c r="R28" i="5"/>
  <c r="S28" i="5"/>
  <c r="O206" i="5"/>
  <c r="Q72" i="5"/>
  <c r="R72" i="5"/>
  <c r="S72" i="5"/>
  <c r="Q26" i="5"/>
  <c r="R26" i="5"/>
  <c r="S26" i="5"/>
  <c r="Q230" i="5"/>
  <c r="R230" i="5"/>
  <c r="S230" i="5"/>
  <c r="Q157" i="5"/>
  <c r="R157" i="5"/>
  <c r="S157" i="5"/>
  <c r="Q32" i="5"/>
  <c r="R32" i="5"/>
  <c r="S32" i="5"/>
  <c r="Q27" i="5"/>
  <c r="R27" i="5"/>
  <c r="S27" i="5"/>
  <c r="Q174" i="5"/>
  <c r="R174" i="5"/>
  <c r="S174" i="5"/>
  <c r="Q87" i="5"/>
  <c r="R87" i="5"/>
  <c r="S87" i="5"/>
  <c r="Q118" i="5"/>
  <c r="R118" i="5"/>
  <c r="S118" i="5"/>
  <c r="Q98" i="5"/>
  <c r="R98" i="5"/>
  <c r="S98" i="5"/>
  <c r="Q229" i="5"/>
  <c r="R229" i="5"/>
  <c r="S229" i="5"/>
  <c r="Q212" i="5"/>
  <c r="R212" i="5"/>
  <c r="S212" i="5"/>
  <c r="Q52" i="5"/>
  <c r="R52" i="5"/>
  <c r="S52" i="5"/>
  <c r="Q23" i="5"/>
  <c r="R23" i="5"/>
  <c r="S23" i="5"/>
  <c r="Q143" i="5"/>
  <c r="R143" i="5"/>
  <c r="S143" i="5"/>
  <c r="Q47" i="5"/>
  <c r="R47" i="5"/>
  <c r="S47" i="5"/>
  <c r="Q103" i="5"/>
  <c r="R103" i="5"/>
  <c r="S103" i="5"/>
  <c r="Q156" i="5"/>
  <c r="R156" i="5"/>
  <c r="S156" i="5"/>
  <c r="Q65" i="5"/>
  <c r="R65" i="5"/>
  <c r="S65" i="5"/>
  <c r="Q61" i="5"/>
  <c r="R61" i="5"/>
  <c r="S61" i="5"/>
  <c r="Q116" i="5"/>
  <c r="R116" i="5"/>
  <c r="S116" i="5"/>
  <c r="Q122" i="5"/>
  <c r="R122" i="5"/>
  <c r="S122" i="5"/>
  <c r="Q29" i="5"/>
  <c r="R29" i="5"/>
  <c r="S29" i="5"/>
  <c r="Q195" i="5"/>
  <c r="R195" i="5"/>
  <c r="S195" i="5"/>
  <c r="Q94" i="5"/>
  <c r="R94" i="5"/>
  <c r="S94" i="5"/>
  <c r="Q201" i="5"/>
  <c r="R201" i="5"/>
  <c r="S201" i="5"/>
  <c r="Q42" i="5"/>
  <c r="R42" i="5"/>
  <c r="S42" i="5"/>
  <c r="Q198" i="5"/>
  <c r="R198" i="5"/>
  <c r="S198" i="5"/>
  <c r="Q97" i="5"/>
  <c r="R97" i="5"/>
  <c r="S97" i="5"/>
  <c r="Q78" i="5"/>
  <c r="R78" i="5"/>
  <c r="S78" i="5"/>
  <c r="Q35" i="5"/>
  <c r="R35" i="5"/>
  <c r="S35" i="5"/>
  <c r="Q62" i="5"/>
  <c r="R62" i="5"/>
  <c r="S62" i="5"/>
  <c r="Q108" i="5"/>
  <c r="R108" i="5"/>
  <c r="S108" i="5"/>
  <c r="Q54" i="5"/>
  <c r="R54" i="5"/>
  <c r="S54" i="5"/>
  <c r="Q75" i="5"/>
  <c r="R75" i="5"/>
  <c r="S75" i="5"/>
  <c r="O127" i="5"/>
  <c r="Q119" i="5"/>
  <c r="R119" i="5"/>
  <c r="S119" i="5"/>
  <c r="Q64" i="5"/>
  <c r="R64" i="5"/>
  <c r="S64" i="5"/>
  <c r="Q105" i="5"/>
  <c r="R105" i="5"/>
  <c r="S105" i="5"/>
  <c r="Q20" i="5"/>
  <c r="R20" i="5"/>
  <c r="S20" i="5"/>
  <c r="Q187" i="5"/>
  <c r="R187" i="5"/>
  <c r="S187" i="5"/>
  <c r="Q194" i="5"/>
  <c r="R194" i="5"/>
  <c r="S194" i="5"/>
  <c r="Q150" i="5"/>
  <c r="R150" i="5"/>
  <c r="S150" i="5"/>
  <c r="Q51" i="5"/>
  <c r="R51" i="5"/>
  <c r="S51" i="5"/>
  <c r="Q128" i="5"/>
  <c r="R128" i="5"/>
  <c r="S128" i="5"/>
  <c r="Q133" i="5"/>
  <c r="R133" i="5"/>
  <c r="S133" i="5"/>
  <c r="O213" i="5"/>
  <c r="Q109" i="5"/>
  <c r="R109" i="5"/>
  <c r="S109" i="5"/>
  <c r="Q89" i="5"/>
  <c r="R89" i="5"/>
  <c r="S89" i="5"/>
  <c r="Q58" i="5"/>
  <c r="R58" i="5"/>
  <c r="S58" i="5"/>
  <c r="Q180" i="5"/>
  <c r="R180" i="5"/>
  <c r="S180" i="5"/>
  <c r="Q11" i="5"/>
  <c r="Q9" i="5"/>
  <c r="Q193" i="5"/>
  <c r="R193" i="5"/>
  <c r="S193" i="5"/>
  <c r="O113" i="5"/>
  <c r="Q57" i="5"/>
  <c r="R57" i="5"/>
  <c r="S57" i="5"/>
  <c r="Q81" i="5"/>
  <c r="R81" i="5"/>
  <c r="S81" i="5"/>
  <c r="Q213" i="5"/>
  <c r="R213" i="5"/>
  <c r="S213" i="5"/>
  <c r="Q50" i="5"/>
  <c r="R50" i="5"/>
  <c r="S50" i="5"/>
  <c r="Q154" i="5"/>
  <c r="R154" i="5"/>
  <c r="S154" i="5"/>
  <c r="Q153" i="5"/>
  <c r="R153" i="5"/>
  <c r="S153" i="5"/>
  <c r="Q53" i="5"/>
  <c r="R53" i="5"/>
  <c r="S53" i="5"/>
  <c r="Q136" i="5"/>
  <c r="R136" i="5"/>
  <c r="S136" i="5"/>
  <c r="O25" i="5"/>
  <c r="Q134" i="5"/>
  <c r="R134" i="5"/>
  <c r="S134" i="5"/>
  <c r="Q199" i="5"/>
  <c r="R199" i="5"/>
  <c r="S199" i="5"/>
  <c r="Q86" i="5"/>
  <c r="R86" i="5"/>
  <c r="S86" i="5"/>
  <c r="Q85" i="5"/>
  <c r="R85" i="5"/>
  <c r="S85" i="5"/>
  <c r="Q171" i="5"/>
  <c r="R171" i="5"/>
  <c r="S171" i="5"/>
  <c r="Q179" i="5"/>
  <c r="R179" i="5"/>
  <c r="S179" i="5"/>
  <c r="Q216" i="5"/>
  <c r="R216" i="5"/>
  <c r="S216" i="5"/>
  <c r="Q40" i="5"/>
  <c r="R40" i="5"/>
  <c r="S40" i="5"/>
  <c r="Q44" i="5"/>
  <c r="R44" i="5"/>
  <c r="S44" i="5"/>
  <c r="Q25" i="5"/>
  <c r="R25" i="5"/>
  <c r="S25" i="5"/>
  <c r="Q218" i="5"/>
  <c r="R218" i="5"/>
  <c r="S218" i="5"/>
  <c r="Q175" i="5"/>
  <c r="R175" i="5"/>
  <c r="S175" i="5"/>
  <c r="Q142" i="5"/>
  <c r="R142" i="5"/>
  <c r="S142" i="5"/>
  <c r="Q217" i="5"/>
  <c r="R217" i="5"/>
  <c r="S217" i="5"/>
  <c r="O66" i="5"/>
  <c r="Q188" i="5"/>
  <c r="R188" i="5"/>
  <c r="S188" i="5"/>
  <c r="Q137" i="5"/>
  <c r="R137" i="5"/>
  <c r="S137" i="5"/>
  <c r="Q202" i="5"/>
  <c r="R202" i="5"/>
  <c r="S202" i="5"/>
  <c r="Q79" i="5"/>
  <c r="R79" i="5"/>
  <c r="S79" i="5"/>
  <c r="Q129" i="5"/>
  <c r="R129" i="5"/>
  <c r="S129" i="5"/>
  <c r="Q43" i="5"/>
  <c r="R43" i="5"/>
  <c r="S43" i="5"/>
  <c r="Q76" i="5"/>
  <c r="R76" i="5"/>
  <c r="S76" i="5"/>
  <c r="Q182" i="5"/>
  <c r="R182" i="5"/>
  <c r="S182" i="5"/>
  <c r="Q71" i="5"/>
  <c r="R71" i="5"/>
  <c r="S71" i="5"/>
  <c r="Q146" i="5"/>
  <c r="R146" i="5"/>
  <c r="S146" i="5"/>
  <c r="Q131" i="5"/>
  <c r="R131" i="5"/>
  <c r="S131" i="5"/>
  <c r="Q127" i="5"/>
  <c r="R127" i="5"/>
  <c r="S127" i="5"/>
  <c r="Q166" i="5"/>
  <c r="R166" i="5"/>
  <c r="S166" i="5"/>
  <c r="Q162" i="5"/>
  <c r="R162" i="5"/>
  <c r="S162" i="5"/>
  <c r="Q33" i="5"/>
  <c r="R33" i="5"/>
  <c r="S33" i="5"/>
  <c r="O167" i="5"/>
  <c r="Q167" i="5"/>
  <c r="R167" i="5"/>
  <c r="S167" i="5"/>
  <c r="Q161" i="5"/>
  <c r="R161" i="5"/>
  <c r="S161" i="5"/>
  <c r="Q59" i="5"/>
  <c r="R59" i="5"/>
  <c r="S59" i="5"/>
  <c r="Q82" i="5"/>
  <c r="R82" i="5"/>
  <c r="S82" i="5"/>
  <c r="Q165" i="5"/>
  <c r="R165" i="5"/>
  <c r="S165" i="5"/>
  <c r="Q104" i="5"/>
  <c r="R104" i="5"/>
  <c r="S104" i="5"/>
  <c r="Q189" i="5"/>
  <c r="R189" i="5"/>
  <c r="S189" i="5"/>
  <c r="Q66" i="5"/>
  <c r="R66" i="5"/>
  <c r="S66" i="5"/>
  <c r="Q48" i="5"/>
  <c r="R48" i="5"/>
  <c r="S48" i="5"/>
  <c r="O67" i="5"/>
  <c r="Q67" i="5"/>
  <c r="R67" i="5"/>
  <c r="S67" i="5"/>
  <c r="Q69" i="5"/>
  <c r="R69" i="5"/>
  <c r="S69" i="5"/>
  <c r="Q31" i="5"/>
  <c r="R31" i="5"/>
  <c r="S31" i="5"/>
  <c r="O70" i="5"/>
  <c r="Q70" i="5"/>
  <c r="R70" i="5"/>
  <c r="S70" i="5"/>
  <c r="Q215" i="5"/>
  <c r="R215" i="5"/>
  <c r="S215" i="5"/>
  <c r="Q206" i="5"/>
  <c r="R206" i="5"/>
  <c r="S206" i="5"/>
  <c r="Q181" i="5"/>
  <c r="R181" i="5"/>
  <c r="S181" i="5"/>
  <c r="Q117" i="5"/>
  <c r="R117" i="5"/>
  <c r="S117" i="5"/>
  <c r="Q177" i="5"/>
  <c r="R177" i="5"/>
  <c r="S177" i="5"/>
  <c r="Q49" i="5"/>
  <c r="R49" i="5"/>
  <c r="S49" i="5"/>
  <c r="Q178" i="5"/>
  <c r="R178" i="5"/>
  <c r="S178" i="5"/>
  <c r="Q88" i="5"/>
  <c r="R88" i="5"/>
  <c r="S88" i="5"/>
  <c r="Q90" i="5"/>
  <c r="R90" i="5"/>
  <c r="S90" i="5"/>
  <c r="Q22" i="5"/>
  <c r="R22" i="5"/>
  <c r="S22" i="5"/>
  <c r="Q163" i="5"/>
  <c r="R163" i="5"/>
  <c r="S163" i="5"/>
  <c r="Q147" i="5"/>
  <c r="R147" i="5"/>
  <c r="S147" i="5"/>
  <c r="O196" i="5"/>
  <c r="Q196" i="5"/>
  <c r="R196" i="5"/>
  <c r="S196" i="5"/>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R19" i="5"/>
  <c r="Q232" i="5"/>
  <c r="L232" i="5"/>
  <c r="O232" i="5"/>
  <c r="V232" i="5"/>
  <c r="AA52" i="5"/>
  <c r="AA73" i="5"/>
  <c r="AA116" i="5"/>
  <c r="AA31" i="5"/>
  <c r="Y171" i="5"/>
  <c r="AA179" i="5"/>
  <c r="AA193" i="5"/>
  <c r="AA214" i="5"/>
  <c r="AA200" i="5"/>
  <c r="AA184" i="5"/>
  <c r="AA149" i="5"/>
  <c r="AA154" i="5"/>
  <c r="AA53" i="5"/>
  <c r="Y67" i="5"/>
  <c r="AA139" i="5"/>
  <c r="AA177" i="5"/>
  <c r="AA141" i="5"/>
  <c r="AA212" i="5"/>
  <c r="AA19"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c r="AA85" i="5"/>
  <c r="AA185" i="5"/>
  <c r="AA58" i="5"/>
  <c r="AA71" i="5"/>
  <c r="AA37" i="5"/>
  <c r="AA143" i="5"/>
  <c r="AA226" i="5"/>
  <c r="AA221" i="5"/>
  <c r="AA26" i="5"/>
  <c r="Y19" i="5"/>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c r="AA186" i="5"/>
  <c r="AA190" i="5"/>
  <c r="AA174" i="5"/>
  <c r="AA127" i="5"/>
  <c r="AA118" i="5"/>
  <c r="AA223" i="5"/>
  <c r="AA159" i="5"/>
  <c r="AA49" i="5"/>
  <c r="AA207" i="5"/>
  <c r="AA60" i="5"/>
  <c r="AA217" i="5"/>
  <c r="AA107" i="5"/>
  <c r="AA180" i="5"/>
  <c r="AA117" i="5"/>
  <c r="AA47" i="5"/>
  <c r="AA151" i="5"/>
  <c r="AA11" i="5"/>
  <c r="AA9" i="5"/>
  <c r="AA81" i="5"/>
  <c r="AA209" i="5"/>
  <c r="AA218" i="5"/>
  <c r="AA69" i="5"/>
  <c r="AA27" i="5"/>
  <c r="AA98" i="5"/>
  <c r="AA230" i="5"/>
  <c r="AB230" i="5"/>
  <c r="AA101" i="5"/>
  <c r="AA131" i="5"/>
  <c r="AA121" i="5"/>
  <c r="AA65" i="5"/>
  <c r="AA150" i="5"/>
  <c r="AA199" i="5"/>
  <c r="AA142" i="5"/>
  <c r="AA165" i="5"/>
  <c r="AA66" i="5"/>
  <c r="Y206" i="5"/>
  <c r="AA206" i="5"/>
  <c r="AA87" i="5"/>
  <c r="AA173" i="5"/>
  <c r="Y27" i="5"/>
  <c r="AA45" i="5"/>
  <c r="Y213" i="5"/>
  <c r="Y113" i="5"/>
  <c r="AA113" i="5"/>
  <c r="AA91" i="5"/>
  <c r="AA213" i="5"/>
  <c r="AA41" i="5"/>
  <c r="Y66" i="5"/>
  <c r="AD167" i="5"/>
  <c r="AB167" i="5"/>
  <c r="AC167" i="5"/>
  <c r="AD70" i="5"/>
  <c r="AB70" i="5"/>
  <c r="AC70" i="5"/>
  <c r="AD196" i="5"/>
  <c r="AB196" i="5"/>
  <c r="AC196" i="5"/>
  <c r="AD113" i="5"/>
  <c r="AB113" i="5"/>
  <c r="AC113" i="5"/>
  <c r="AB25" i="5"/>
  <c r="AC25" i="5"/>
  <c r="AD25" i="5"/>
  <c r="AD206" i="5"/>
  <c r="AB206" i="5"/>
  <c r="AC206" i="5"/>
  <c r="AD41" i="5"/>
  <c r="AB41" i="5"/>
  <c r="AC41" i="5"/>
  <c r="AD87" i="5"/>
  <c r="AB87" i="5"/>
  <c r="AC87" i="5"/>
  <c r="AD121" i="5"/>
  <c r="AB121" i="5"/>
  <c r="AC121" i="5"/>
  <c r="AB209" i="5"/>
  <c r="AC209" i="5"/>
  <c r="AD209" i="5"/>
  <c r="AB217" i="5"/>
  <c r="AC217" i="5"/>
  <c r="AD217" i="5"/>
  <c r="AD127" i="5"/>
  <c r="AB127" i="5"/>
  <c r="AC127" i="5"/>
  <c r="AD229" i="5"/>
  <c r="AB229" i="5"/>
  <c r="AC229" i="5"/>
  <c r="AB64" i="5"/>
  <c r="AC64" i="5"/>
  <c r="AD64" i="5"/>
  <c r="AB51" i="5"/>
  <c r="AC51" i="5"/>
  <c r="AD51" i="5"/>
  <c r="AD72" i="5"/>
  <c r="AB72" i="5"/>
  <c r="AC72" i="5"/>
  <c r="AB155" i="5"/>
  <c r="AC155" i="5"/>
  <c r="AD155" i="5"/>
  <c r="AB112" i="5"/>
  <c r="AC112" i="5"/>
  <c r="AD112" i="5"/>
  <c r="AD135" i="5"/>
  <c r="AB135" i="5"/>
  <c r="AC135" i="5"/>
  <c r="AD143" i="5"/>
  <c r="AB143" i="5"/>
  <c r="AC143" i="5"/>
  <c r="AB168" i="5"/>
  <c r="AC168" i="5"/>
  <c r="AD168" i="5"/>
  <c r="AD78" i="5"/>
  <c r="AB78" i="5"/>
  <c r="AC78" i="5"/>
  <c r="AD79" i="5"/>
  <c r="AB79" i="5"/>
  <c r="AC79" i="5"/>
  <c r="AB55" i="5"/>
  <c r="AC55" i="5"/>
  <c r="AD55" i="5"/>
  <c r="AD32" i="5"/>
  <c r="AB32" i="5"/>
  <c r="AC32" i="5"/>
  <c r="AD105" i="5"/>
  <c r="AB105" i="5"/>
  <c r="AC105" i="5"/>
  <c r="AD90" i="5"/>
  <c r="AB90" i="5"/>
  <c r="AC90" i="5"/>
  <c r="AB128" i="5"/>
  <c r="AC128" i="5"/>
  <c r="AD128" i="5"/>
  <c r="AD198" i="5"/>
  <c r="AB198" i="5"/>
  <c r="AC198" i="5"/>
  <c r="AB110" i="5"/>
  <c r="AC110" i="5"/>
  <c r="AD110" i="5"/>
  <c r="AD19" i="5"/>
  <c r="AB19" i="5"/>
  <c r="AA232" i="5"/>
  <c r="AB116" i="5"/>
  <c r="AC116" i="5"/>
  <c r="AD116" i="5"/>
  <c r="AB213" i="5"/>
  <c r="AC213" i="5"/>
  <c r="AD213" i="5"/>
  <c r="AD131" i="5"/>
  <c r="AB131" i="5"/>
  <c r="AC131" i="5"/>
  <c r="AD174" i="5"/>
  <c r="AB174" i="5"/>
  <c r="AC174" i="5"/>
  <c r="AB215" i="5"/>
  <c r="AC215" i="5"/>
  <c r="AD215" i="5"/>
  <c r="AD172" i="5"/>
  <c r="AB172" i="5"/>
  <c r="AC172" i="5"/>
  <c r="AD83" i="5"/>
  <c r="AB83" i="5"/>
  <c r="AC83" i="5"/>
  <c r="AB37" i="5"/>
  <c r="AC37" i="5"/>
  <c r="AD37" i="5"/>
  <c r="AB138" i="5"/>
  <c r="AC138" i="5"/>
  <c r="AD138" i="5"/>
  <c r="AB40" i="5"/>
  <c r="AC40" i="5"/>
  <c r="AD40" i="5"/>
  <c r="AB57" i="5"/>
  <c r="AC57" i="5"/>
  <c r="AD57" i="5"/>
  <c r="AD39" i="5"/>
  <c r="AB39" i="5"/>
  <c r="AC39" i="5"/>
  <c r="AD187" i="5"/>
  <c r="AB187" i="5"/>
  <c r="AC187" i="5"/>
  <c r="AD133" i="5"/>
  <c r="AB133" i="5"/>
  <c r="AC133" i="5"/>
  <c r="AD67" i="5"/>
  <c r="AB67" i="5"/>
  <c r="AC67" i="5"/>
  <c r="AD171" i="5"/>
  <c r="AB171" i="5"/>
  <c r="AC171" i="5"/>
  <c r="AD212" i="5"/>
  <c r="AB212" i="5"/>
  <c r="AC212" i="5"/>
  <c r="AB184" i="5"/>
  <c r="AC184" i="5"/>
  <c r="AD184" i="5"/>
  <c r="AD73" i="5"/>
  <c r="AB73" i="5"/>
  <c r="AC73" i="5"/>
  <c r="AD91" i="5"/>
  <c r="AB91" i="5"/>
  <c r="AC91" i="5"/>
  <c r="AB66" i="5"/>
  <c r="AC66" i="5"/>
  <c r="AD66" i="5"/>
  <c r="AD101" i="5"/>
  <c r="AB101" i="5"/>
  <c r="AC101" i="5"/>
  <c r="AB207" i="5"/>
  <c r="AC207" i="5"/>
  <c r="AD207" i="5"/>
  <c r="AD190" i="5"/>
  <c r="AB190" i="5"/>
  <c r="AC190" i="5"/>
  <c r="AB59" i="5"/>
  <c r="AC59" i="5"/>
  <c r="AD59" i="5"/>
  <c r="AB122" i="5"/>
  <c r="AC122" i="5"/>
  <c r="AD122" i="5"/>
  <c r="AB210" i="5"/>
  <c r="AC210" i="5"/>
  <c r="AD210" i="5"/>
  <c r="AB178" i="5"/>
  <c r="AC178" i="5"/>
  <c r="AD178" i="5"/>
  <c r="AD188" i="5"/>
  <c r="AB188" i="5"/>
  <c r="AC188" i="5"/>
  <c r="AB103" i="5"/>
  <c r="AC103" i="5"/>
  <c r="AD103" i="5"/>
  <c r="AD228" i="5"/>
  <c r="AB228" i="5"/>
  <c r="AC228" i="5"/>
  <c r="AD71" i="5"/>
  <c r="AB71" i="5"/>
  <c r="AC71" i="5"/>
  <c r="AB44" i="5"/>
  <c r="AC44" i="5"/>
  <c r="AD44" i="5"/>
  <c r="AD94" i="5"/>
  <c r="AB94" i="5"/>
  <c r="AC94" i="5"/>
  <c r="AD175" i="5"/>
  <c r="AB175" i="5"/>
  <c r="AC175" i="5"/>
  <c r="AD96" i="5"/>
  <c r="AB96" i="5"/>
  <c r="AC96" i="5"/>
  <c r="AD54" i="5"/>
  <c r="AB54" i="5"/>
  <c r="AC54" i="5"/>
  <c r="AB126" i="5"/>
  <c r="AC126" i="5"/>
  <c r="AD126" i="5"/>
  <c r="AD225" i="5"/>
  <c r="AB225" i="5"/>
  <c r="AC225" i="5"/>
  <c r="AD140" i="5"/>
  <c r="AB140" i="5"/>
  <c r="AC140" i="5"/>
  <c r="AB194" i="5"/>
  <c r="AC194" i="5"/>
  <c r="AD194" i="5"/>
  <c r="AB141" i="5"/>
  <c r="AC141" i="5"/>
  <c r="AD141" i="5"/>
  <c r="AB200" i="5"/>
  <c r="AC200" i="5"/>
  <c r="AD200" i="5"/>
  <c r="AB52" i="5"/>
  <c r="AC52" i="5"/>
  <c r="AD52" i="5"/>
  <c r="AD49" i="5"/>
  <c r="AB49" i="5"/>
  <c r="AC49" i="5"/>
  <c r="AB186" i="5"/>
  <c r="AC186" i="5"/>
  <c r="AD186" i="5"/>
  <c r="AB48" i="5"/>
  <c r="AC48" i="5"/>
  <c r="AD48" i="5"/>
  <c r="AB158" i="5"/>
  <c r="AC158" i="5"/>
  <c r="AD158" i="5"/>
  <c r="AB161" i="5"/>
  <c r="AC161" i="5"/>
  <c r="AD161" i="5"/>
  <c r="AD58" i="5"/>
  <c r="AB58" i="5"/>
  <c r="AC58" i="5"/>
  <c r="AD147" i="5"/>
  <c r="AB147" i="5"/>
  <c r="AC147" i="5"/>
  <c r="AB82" i="5"/>
  <c r="AC82" i="5"/>
  <c r="AD82" i="5"/>
  <c r="AD125" i="5"/>
  <c r="AB125" i="5"/>
  <c r="AC125" i="5"/>
  <c r="AB191" i="5"/>
  <c r="AC191" i="5"/>
  <c r="AD191" i="5"/>
  <c r="AD62" i="5"/>
  <c r="AB62" i="5"/>
  <c r="AC62" i="5"/>
  <c r="AD214" i="5"/>
  <c r="AB214" i="5"/>
  <c r="AC214" i="5"/>
  <c r="AD33" i="5"/>
  <c r="AB33" i="5"/>
  <c r="AC33" i="5"/>
  <c r="Y232" i="5"/>
  <c r="AB75" i="5"/>
  <c r="AC75" i="5"/>
  <c r="AD75" i="5"/>
  <c r="AB120" i="5"/>
  <c r="AC120" i="5"/>
  <c r="AD120" i="5"/>
  <c r="AB181" i="5"/>
  <c r="AC181" i="5"/>
  <c r="AD181" i="5"/>
  <c r="AB97" i="5"/>
  <c r="AC97" i="5"/>
  <c r="AD97" i="5"/>
  <c r="AD92" i="5"/>
  <c r="AB92" i="5"/>
  <c r="AC92" i="5"/>
  <c r="AD42" i="5"/>
  <c r="AB42" i="5"/>
  <c r="AC42" i="5"/>
  <c r="AB166" i="5"/>
  <c r="AC166" i="5"/>
  <c r="AD166" i="5"/>
  <c r="AB68" i="5"/>
  <c r="AC68" i="5"/>
  <c r="AD68" i="5"/>
  <c r="AB139" i="5"/>
  <c r="AC139" i="5"/>
  <c r="AD139" i="5"/>
  <c r="AB193" i="5"/>
  <c r="AC193" i="5"/>
  <c r="AD193" i="5"/>
  <c r="AB199" i="5"/>
  <c r="AC199" i="5"/>
  <c r="AD199" i="5"/>
  <c r="AB201" i="5"/>
  <c r="AC201" i="5"/>
  <c r="AD201" i="5"/>
  <c r="AD204" i="5"/>
  <c r="AB204" i="5"/>
  <c r="AC204" i="5"/>
  <c r="AD23" i="5"/>
  <c r="AB23" i="5"/>
  <c r="AC23" i="5"/>
  <c r="AB102" i="5"/>
  <c r="AC102" i="5"/>
  <c r="AD102" i="5"/>
  <c r="AB146" i="5"/>
  <c r="AC146" i="5"/>
  <c r="AD146" i="5"/>
  <c r="AD182" i="5"/>
  <c r="AB182" i="5"/>
  <c r="AC182" i="5"/>
  <c r="AD106" i="5"/>
  <c r="AB106" i="5"/>
  <c r="AC106" i="5"/>
  <c r="AD26" i="5"/>
  <c r="AB26" i="5"/>
  <c r="AC26" i="5"/>
  <c r="AD85" i="5"/>
  <c r="AB85" i="5"/>
  <c r="AC85" i="5"/>
  <c r="AB132" i="5"/>
  <c r="AC132" i="5"/>
  <c r="AD132" i="5"/>
  <c r="AD80" i="5"/>
  <c r="AB80" i="5"/>
  <c r="AC80" i="5"/>
  <c r="AB119" i="5"/>
  <c r="AC119" i="5"/>
  <c r="AD119" i="5"/>
  <c r="AD129" i="5"/>
  <c r="AB129" i="5"/>
  <c r="AC129" i="5"/>
  <c r="AB28" i="5"/>
  <c r="AC28" i="5"/>
  <c r="AD28" i="5"/>
  <c r="AB162" i="5"/>
  <c r="AC162" i="5"/>
  <c r="AD162" i="5"/>
  <c r="AB156" i="5"/>
  <c r="AC156" i="5"/>
  <c r="AD156" i="5"/>
  <c r="AD179" i="5"/>
  <c r="AB179" i="5"/>
  <c r="AC179" i="5"/>
  <c r="AD86" i="5"/>
  <c r="AB86" i="5"/>
  <c r="AC86" i="5"/>
  <c r="AD88" i="5"/>
  <c r="AB88" i="5"/>
  <c r="AC88" i="5"/>
  <c r="AD227" i="5"/>
  <c r="AB227" i="5"/>
  <c r="AC227" i="5"/>
  <c r="AD197" i="5"/>
  <c r="AB197" i="5"/>
  <c r="AC197" i="5"/>
  <c r="AB95" i="5"/>
  <c r="AC95" i="5"/>
  <c r="AD95" i="5"/>
  <c r="AB142" i="5"/>
  <c r="AC142" i="5"/>
  <c r="AD142" i="5"/>
  <c r="AD98" i="5"/>
  <c r="AB98" i="5"/>
  <c r="AC98" i="5"/>
  <c r="AD47" i="5"/>
  <c r="AB47" i="5"/>
  <c r="AC47" i="5"/>
  <c r="AD159" i="5"/>
  <c r="AB159" i="5"/>
  <c r="AC159" i="5"/>
  <c r="AD124" i="5"/>
  <c r="AB124" i="5"/>
  <c r="AC124" i="5"/>
  <c r="AD61" i="5"/>
  <c r="AB61" i="5"/>
  <c r="AC61" i="5"/>
  <c r="AB100" i="5"/>
  <c r="AC100" i="5"/>
  <c r="AD100" i="5"/>
  <c r="AB185" i="5"/>
  <c r="AC185" i="5"/>
  <c r="AD185" i="5"/>
  <c r="AB148" i="5"/>
  <c r="AC148" i="5"/>
  <c r="AD148" i="5"/>
  <c r="AB45" i="5"/>
  <c r="AC45" i="5"/>
  <c r="AD45" i="5"/>
  <c r="AD27" i="5"/>
  <c r="AB27" i="5"/>
  <c r="AC27" i="5"/>
  <c r="AB117" i="5"/>
  <c r="AC117" i="5"/>
  <c r="AD117" i="5"/>
  <c r="AB69" i="5"/>
  <c r="AC69" i="5"/>
  <c r="AD69" i="5"/>
  <c r="AD170" i="5"/>
  <c r="AB170" i="5"/>
  <c r="AC170" i="5"/>
  <c r="AD93" i="5"/>
  <c r="AB93" i="5"/>
  <c r="AC93" i="5"/>
  <c r="AB163" i="5"/>
  <c r="AC163" i="5"/>
  <c r="AD163" i="5"/>
  <c r="AD99" i="5"/>
  <c r="AB99" i="5"/>
  <c r="AC99" i="5"/>
  <c r="AD203" i="5"/>
  <c r="AB203" i="5"/>
  <c r="AC203" i="5"/>
  <c r="AD22" i="5"/>
  <c r="AB22" i="5"/>
  <c r="AC22" i="5"/>
  <c r="AB53" i="5"/>
  <c r="AC53" i="5"/>
  <c r="AD53" i="5"/>
  <c r="AD149" i="5"/>
  <c r="AB149" i="5"/>
  <c r="AC149" i="5"/>
  <c r="AB81" i="5"/>
  <c r="AC81" i="5"/>
  <c r="AD81" i="5"/>
  <c r="AB60" i="5"/>
  <c r="AC60" i="5"/>
  <c r="AD60" i="5"/>
  <c r="AB109" i="5"/>
  <c r="AC109" i="5"/>
  <c r="AD109" i="5"/>
  <c r="AD50" i="5"/>
  <c r="AB50" i="5"/>
  <c r="AC50" i="5"/>
  <c r="AD89" i="5"/>
  <c r="AB89" i="5"/>
  <c r="AC89" i="5"/>
  <c r="AD56" i="5"/>
  <c r="AB56" i="5"/>
  <c r="AC56" i="5"/>
  <c r="AD136" i="5"/>
  <c r="AB136" i="5"/>
  <c r="AC136" i="5"/>
  <c r="AD195" i="5"/>
  <c r="AB195" i="5"/>
  <c r="AC195" i="5"/>
  <c r="AB165" i="5"/>
  <c r="AC165" i="5"/>
  <c r="AD165" i="5"/>
  <c r="AD151" i="5"/>
  <c r="AB151" i="5"/>
  <c r="AC151" i="5"/>
  <c r="AD38" i="5"/>
  <c r="AB38" i="5"/>
  <c r="AC38" i="5"/>
  <c r="AD176" i="5"/>
  <c r="AB176" i="5"/>
  <c r="AC176" i="5"/>
  <c r="AB216" i="5"/>
  <c r="AC216" i="5"/>
  <c r="AD216" i="5"/>
  <c r="AD108" i="5"/>
  <c r="AB108" i="5"/>
  <c r="AC108" i="5"/>
  <c r="AD177" i="5"/>
  <c r="AB177" i="5"/>
  <c r="AC177" i="5"/>
  <c r="AD150" i="5"/>
  <c r="AB150" i="5"/>
  <c r="AC150" i="5"/>
  <c r="AB180" i="5"/>
  <c r="AC180" i="5"/>
  <c r="AD180" i="5"/>
  <c r="AB223" i="5"/>
  <c r="AC223" i="5"/>
  <c r="AD223" i="5"/>
  <c r="AD63" i="5"/>
  <c r="AB63" i="5"/>
  <c r="AC63" i="5"/>
  <c r="AB130" i="5"/>
  <c r="AC130" i="5"/>
  <c r="AD130" i="5"/>
  <c r="AD29" i="5"/>
  <c r="AB29" i="5"/>
  <c r="AC29" i="5"/>
  <c r="AB157" i="5"/>
  <c r="AC157" i="5"/>
  <c r="AD157" i="5"/>
  <c r="AB202" i="5"/>
  <c r="AC202" i="5"/>
  <c r="AD202" i="5"/>
  <c r="AD221" i="5"/>
  <c r="AB221" i="5"/>
  <c r="AC221" i="5"/>
  <c r="AB76" i="5"/>
  <c r="AC76" i="5"/>
  <c r="AD76" i="5"/>
  <c r="AB35" i="5"/>
  <c r="AC35" i="5"/>
  <c r="AD35" i="5"/>
  <c r="AB43" i="5"/>
  <c r="AC43" i="5"/>
  <c r="AD43" i="5"/>
  <c r="AB137" i="5"/>
  <c r="AC137" i="5"/>
  <c r="AD137" i="5"/>
  <c r="AB189" i="5"/>
  <c r="AC189" i="5"/>
  <c r="AD189" i="5"/>
  <c r="AB173" i="5"/>
  <c r="AC173" i="5"/>
  <c r="AD173" i="5"/>
  <c r="AB65" i="5"/>
  <c r="AC65" i="5"/>
  <c r="AD65" i="5"/>
  <c r="AB218" i="5"/>
  <c r="AC218" i="5"/>
  <c r="AD218" i="5"/>
  <c r="AD107" i="5"/>
  <c r="AB107" i="5"/>
  <c r="AC107" i="5"/>
  <c r="AD118" i="5"/>
  <c r="AB118" i="5"/>
  <c r="AC118" i="5"/>
  <c r="AB20" i="5"/>
  <c r="AC20" i="5"/>
  <c r="AD20" i="5"/>
  <c r="AD111" i="5"/>
  <c r="AB111" i="5"/>
  <c r="AC111" i="5"/>
  <c r="AD169" i="5"/>
  <c r="AB169" i="5"/>
  <c r="AC169" i="5"/>
  <c r="AD145" i="5"/>
  <c r="AB145" i="5"/>
  <c r="AC145" i="5"/>
  <c r="AD183" i="5"/>
  <c r="AB183" i="5"/>
  <c r="AC183" i="5"/>
  <c r="AD74" i="5"/>
  <c r="AB74" i="5"/>
  <c r="AC74" i="5"/>
  <c r="AD104" i="5"/>
  <c r="AB104" i="5"/>
  <c r="AC104" i="5"/>
  <c r="AD226" i="5"/>
  <c r="AB226" i="5"/>
  <c r="AC226" i="5"/>
  <c r="AB21" i="5"/>
  <c r="AC21" i="5"/>
  <c r="AD21" i="5"/>
  <c r="AB24" i="5"/>
  <c r="AC24" i="5"/>
  <c r="AD24" i="5"/>
  <c r="AB30" i="5"/>
  <c r="AC30" i="5"/>
  <c r="AD30" i="5"/>
  <c r="AD222" i="5"/>
  <c r="AB222" i="5"/>
  <c r="AC222" i="5"/>
  <c r="AD211" i="5"/>
  <c r="AB211" i="5"/>
  <c r="AC211" i="5"/>
  <c r="AB152" i="5"/>
  <c r="AC152" i="5"/>
  <c r="AD152" i="5"/>
  <c r="AD36" i="5"/>
  <c r="AB36" i="5"/>
  <c r="AC36" i="5"/>
  <c r="AB134" i="5"/>
  <c r="AC134" i="5"/>
  <c r="AD134" i="5"/>
  <c r="AB160" i="5"/>
  <c r="AC160" i="5"/>
  <c r="AD160" i="5"/>
  <c r="AB46" i="5"/>
  <c r="AC46" i="5"/>
  <c r="AD46" i="5"/>
  <c r="AD153" i="5"/>
  <c r="AB153" i="5"/>
  <c r="AC153" i="5"/>
  <c r="AD154" i="5"/>
  <c r="AB154" i="5"/>
  <c r="AC154" i="5"/>
  <c r="AB31" i="5"/>
  <c r="AC31" i="5"/>
  <c r="AD31" i="5"/>
  <c r="R232" i="5"/>
  <c r="S19" i="5"/>
  <c r="AC19" i="5"/>
  <c r="AB232" i="5"/>
  <c r="AD232" i="5"/>
  <c r="AD16" i="5"/>
</calcChain>
</file>

<file path=xl/sharedStrings.xml><?xml version="1.0" encoding="utf-8"?>
<sst xmlns="http://schemas.openxmlformats.org/spreadsheetml/2006/main" count="1450" uniqueCount="507">
  <si>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</si>
  <si>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</si>
  <si>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</si>
  <si>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</si>
  <si>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</si>
  <si>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</si>
  <si>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</si>
  <si>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</si>
  <si>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</si>
  <si>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</si>
  <si>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</si>
  <si>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</si>
  <si>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</si>
  <si>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</si>
  <si>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</si>
  <si>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</si>
  <si>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</si>
  <si>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</si>
  <si>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</si>
  <si>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</si>
  <si>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</si>
  <si>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</si>
  <si>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</si>
  <si>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</si>
  <si>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</si>
  <si>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</si>
  <si>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</si>
  <si>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</si>
  <si>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</si>
  <si>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</si>
  <si>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</si>
  <si>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</si>
  <si>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</si>
  <si>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</si>
  <si>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</si>
  <si>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</si>
  <si>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</si>
  <si>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</si>
  <si>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</si>
  <si>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</si>
  <si>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</si>
  <si>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</si>
  <si>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</si>
  <si>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</si>
  <si>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</si>
  <si>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</si>
  <si>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</si>
  <si>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</si>
  <si>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</si>
  <si>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</si>
  <si>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</si>
  <si>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</si>
  <si>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</si>
  <si>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</si>
  <si>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</si>
  <si>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</si>
  <si>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</si>
  <si>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</si>
  <si>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</si>
  <si>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</si>
  <si>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</si>
  <si>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</si>
  <si>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</si>
  <si>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</si>
  <si>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</si>
  <si>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</si>
  <si>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</si>
  <si>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</si>
  <si>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</si>
  <si>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</si>
  <si>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</si>
  <si>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</si>
  <si>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</si>
  <si>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</si>
  <si>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</si>
  <si>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</si>
  <si>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</si>
  <si>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</si>
  <si>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</si>
  <si>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</si>
  <si>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</si>
  <si>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</si>
  <si>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</si>
  <si>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</si>
  <si>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</si>
  <si>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</si>
  <si>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</si>
  <si>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</si>
  <si>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</si>
  <si>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</si>
  <si>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</si>
  <si>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</si>
  <si>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</si>
  <si>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</si>
  <si>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</si>
  <si>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</si>
  <si>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</si>
  <si>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</si>
  <si>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</si>
  <si>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</si>
  <si>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</si>
  <si>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</si>
  <si>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</si>
  <si>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</si>
  <si>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</si>
  <si>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</si>
  <si>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</si>
  <si>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</si>
  <si>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</si>
  <si>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</si>
  <si>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</si>
  <si>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</si>
  <si>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</si>
  <si>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</si>
  <si>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</si>
  <si>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</si>
  <si>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</si>
  <si>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</si>
  <si>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</si>
  <si>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</si>
  <si>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</si>
  <si>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</si>
  <si>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</si>
  <si>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</si>
  <si>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</si>
  <si>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</si>
  <si>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</si>
  <si>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</si>
  <si>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</si>
  <si>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</si>
  <si>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</si>
  <si>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</si>
  <si>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</si>
  <si>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</si>
  <si>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</si>
  <si>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</si>
  <si>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</si>
  <si>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</si>
  <si>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</si>
  <si>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</si>
  <si>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</si>
  <si>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</si>
  <si>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</si>
  <si>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</si>
  <si>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</si>
  <si>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</si>
  <si>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</si>
  <si>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</si>
  <si>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</si>
  <si>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</si>
  <si>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</si>
  <si>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</si>
  <si>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</si>
  <si>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</si>
  <si>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</si>
  <si>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</si>
  <si>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</si>
  <si>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</si>
  <si>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</si>
  <si>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</si>
  <si>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</si>
  <si>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</si>
  <si>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</si>
  <si>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</si>
  <si>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</si>
  <si>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</si>
  <si>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</si>
  <si>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</si>
  <si>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</si>
  <si>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</si>
  <si>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</si>
  <si>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</si>
  <si>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</si>
  <si>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</si>
  <si>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</si>
  <si>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</si>
  <si>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</si>
  <si>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</si>
  <si>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</si>
  <si>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</si>
  <si>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</si>
  <si>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</si>
  <si>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</si>
  <si>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</si>
  <si>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</si>
  <si>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</si>
  <si>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</si>
  <si>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</si>
  <si>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</si>
  <si>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</si>
  <si>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</si>
  <si>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</si>
  <si>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</si>
  <si>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</si>
  <si>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</si>
  <si>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</si>
  <si>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</si>
  <si>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</si>
  <si>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</si>
  <si>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</si>
  <si>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</si>
  <si>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</si>
  <si>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</si>
  <si>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</si>
  <si>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</si>
  <si>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</si>
  <si>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</si>
  <si>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</si>
  <si>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</si>
  <si>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</si>
  <si>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</si>
  <si>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</si>
  <si>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</si>
  <si>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</si>
  <si>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</si>
  <si>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</si>
  <si>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</si>
  <si>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</si>
  <si>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</si>
  <si>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</si>
  <si>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</si>
  <si>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</si>
  <si>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</si>
  <si>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</si>
  <si>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</si>
  <si>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</si>
  <si>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</si>
  <si>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</si>
  <si>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</si>
  <si>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</si>
  <si>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</si>
  <si>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</si>
  <si>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</si>
  <si>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</si>
  <si>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</si>
  <si>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</si>
  <si>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</si>
  <si>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</si>
  <si>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</si>
  <si>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</si>
  <si>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</si>
  <si>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</si>
  <si>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</si>
  <si>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</si>
  <si>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</si>
  <si>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</si>
  <si>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</si>
  <si>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</si>
  <si>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</si>
  <si>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</si>
  <si>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</si>
  <si>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</si>
  <si>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</si>
  <si>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</si>
  <si>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</si>
  <si>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</si>
  <si>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</si>
  <si>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</si>
  <si>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</si>
  <si>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</si>
  <si>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</si>
  <si>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</si>
  <si>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</si>
  <si>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</si>
  <si>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</si>
  <si>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</si>
  <si>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</si>
  <si>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</si>
  <si>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</si>
  <si>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</si>
  <si>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</si>
  <si>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</si>
  <si>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</si>
  <si>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</si>
  <si>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</si>
  <si>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</si>
  <si>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</si>
  <si>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</si>
  <si>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</si>
  <si>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</si>
  <si>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</si>
  <si>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</si>
  <si>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</si>
  <si>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</si>
  <si>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</si>
  <si>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</si>
  <si>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</si>
  <si>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</si>
  <si>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</si>
  <si>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</si>
  <si>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</si>
  <si>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</si>
  <si>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</si>
  <si>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</si>
  <si>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</si>
  <si>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</si>
  <si>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</si>
  <si>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</si>
  <si>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</si>
  <si>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</si>
  <si>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</si>
  <si>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</si>
  <si>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</si>
  <si>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</si>
  <si>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</si>
  <si>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</si>
  <si>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</si>
  <si>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</si>
  <si>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</si>
  <si>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</si>
  <si>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</si>
  <si>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</si>
  <si>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</si>
  <si>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</si>
  <si>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</si>
  <si>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</si>
  <si>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</si>
  <si>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</si>
  <si>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</si>
  <si>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</si>
  <si>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</si>
  <si>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</si>
  <si>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</si>
  <si>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</si>
  <si>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</si>
  <si>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</si>
  <si>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</si>
  <si>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</si>
  <si>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</si>
  <si>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</si>
  <si>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</si>
  <si>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</si>
  <si>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</si>
  <si>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</si>
  <si>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</si>
  <si>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</si>
  <si>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</si>
  <si>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</si>
  <si>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</si>
  <si>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</si>
  <si>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</si>
  <si>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</si>
  <si>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</si>
  <si>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</si>
  <si>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</si>
  <si>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</si>
  <si>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</si>
  <si>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</si>
  <si>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</si>
  <si>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</si>
  <si>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</si>
  <si>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</si>
  <si>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</si>
  <si>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</si>
  <si>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</si>
  <si>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</si>
  <si>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</si>
  <si>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</si>
  <si>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</si>
  <si>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</si>
  <si>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</si>
  <si>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</si>
  <si>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</si>
  <si>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</si>
  <si>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</si>
  <si>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</si>
  <si>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</si>
  <si>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</si>
  <si>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</si>
  <si>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</si>
  <si>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</si>
  <si>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</si>
  <si>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</si>
  <si>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</si>
  <si>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</si>
  <si>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</si>
  <si>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</si>
  <si>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</si>
  <si>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</si>
  <si>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</si>
  <si>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</si>
  <si>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</si>
  <si>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</si>
  <si>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</si>
  <si>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</si>
  <si>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</si>
  <si>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</si>
  <si>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</si>
  <si>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</si>
  <si>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</si>
  <si>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</si>
  <si>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</si>
  <si>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</si>
  <si>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</si>
  <si>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</si>
  <si>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</si>
  <si>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</si>
  <si>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</si>
  <si>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</si>
  <si>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</si>
  <si>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</si>
  <si>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</si>
  <si>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</si>
  <si>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</si>
  <si>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</si>
  <si>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</si>
  <si>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</si>
  <si>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</si>
  <si>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</si>
  <si>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</si>
  <si>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</si>
  <si>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</si>
  <si>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</si>
  <si>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</si>
  <si>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</si>
  <si>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</si>
  <si>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</si>
  <si>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</si>
  <si>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</si>
  <si>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</si>
  <si>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</si>
  <si>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</si>
  <si>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</si>
  <si>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</si>
  <si>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</si>
  <si>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</si>
  <si>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</si>
  <si>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</si>
  <si>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</si>
  <si>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</si>
  <si>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</si>
  <si>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</si>
  <si>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</si>
  <si>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</si>
  <si>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</si>
  <si>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</si>
  <si>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</si>
  <si>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</si>
  <si>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</si>
  <si>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</si>
  <si>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</si>
  <si>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</si>
  <si>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</si>
  <si>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</si>
  <si>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</si>
  <si>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</si>
  <si>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</si>
  <si>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</si>
  <si>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</si>
  <si>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</si>
  <si>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</si>
  <si>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</si>
  <si>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</si>
  <si>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</si>
  <si>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</si>
  <si>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</si>
  <si>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</si>
  <si>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</si>
  <si>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</si>
  <si>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</si>
  <si>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</si>
  <si>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</si>
  <si>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</si>
  <si>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</si>
  <si>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</si>
  <si>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</si>
  <si>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</si>
  <si>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</si>
  <si>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</si>
  <si>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</si>
  <si>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</si>
  <si>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</si>
  <si>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</si>
  <si>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</si>
  <si>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</si>
  <si>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</si>
  <si>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</si>
  <si>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</si>
  <si>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</si>
  <si>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</si>
  <si>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</si>
  <si>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</si>
  <si>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Lighthouse Charter School</t>
  </si>
  <si>
    <t>Reedsport Community Charter</t>
  </si>
  <si>
    <t>Armadillo Technical Institute</t>
  </si>
  <si>
    <t>EagleRidge High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</si>
  <si>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</si>
  <si>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</si>
  <si>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</si>
  <si>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</si>
  <si>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</si>
  <si>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</si>
  <si>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</si>
  <si>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</si>
  <si>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</si>
  <si>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</si>
  <si>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</si>
  <si>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</si>
  <si>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</si>
  <si>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</si>
  <si>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</si>
  <si>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Supporting Quality Implementation Guidance</t>
  </si>
  <si>
    <t>Charter Calculation</t>
  </si>
  <si>
    <t>Lebanon Community SD 9 (Sand Ridge Charter School)</t>
  </si>
  <si>
    <t>Molalla River SD (Renaissance Public Academy)</t>
  </si>
  <si>
    <t>Salem-Keizer SD (Valley Inquiry Charter School)</t>
  </si>
  <si>
    <t>Eugene SD (Network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</si>
</sst>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3">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0" fontId="4" fillId="0" borderId="0" xfId="36"/>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1">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342900</xdr:rowOff>
    </xdr:to>
    <xdr:sp macro="" textlink="">
      <xdr:nvSpPr>
        <xdr:cNvPr id="8" name="TextBox 7"/>
        <xdr:cNvSpPr txBox="1"/>
      </xdr:nvSpPr>
      <xdr:spPr>
        <a:xfrm>
          <a:off x="10807700" y="1250950"/>
          <a:ext cx="331152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ode/StudentSuccess/Documents/SIAsupportingqualityimplementation.pdf" TargetMode="External"/><Relationship Id="rId1" Type="http://schemas.openxmlformats.org/officeDocument/2006/relationships/hyperlink" Target="https://www.oregon.gov/ode/StudentSuccess/Documents/SIAsupportingqualityimplementatio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abSelected="1" topLeftCell="B1" zoomScale="112" zoomScaleNormal="112" workbookViewId="0">
      <selection activeCell="F2" sqref="F2"/>
    </sheetView>
  </sheetViews>
  <sheetFormatPr defaultColWidth="10.625" defaultRowHeight="15.75" x14ac:dyDescent="0.25"/>
  <cols>
    <col min="1" max="1" width="5.875" customWidth="1"/>
    <col min="3" max="3" width="20.125" customWidth="1"/>
    <col min="4" max="4" width="18.125" customWidth="1"/>
    <col min="5" max="5" width="38.625" customWidth="1"/>
    <col min="6" max="6" width="43.375" customWidth="1"/>
    <col min="9" max="9" width="19.125" customWidth="1"/>
  </cols>
  <sheetData>
    <row r="1" spans="1:14" ht="16.5" thickBot="1" x14ac:dyDescent="0.3">
      <c r="A1" s="10"/>
      <c r="B1" s="10"/>
      <c r="C1" s="10"/>
      <c r="D1" s="10"/>
      <c r="E1" s="10"/>
      <c r="F1" s="10"/>
      <c r="G1" s="10"/>
      <c r="H1" s="10"/>
      <c r="I1" s="10"/>
      <c r="J1" s="10"/>
      <c r="K1" s="10"/>
      <c r="L1" s="10"/>
      <c r="M1" s="10"/>
      <c r="N1" s="10"/>
    </row>
    <row r="2" spans="1:14" ht="29.1" customHeight="1" thickBot="1" x14ac:dyDescent="0.3">
      <c r="A2" s="10"/>
      <c r="B2" s="20"/>
      <c r="C2" s="21"/>
      <c r="D2" s="21"/>
      <c r="E2" s="20" t="s">
        <v>231</v>
      </c>
      <c r="F2" s="19" t="s">
        <v>409</v>
      </c>
      <c r="G2" s="10"/>
      <c r="H2" s="10"/>
      <c r="I2" s="10"/>
      <c r="J2" s="10"/>
      <c r="K2" s="10"/>
      <c r="L2" s="10"/>
      <c r="M2" s="10"/>
      <c r="N2" s="10"/>
    </row>
    <row r="3" spans="1:14" ht="5.0999999999999996" customHeight="1" x14ac:dyDescent="0.25">
      <c r="A3" s="10"/>
      <c r="B3" s="176"/>
      <c r="C3" s="176"/>
      <c r="D3" s="176"/>
      <c r="E3" s="176"/>
      <c r="F3" s="177"/>
      <c r="G3" s="10"/>
      <c r="H3" s="10"/>
      <c r="I3" s="10"/>
      <c r="J3" s="10"/>
      <c r="K3" s="10"/>
      <c r="L3" s="10"/>
      <c r="M3" s="10"/>
      <c r="N3" s="10"/>
    </row>
    <row r="4" spans="1:14" ht="29.1" customHeight="1" x14ac:dyDescent="0.25">
      <c r="A4" s="10"/>
      <c r="C4" s="176"/>
      <c r="D4" s="176" t="s">
        <v>381</v>
      </c>
      <c r="E4" s="178" t="s">
        <v>380</v>
      </c>
      <c r="F4" s="182" t="s">
        <v>379</v>
      </c>
      <c r="G4" s="10"/>
      <c r="H4" s="10"/>
      <c r="I4" s="10"/>
      <c r="J4" s="10"/>
      <c r="K4" s="10"/>
      <c r="L4" s="10"/>
      <c r="M4" s="10"/>
      <c r="N4" s="10"/>
    </row>
    <row r="5" spans="1:14" ht="5.0999999999999996" customHeight="1" thickBot="1" x14ac:dyDescent="0.4">
      <c r="A5" s="10"/>
      <c r="B5" s="12"/>
      <c r="C5" s="12"/>
      <c r="D5" s="12"/>
      <c r="E5" s="12"/>
      <c r="F5" s="10"/>
      <c r="G5" s="10"/>
      <c r="H5" s="10"/>
      <c r="I5" s="10"/>
      <c r="J5" s="10"/>
      <c r="K5" s="10"/>
      <c r="L5" s="10"/>
      <c r="M5" s="10"/>
      <c r="N5" s="10"/>
    </row>
    <row r="6" spans="1:14" ht="29.1" customHeight="1" x14ac:dyDescent="0.35">
      <c r="A6" s="10"/>
      <c r="B6" s="170" t="s">
        <v>383</v>
      </c>
      <c r="C6" s="154"/>
      <c r="D6" s="174"/>
      <c r="E6" s="179" t="str">
        <f>VLOOKUP(F2,Y1Wrksht!B1:G289,2,0)</f>
        <v>Total Allocation</v>
      </c>
      <c r="F6" s="183" t="str">
        <f>VLOOKUP(F2,Y2Wrksht!B1:H289,2,0)</f>
        <v>Total Allocation</v>
      </c>
      <c r="G6" s="10"/>
      <c r="H6" s="10"/>
      <c r="I6" s="10"/>
      <c r="J6" s="10"/>
      <c r="K6" s="10"/>
      <c r="L6" s="10"/>
      <c r="M6" s="10"/>
      <c r="N6" s="10"/>
    </row>
    <row r="7" spans="1:14" ht="29.1" customHeight="1" x14ac:dyDescent="0.35">
      <c r="A7" s="10"/>
      <c r="B7" s="171" t="s">
        <v>343</v>
      </c>
      <c r="C7" s="157"/>
      <c r="D7" s="173"/>
      <c r="E7" s="180" t="str">
        <f>VLOOKUP(F2,Y1Wrksht!B1:G289,4,0)</f>
        <v>Maximum Administrative Costs</v>
      </c>
      <c r="F7" s="184" t="str">
        <f>VLOOKUP(F2,Y2Wrksht!B1:H289,4,0)</f>
        <v>Maximum Administrative Costs</v>
      </c>
      <c r="G7" s="10"/>
      <c r="H7" s="10"/>
      <c r="I7" s="10"/>
      <c r="J7" s="10"/>
      <c r="K7" s="10"/>
      <c r="L7" s="10"/>
      <c r="M7" s="10"/>
      <c r="N7" s="10"/>
    </row>
    <row r="8" spans="1:14" ht="5.0999999999999996" customHeight="1" x14ac:dyDescent="0.35">
      <c r="A8" s="10"/>
      <c r="B8" s="171"/>
      <c r="C8" s="157"/>
      <c r="D8" s="173"/>
      <c r="E8" s="180"/>
      <c r="F8" s="184"/>
      <c r="G8" s="10"/>
      <c r="H8" s="10"/>
      <c r="I8" s="10"/>
      <c r="J8" s="10"/>
      <c r="K8" s="10"/>
      <c r="L8" s="10"/>
      <c r="M8" s="10"/>
      <c r="N8" s="10"/>
    </row>
    <row r="9" spans="1:14" ht="29.1" customHeight="1" thickBot="1" x14ac:dyDescent="0.4">
      <c r="A9" s="10"/>
      <c r="B9" s="172" t="s">
        <v>378</v>
      </c>
      <c r="C9" s="161"/>
      <c r="D9" s="175"/>
      <c r="E9" s="181" t="str">
        <f>VLOOKUP(F2,Y1Wrksht!B1:G289,6,0)</f>
        <v>Charter calculation</v>
      </c>
      <c r="F9" s="185" t="str">
        <f>VLOOKUP(F2,Y2Wrksht!B1:H289,6,0)</f>
        <v>Charter Calculation</v>
      </c>
      <c r="G9" s="10"/>
      <c r="H9" s="10"/>
      <c r="I9" s="10"/>
      <c r="J9" s="10"/>
      <c r="K9" s="10"/>
      <c r="L9" s="10"/>
      <c r="M9" s="10"/>
      <c r="N9" s="10"/>
    </row>
    <row r="10" spans="1:14" ht="29.1" customHeight="1" thickBot="1" x14ac:dyDescent="0.4">
      <c r="A10" s="10"/>
      <c r="B10" s="12"/>
      <c r="C10" s="12"/>
      <c r="D10" s="12"/>
      <c r="E10" s="12"/>
      <c r="F10" s="10"/>
      <c r="G10" s="10"/>
      <c r="H10" s="10"/>
      <c r="I10" s="10"/>
      <c r="J10" s="10"/>
      <c r="K10" s="10"/>
      <c r="L10" s="10"/>
      <c r="M10" s="10"/>
      <c r="N10" s="10"/>
    </row>
    <row r="11" spans="1:14" ht="24.95" customHeight="1" thickBot="1" x14ac:dyDescent="0.4">
      <c r="A11" s="10"/>
      <c r="B11" s="224" t="s">
        <v>230</v>
      </c>
      <c r="C11" s="225"/>
      <c r="D11" s="225"/>
      <c r="E11" s="225"/>
      <c r="F11" s="226"/>
      <c r="G11" s="10"/>
      <c r="H11" s="10"/>
      <c r="I11" s="10"/>
      <c r="J11" s="10"/>
      <c r="K11" s="10"/>
      <c r="L11" s="10"/>
      <c r="M11" s="10"/>
      <c r="N11" s="10"/>
    </row>
    <row r="12" spans="1:14" ht="29.1" customHeight="1" x14ac:dyDescent="0.35">
      <c r="A12" s="10"/>
      <c r="B12" s="22" t="s">
        <v>29</v>
      </c>
      <c r="C12" s="229"/>
      <c r="D12" s="229"/>
      <c r="E12" s="229"/>
      <c r="F12" s="230"/>
      <c r="G12" s="10"/>
      <c r="H12" s="10"/>
      <c r="I12" s="10"/>
      <c r="J12" s="10"/>
      <c r="K12" s="10"/>
      <c r="L12" s="10"/>
      <c r="M12" s="10"/>
      <c r="N12" s="10"/>
    </row>
    <row r="13" spans="1:14" ht="29.1" customHeight="1" x14ac:dyDescent="0.35">
      <c r="A13" s="10"/>
      <c r="B13" s="23" t="s">
        <v>30</v>
      </c>
      <c r="C13" s="227"/>
      <c r="D13" s="227"/>
      <c r="E13" s="227"/>
      <c r="F13" s="228"/>
      <c r="G13" s="10"/>
      <c r="H13" s="10"/>
      <c r="I13" s="10"/>
      <c r="J13" s="10"/>
      <c r="K13" s="10"/>
      <c r="L13" s="10"/>
      <c r="M13" s="10"/>
      <c r="N13" s="10"/>
    </row>
    <row r="14" spans="1:14" ht="29.1" customHeight="1" thickBot="1" x14ac:dyDescent="0.4">
      <c r="A14" s="10"/>
      <c r="B14" s="24" t="s">
        <v>31</v>
      </c>
      <c r="C14" s="231"/>
      <c r="D14" s="231"/>
      <c r="E14" s="231"/>
      <c r="F14" s="232"/>
      <c r="G14" s="10"/>
      <c r="H14" s="10"/>
      <c r="I14" s="10"/>
      <c r="J14" s="10"/>
      <c r="K14" s="10"/>
      <c r="L14" s="10"/>
      <c r="M14" s="10"/>
      <c r="N14" s="10"/>
    </row>
    <row r="15" spans="1:14" ht="16.5" thickBot="1" x14ac:dyDescent="0.3">
      <c r="A15" s="10"/>
      <c r="B15" s="10"/>
      <c r="C15" s="10"/>
      <c r="D15" s="10"/>
      <c r="E15" s="10"/>
      <c r="F15" s="10"/>
      <c r="G15" s="10"/>
      <c r="H15" s="10"/>
      <c r="I15" s="10"/>
      <c r="J15" s="10"/>
      <c r="K15" s="10"/>
      <c r="L15" s="10"/>
      <c r="M15" s="10"/>
      <c r="N15" s="10"/>
    </row>
    <row r="16" spans="1:14" ht="18.75" x14ac:dyDescent="0.3">
      <c r="A16" s="10"/>
      <c r="B16" s="153" t="s">
        <v>368</v>
      </c>
      <c r="C16" s="154"/>
      <c r="D16" s="154"/>
      <c r="E16" s="154"/>
      <c r="F16" s="155"/>
      <c r="G16" s="10"/>
      <c r="H16" s="10"/>
      <c r="I16" s="10"/>
      <c r="J16" s="10"/>
      <c r="K16" s="10"/>
      <c r="L16" s="10"/>
      <c r="M16" s="10"/>
      <c r="N16" s="10"/>
    </row>
    <row r="17" spans="1:14" x14ac:dyDescent="0.25">
      <c r="A17" s="10"/>
      <c r="B17" s="156"/>
      <c r="C17" s="223" t="s">
        <v>501</v>
      </c>
      <c r="D17" s="157"/>
      <c r="E17" s="157"/>
      <c r="F17" s="158"/>
      <c r="G17" s="10"/>
      <c r="H17" s="10"/>
      <c r="I17" s="10"/>
      <c r="J17" s="10"/>
      <c r="K17" s="10"/>
      <c r="L17" s="10"/>
      <c r="M17" s="10"/>
      <c r="N17" s="10"/>
    </row>
    <row r="18" spans="1:14" x14ac:dyDescent="0.25">
      <c r="A18" s="10"/>
      <c r="B18" s="156"/>
      <c r="C18" s="223" t="s">
        <v>369</v>
      </c>
      <c r="D18" s="157"/>
      <c r="E18" s="157"/>
      <c r="F18" s="158"/>
      <c r="G18" s="10"/>
      <c r="H18" s="10"/>
      <c r="I18" s="10"/>
      <c r="J18" s="10"/>
      <c r="K18" s="10"/>
      <c r="L18" s="10"/>
      <c r="M18" s="10"/>
      <c r="N18" s="10"/>
    </row>
    <row r="19" spans="1:14" ht="16.5" thickBot="1" x14ac:dyDescent="0.3">
      <c r="A19" s="10"/>
      <c r="B19" s="159"/>
      <c r="C19" s="160"/>
      <c r="D19" s="161"/>
      <c r="E19" s="161"/>
      <c r="F19" s="162"/>
      <c r="G19" s="10"/>
      <c r="H19" s="10"/>
      <c r="I19" s="10"/>
      <c r="J19" s="10"/>
      <c r="K19" s="10"/>
      <c r="L19" s="10"/>
      <c r="M19" s="10"/>
      <c r="N19" s="10"/>
    </row>
    <row r="20" spans="1:14" x14ac:dyDescent="0.25">
      <c r="A20" s="10"/>
      <c r="B20" s="10"/>
      <c r="C20" s="10"/>
      <c r="D20" s="10"/>
      <c r="E20" s="10"/>
      <c r="F20" s="10"/>
      <c r="G20" s="10"/>
      <c r="H20" s="10"/>
      <c r="I20" s="10"/>
      <c r="J20" s="10"/>
      <c r="K20" s="10"/>
      <c r="L20" s="10"/>
      <c r="M20" s="10"/>
      <c r="N20" s="10"/>
    </row>
    <row r="21" spans="1:14" x14ac:dyDescent="0.25">
      <c r="A21" s="10"/>
      <c r="B21" s="10"/>
      <c r="C21" s="10"/>
      <c r="D21" s="10"/>
      <c r="E21" s="10"/>
      <c r="F21" s="10"/>
      <c r="G21" s="10"/>
      <c r="H21" s="10"/>
      <c r="I21" s="10"/>
      <c r="J21" s="10"/>
      <c r="K21" s="10"/>
      <c r="L21" s="10"/>
      <c r="M21" s="10"/>
      <c r="N21" s="10"/>
    </row>
    <row r="22" spans="1:14" ht="18.75" x14ac:dyDescent="0.3">
      <c r="A22" s="10"/>
      <c r="B22" s="10"/>
      <c r="C22" s="163" t="s">
        <v>370</v>
      </c>
      <c r="D22" s="10"/>
      <c r="E22" s="10"/>
      <c r="F22" s="10"/>
      <c r="G22" s="10"/>
      <c r="H22" s="10"/>
      <c r="I22" s="10"/>
      <c r="J22" s="10"/>
      <c r="K22" s="10"/>
      <c r="L22" s="10"/>
      <c r="M22" s="10"/>
      <c r="N22" s="10"/>
    </row>
    <row r="23" spans="1:14" x14ac:dyDescent="0.25">
      <c r="A23" s="10"/>
      <c r="B23" s="10"/>
      <c r="C23" s="10"/>
      <c r="D23" s="10"/>
      <c r="E23" s="10"/>
      <c r="F23" s="10"/>
      <c r="G23" s="10"/>
      <c r="H23" s="10"/>
      <c r="I23" s="10"/>
      <c r="J23" s="10"/>
      <c r="K23" s="10"/>
      <c r="L23" s="10"/>
      <c r="M23" s="10"/>
      <c r="N23" s="10"/>
    </row>
    <row r="24" spans="1:14" ht="18.75" x14ac:dyDescent="0.3">
      <c r="A24" s="10"/>
      <c r="B24" s="10"/>
      <c r="C24" s="10"/>
      <c r="D24" s="163" t="s">
        <v>372</v>
      </c>
      <c r="E24" s="10"/>
      <c r="F24" s="10"/>
      <c r="G24" s="10"/>
      <c r="H24" s="10"/>
      <c r="I24" s="10"/>
      <c r="J24" s="10"/>
      <c r="K24" s="10"/>
      <c r="L24" s="10"/>
      <c r="M24" s="10"/>
      <c r="N24" s="10"/>
    </row>
    <row r="25" spans="1:14" x14ac:dyDescent="0.25">
      <c r="A25" s="10"/>
      <c r="B25" s="10"/>
      <c r="C25" s="10"/>
      <c r="D25" s="10"/>
      <c r="E25" s="10"/>
      <c r="F25" s="10"/>
      <c r="G25" s="10"/>
      <c r="H25" s="10"/>
      <c r="I25" s="10"/>
      <c r="J25" s="10"/>
      <c r="K25" s="10"/>
      <c r="L25" s="10"/>
      <c r="M25" s="10"/>
      <c r="N25" s="10"/>
    </row>
    <row r="26" spans="1:14" ht="18.75" x14ac:dyDescent="0.3">
      <c r="A26" s="10"/>
      <c r="B26" s="10"/>
      <c r="C26" s="10"/>
      <c r="D26" s="10"/>
      <c r="E26" s="163" t="s">
        <v>371</v>
      </c>
      <c r="F26" s="10"/>
      <c r="G26" s="10"/>
      <c r="H26" s="10"/>
      <c r="I26" s="10"/>
      <c r="J26" s="10"/>
      <c r="K26" s="10"/>
      <c r="L26" s="10"/>
      <c r="M26" s="10"/>
      <c r="N26" s="10"/>
    </row>
    <row r="27" spans="1:14" x14ac:dyDescent="0.25">
      <c r="A27" s="10"/>
      <c r="B27" s="10"/>
      <c r="C27" s="10"/>
      <c r="D27" s="10"/>
      <c r="E27" s="10"/>
      <c r="F27" s="10"/>
      <c r="G27" s="10"/>
      <c r="H27" s="10"/>
      <c r="I27" s="10"/>
      <c r="J27" s="10"/>
      <c r="K27" s="10"/>
      <c r="L27" s="10"/>
      <c r="M27" s="10"/>
      <c r="N27" s="10"/>
    </row>
    <row r="28" spans="1:14" x14ac:dyDescent="0.25">
      <c r="A28" s="10"/>
      <c r="B28" s="10"/>
      <c r="C28" s="10"/>
      <c r="D28" s="10"/>
      <c r="E28" s="10"/>
      <c r="F28" s="10"/>
      <c r="G28" s="10"/>
      <c r="H28" s="10"/>
      <c r="I28" s="10"/>
      <c r="J28" s="10"/>
      <c r="K28" s="10"/>
      <c r="L28" s="10"/>
      <c r="M28" s="10"/>
      <c r="N28" s="10"/>
    </row>
    <row r="29" spans="1:14" x14ac:dyDescent="0.25">
      <c r="A29" s="10"/>
      <c r="B29" s="10"/>
      <c r="C29" s="10"/>
      <c r="D29" s="10"/>
      <c r="E29" s="10"/>
      <c r="F29" s="10"/>
      <c r="G29" s="10"/>
      <c r="H29" s="10"/>
      <c r="I29" s="10"/>
      <c r="J29" s="10"/>
      <c r="K29" s="10"/>
      <c r="L29" s="10"/>
      <c r="M29" s="10"/>
      <c r="N29" s="10"/>
    </row>
    <row r="30" spans="1:14" x14ac:dyDescent="0.25">
      <c r="A30" s="10"/>
      <c r="B30" s="10"/>
      <c r="C30" s="10"/>
      <c r="D30" s="10"/>
      <c r="E30" s="10"/>
      <c r="F30" s="10"/>
      <c r="G30" s="10"/>
      <c r="H30" s="10"/>
      <c r="I30" s="10"/>
      <c r="J30" s="10"/>
      <c r="K30" s="10"/>
      <c r="L30" s="10"/>
      <c r="M30" s="10"/>
      <c r="N30" s="10"/>
    </row>
    <row r="31" spans="1:14" x14ac:dyDescent="0.25">
      <c r="A31" s="10"/>
      <c r="B31" s="10"/>
      <c r="C31" s="10"/>
      <c r="D31" s="10"/>
      <c r="E31" s="10"/>
      <c r="F31" s="10"/>
      <c r="G31" s="10"/>
      <c r="H31" s="10"/>
      <c r="I31" s="10"/>
      <c r="J31" s="10"/>
      <c r="K31" s="10"/>
      <c r="L31" s="10"/>
      <c r="M31" s="10"/>
      <c r="N31" s="10"/>
    </row>
    <row r="32" spans="1:14" x14ac:dyDescent="0.25">
      <c r="A32" s="10"/>
      <c r="B32" s="10"/>
      <c r="C32" s="10"/>
      <c r="D32" s="10"/>
      <c r="E32" s="10"/>
      <c r="F32" s="10"/>
      <c r="G32" s="10"/>
      <c r="H32" s="10"/>
      <c r="I32" s="10"/>
      <c r="J32" s="10"/>
      <c r="K32" s="10"/>
      <c r="L32" s="10"/>
      <c r="M32" s="10"/>
      <c r="N32" s="10"/>
    </row>
    <row r="33" spans="1:14" x14ac:dyDescent="0.25">
      <c r="A33" s="10"/>
      <c r="B33" s="10"/>
      <c r="C33" s="10"/>
      <c r="D33" s="10"/>
      <c r="E33" s="10"/>
      <c r="F33" s="10"/>
      <c r="G33" s="10"/>
      <c r="H33" s="10"/>
      <c r="I33" s="10"/>
      <c r="J33" s="10"/>
      <c r="K33" s="10"/>
      <c r="L33" s="10"/>
      <c r="M33" s="10"/>
      <c r="N33" s="10"/>
    </row>
    <row r="34" spans="1:14" x14ac:dyDescent="0.25">
      <c r="A34" s="10"/>
      <c r="B34" s="10"/>
      <c r="C34" s="10"/>
      <c r="D34" s="10"/>
      <c r="E34" s="10"/>
      <c r="F34" s="10"/>
      <c r="G34" s="10"/>
      <c r="H34" s="10"/>
      <c r="I34" s="10"/>
      <c r="J34" s="10"/>
      <c r="K34" s="10"/>
      <c r="L34" s="10"/>
      <c r="M34" s="10"/>
      <c r="N34" s="10"/>
    </row>
    <row r="35" spans="1:14" x14ac:dyDescent="0.25">
      <c r="A35" s="10"/>
      <c r="B35" s="10"/>
      <c r="C35" s="10"/>
      <c r="D35" s="10"/>
      <c r="E35" s="10"/>
      <c r="F35" s="10"/>
      <c r="G35" s="10"/>
      <c r="H35" s="10"/>
      <c r="I35" s="10"/>
      <c r="J35" s="10"/>
      <c r="K35" s="10"/>
      <c r="L35" s="10"/>
      <c r="M35" s="10"/>
      <c r="N35" s="10"/>
    </row>
    <row r="36" spans="1:14" x14ac:dyDescent="0.25">
      <c r="A36" s="10"/>
      <c r="B36" s="10"/>
      <c r="C36" s="10"/>
      <c r="D36" s="10"/>
      <c r="E36" s="10"/>
      <c r="F36" s="10"/>
      <c r="G36" s="10"/>
      <c r="H36" s="10"/>
      <c r="I36" s="10"/>
      <c r="J36" s="10"/>
      <c r="K36" s="10"/>
      <c r="L36" s="10"/>
      <c r="M36" s="10"/>
      <c r="N36" s="10"/>
    </row>
    <row r="37" spans="1:14" x14ac:dyDescent="0.25">
      <c r="A37" s="10"/>
      <c r="B37" s="10"/>
      <c r="C37" s="10"/>
      <c r="D37" s="10"/>
      <c r="E37" s="10"/>
      <c r="F37" s="10"/>
      <c r="G37" s="10"/>
      <c r="H37" s="10"/>
      <c r="I37" s="10"/>
      <c r="J37" s="10"/>
      <c r="K37" s="10"/>
      <c r="L37" s="10"/>
      <c r="M37" s="10"/>
      <c r="N37" s="10"/>
    </row>
    <row r="38" spans="1:14" x14ac:dyDescent="0.25">
      <c r="A38" s="10"/>
      <c r="B38" s="10"/>
      <c r="C38" s="10"/>
      <c r="D38" s="10"/>
      <c r="E38" s="10"/>
      <c r="F38" s="10"/>
      <c r="G38" s="10"/>
      <c r="H38" s="10"/>
      <c r="I38" s="10"/>
      <c r="J38" s="10"/>
      <c r="K38" s="10"/>
      <c r="L38" s="10"/>
      <c r="M38" s="10"/>
      <c r="N38" s="10"/>
    </row>
    <row r="39" spans="1:14" x14ac:dyDescent="0.25">
      <c r="A39" s="10"/>
      <c r="B39" s="10"/>
      <c r="C39" s="10"/>
      <c r="D39" s="10"/>
      <c r="E39" s="10"/>
      <c r="F39" s="10"/>
      <c r="G39" s="10"/>
      <c r="H39" s="10"/>
      <c r="I39" s="10"/>
      <c r="J39" s="10"/>
      <c r="K39" s="10"/>
      <c r="L39" s="10"/>
      <c r="M39" s="10"/>
      <c r="N39" s="10"/>
    </row>
    <row r="40" spans="1:14" x14ac:dyDescent="0.25">
      <c r="A40" s="10"/>
      <c r="B40" s="10"/>
      <c r="C40" s="10"/>
      <c r="D40" s="10"/>
      <c r="E40" s="10"/>
      <c r="F40" s="10"/>
      <c r="G40" s="10"/>
      <c r="H40" s="10"/>
      <c r="I40" s="10"/>
      <c r="J40" s="10"/>
      <c r="K40" s="10"/>
      <c r="L40" s="10"/>
      <c r="M40" s="10"/>
      <c r="N40" s="10"/>
    </row>
    <row r="41" spans="1:14" x14ac:dyDescent="0.25">
      <c r="A41" s="10"/>
      <c r="B41" s="10"/>
      <c r="C41" s="10"/>
      <c r="D41" s="10"/>
      <c r="E41" s="10"/>
      <c r="F41" s="10"/>
      <c r="G41" s="10"/>
      <c r="H41" s="10"/>
      <c r="I41" s="10"/>
      <c r="J41" s="10"/>
      <c r="K41" s="10"/>
      <c r="L41" s="10"/>
      <c r="M41" s="10"/>
      <c r="N41" s="10"/>
    </row>
    <row r="42" spans="1:14" x14ac:dyDescent="0.25">
      <c r="A42" s="10"/>
      <c r="B42" s="10"/>
      <c r="C42" s="10"/>
      <c r="D42" s="10"/>
      <c r="E42" s="10"/>
      <c r="F42" s="10"/>
      <c r="G42" s="10"/>
      <c r="H42" s="10"/>
      <c r="I42" s="10"/>
      <c r="J42" s="10"/>
      <c r="K42" s="10"/>
      <c r="L42" s="10"/>
      <c r="M42" s="10"/>
      <c r="N42" s="10"/>
    </row>
    <row r="43" spans="1:14" x14ac:dyDescent="0.25">
      <c r="A43" s="10"/>
      <c r="B43" s="10"/>
      <c r="C43" s="10"/>
      <c r="D43" s="10"/>
      <c r="E43" s="10"/>
      <c r="F43" s="10"/>
      <c r="G43" s="10"/>
      <c r="H43" s="10"/>
      <c r="I43" s="10"/>
      <c r="J43" s="10"/>
      <c r="K43" s="10"/>
      <c r="L43" s="10"/>
      <c r="M43" s="10"/>
      <c r="N43" s="10"/>
    </row>
    <row r="44" spans="1:14" x14ac:dyDescent="0.25">
      <c r="A44" s="10"/>
      <c r="B44" s="10"/>
      <c r="C44" s="10"/>
      <c r="D44" s="10"/>
      <c r="E44" s="10"/>
      <c r="F44" s="10"/>
      <c r="H44" s="164" t="s">
        <v>375</v>
      </c>
      <c r="I44" s="10"/>
      <c r="J44" s="10"/>
      <c r="K44" s="10"/>
      <c r="L44" s="10"/>
      <c r="M44" s="10"/>
      <c r="N44" s="10"/>
    </row>
    <row r="45" spans="1:14" x14ac:dyDescent="0.25">
      <c r="A45" s="10"/>
      <c r="B45" s="10"/>
      <c r="C45" s="10"/>
      <c r="D45" s="10"/>
      <c r="E45" s="10"/>
      <c r="F45" s="10"/>
      <c r="G45" s="10"/>
      <c r="H45" s="10"/>
      <c r="I45" s="10"/>
      <c r="J45" s="10"/>
      <c r="K45" s="10"/>
      <c r="L45" s="10"/>
      <c r="M45" s="10"/>
      <c r="N45" s="10"/>
    </row>
    <row r="46" spans="1:14" x14ac:dyDescent="0.25">
      <c r="A46" s="10"/>
      <c r="B46" s="10"/>
      <c r="C46" s="10"/>
      <c r="D46" s="10"/>
      <c r="E46" s="10"/>
      <c r="F46" s="10"/>
      <c r="G46" s="10"/>
      <c r="H46" s="10"/>
      <c r="I46" s="10"/>
      <c r="J46" s="10"/>
      <c r="K46" s="10"/>
      <c r="L46" s="10"/>
      <c r="M46" s="10"/>
      <c r="N46" s="10"/>
    </row>
    <row r="47" spans="1:14" x14ac:dyDescent="0.25">
      <c r="A47" s="10"/>
      <c r="B47" s="10"/>
      <c r="C47" s="10"/>
      <c r="D47" s="10"/>
      <c r="E47" s="10"/>
      <c r="F47" s="10"/>
      <c r="G47" s="10"/>
      <c r="H47" s="10"/>
      <c r="I47" s="10"/>
      <c r="J47" s="10"/>
      <c r="K47" s="10"/>
      <c r="L47" s="10"/>
      <c r="M47" s="10"/>
      <c r="N47" s="10"/>
    </row>
    <row r="48" spans="1:14" x14ac:dyDescent="0.25">
      <c r="I48" s="10"/>
      <c r="J48" s="10"/>
      <c r="K48" s="10"/>
      <c r="L48" s="10"/>
      <c r="M48" s="10"/>
      <c r="N48" s="10"/>
    </row>
  </sheetData>
  <mergeCells count="4">
    <mergeCell ref="B11:F11"/>
    <mergeCell ref="C13:F13"/>
    <mergeCell ref="C12:F12"/>
    <mergeCell ref="C14:F14"/>
  </mergeCells>
  <hyperlinks>
    <hyperlink ref="C17" r:id="rId1"/>
    <hyperlink ref="C18" r:id="rId2"/>
  </hyperlinks>
  <pageMargins left="0.75" right="0.75" top="1" bottom="1" header="0.5" footer="0.5"/>
  <pageSetup orientation="portrait" horizontalDpi="4294967292" verticalDpi="4294967292" r:id="rId3"/>
  <drawing r:id="rId4"/>
  <extLst>
    <ext xmlns:x14="http://schemas.microsoft.com/office/spreadsheetml/2009/9/main" uri="{CCE6A557-97BC-4b89-ADB6-D9C93CAAB3DF}">
      <x14:dataValidations xmlns:xm="http://schemas.microsoft.com/office/excel/2006/main" count="3">
        <x14:dataValidation type="list" showInputMessage="1" showErrorMessage="1">
          <x14:formula1>
            <xm:f>Y1Wrksht!$B$1:$B$216</xm:f>
          </x14:formula1>
          <xm:sqref>F3</xm:sqref>
        </x14:dataValidation>
        <x14:dataValidation type="list" allowBlank="1" showInputMessage="1" showErrorMessage="1">
          <x14:formula1>
            <xm:f>Y1Wrksht!$B$1:$B$216</xm:f>
          </x14:formula1>
          <xm:sqref>E6</xm:sqref>
        </x14:dataValidation>
        <x14:dataValidation type="list" showInputMessage="1" showErrorMessage="1">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A28" workbookViewId="0">
      <selection activeCell="C55" sqref="C55"/>
    </sheetView>
  </sheetViews>
  <sheetFormatPr defaultColWidth="8.875" defaultRowHeight="15.75" x14ac:dyDescent="0.25"/>
  <cols>
    <col min="3" max="3" width="207.375" style="201" customWidth="1"/>
    <col min="26" max="26" width="8.875" style="204"/>
  </cols>
  <sheetData>
    <row r="1" spans="1:26" x14ac:dyDescent="0.25">
      <c r="A1" s="10"/>
      <c r="B1" s="10"/>
      <c r="C1" s="197"/>
      <c r="D1" s="10"/>
      <c r="E1" s="10"/>
      <c r="F1" s="10"/>
      <c r="G1" s="10"/>
      <c r="H1" s="10"/>
      <c r="I1" s="10"/>
      <c r="J1" s="10"/>
      <c r="K1" s="10"/>
      <c r="L1" s="10"/>
      <c r="M1" s="10"/>
      <c r="N1" s="10"/>
      <c r="O1" s="10"/>
      <c r="P1" s="10"/>
      <c r="Q1" s="10"/>
      <c r="R1" s="10"/>
      <c r="S1" s="10"/>
      <c r="T1" s="10"/>
      <c r="U1" s="10"/>
      <c r="V1" s="10"/>
      <c r="W1" s="10"/>
      <c r="X1" s="10"/>
      <c r="Y1" s="10"/>
      <c r="Z1" s="202"/>
    </row>
    <row r="2" spans="1:26" x14ac:dyDescent="0.25">
      <c r="A2" s="10"/>
      <c r="B2" s="10"/>
      <c r="C2" s="197"/>
      <c r="D2" s="10"/>
      <c r="E2" s="10"/>
      <c r="F2" s="10"/>
      <c r="G2" s="10"/>
      <c r="H2" s="10"/>
      <c r="I2" s="10"/>
      <c r="J2" s="10"/>
      <c r="K2" s="10"/>
      <c r="L2" s="10"/>
      <c r="M2" s="10"/>
      <c r="N2" s="10"/>
      <c r="O2" s="10"/>
      <c r="P2" s="10"/>
      <c r="Q2" s="10"/>
      <c r="R2" s="10"/>
      <c r="S2" s="10"/>
      <c r="T2" s="10"/>
      <c r="U2" s="10"/>
      <c r="V2" s="10"/>
      <c r="W2" s="10"/>
      <c r="X2" s="10"/>
      <c r="Y2" s="10"/>
      <c r="Z2" s="202"/>
    </row>
    <row r="3" spans="1:26" s="198" customFormat="1" x14ac:dyDescent="0.25">
      <c r="A3" s="195"/>
      <c r="B3" s="195" t="s">
        <v>366</v>
      </c>
      <c r="C3" s="200"/>
      <c r="D3" s="195"/>
      <c r="E3" s="195"/>
      <c r="F3" s="195"/>
      <c r="G3" s="195"/>
      <c r="H3" s="195"/>
      <c r="I3" s="195"/>
      <c r="J3" s="195"/>
      <c r="K3" s="195"/>
      <c r="L3" s="195"/>
      <c r="M3" s="195"/>
      <c r="N3" s="195"/>
      <c r="O3" s="195"/>
      <c r="P3" s="195"/>
      <c r="Q3" s="195"/>
      <c r="R3" s="195"/>
      <c r="S3" s="195"/>
      <c r="T3" s="195"/>
      <c r="U3" s="195"/>
      <c r="V3" s="195"/>
      <c r="W3" s="195"/>
      <c r="X3" s="195"/>
      <c r="Y3" s="195"/>
      <c r="Z3" s="203"/>
    </row>
    <row r="4" spans="1:26" x14ac:dyDescent="0.25">
      <c r="A4" s="10"/>
      <c r="B4" s="10"/>
      <c r="C4" s="197"/>
      <c r="D4" s="10"/>
      <c r="E4" s="10"/>
      <c r="F4" s="10"/>
      <c r="G4" s="10"/>
      <c r="H4" s="10"/>
      <c r="I4" s="10"/>
      <c r="J4" s="10"/>
      <c r="K4" s="10"/>
      <c r="L4" s="10"/>
      <c r="M4" s="10"/>
      <c r="N4" s="10"/>
      <c r="O4" s="10"/>
      <c r="P4" s="10"/>
      <c r="Q4" s="10"/>
      <c r="R4" s="10"/>
      <c r="S4" s="10"/>
      <c r="T4" s="10"/>
      <c r="U4" s="10"/>
      <c r="V4" s="10"/>
      <c r="W4" s="10"/>
      <c r="X4" s="10"/>
      <c r="Y4" s="10"/>
      <c r="Z4" s="202"/>
    </row>
    <row r="5" spans="1:26" ht="18.75" x14ac:dyDescent="0.3">
      <c r="A5" s="10"/>
      <c r="B5" s="152" t="s">
        <v>351</v>
      </c>
      <c r="C5" s="205" t="s">
        <v>352</v>
      </c>
      <c r="D5" s="10"/>
      <c r="E5" s="10"/>
      <c r="F5" s="10"/>
      <c r="G5" s="10"/>
      <c r="H5" s="10"/>
      <c r="I5" s="10"/>
      <c r="J5" s="10"/>
      <c r="K5" s="10"/>
      <c r="L5" s="10"/>
      <c r="M5" s="10"/>
      <c r="N5" s="10"/>
      <c r="O5" s="10"/>
      <c r="P5" s="10"/>
      <c r="Q5" s="10"/>
      <c r="R5" s="10"/>
      <c r="S5" s="10"/>
      <c r="T5" s="10"/>
      <c r="U5" s="10"/>
      <c r="V5" s="10"/>
      <c r="W5" s="10"/>
      <c r="X5" s="10"/>
      <c r="Y5" s="10"/>
      <c r="Z5" s="202"/>
    </row>
    <row r="6" spans="1:26" x14ac:dyDescent="0.25">
      <c r="A6" s="10"/>
      <c r="B6" s="10"/>
      <c r="C6" s="10" t="s">
        <v>367</v>
      </c>
      <c r="E6" s="10"/>
      <c r="F6" s="10"/>
      <c r="G6" s="10"/>
      <c r="H6" s="10"/>
      <c r="I6" s="10"/>
      <c r="J6" s="10"/>
      <c r="K6" s="10"/>
      <c r="L6" s="10"/>
      <c r="M6" s="10"/>
      <c r="N6" s="10"/>
      <c r="O6" s="10"/>
      <c r="P6" s="10"/>
      <c r="Q6" s="10"/>
      <c r="R6" s="10"/>
      <c r="S6" s="10"/>
      <c r="T6" s="10"/>
      <c r="U6" s="10"/>
      <c r="V6" s="10"/>
      <c r="W6" s="10"/>
      <c r="X6" s="10"/>
      <c r="Y6" s="10"/>
      <c r="Z6" s="202"/>
    </row>
    <row r="7" spans="1:26" x14ac:dyDescent="0.25">
      <c r="A7" s="10"/>
      <c r="B7" s="10"/>
      <c r="C7" s="197"/>
      <c r="D7" s="10"/>
      <c r="E7" s="10"/>
      <c r="F7" s="10"/>
      <c r="G7" s="10"/>
      <c r="H7" s="10"/>
      <c r="I7" s="10"/>
      <c r="J7" s="10"/>
      <c r="K7" s="10"/>
      <c r="L7" s="10"/>
      <c r="M7" s="10"/>
      <c r="N7" s="10"/>
      <c r="O7" s="10"/>
      <c r="P7" s="10"/>
      <c r="Q7" s="10"/>
      <c r="R7" s="10"/>
      <c r="S7" s="10"/>
      <c r="T7" s="10"/>
      <c r="U7" s="10"/>
      <c r="V7" s="10"/>
      <c r="W7" s="10"/>
      <c r="X7" s="10"/>
      <c r="Y7" s="10"/>
      <c r="Z7" s="202"/>
    </row>
    <row r="8" spans="1:26" ht="18.75" x14ac:dyDescent="0.3">
      <c r="A8" s="10"/>
      <c r="B8" s="152" t="s">
        <v>338</v>
      </c>
      <c r="C8" s="205" t="s">
        <v>339</v>
      </c>
      <c r="D8" s="10"/>
      <c r="E8" s="10"/>
      <c r="F8" s="10"/>
      <c r="G8" s="10"/>
      <c r="H8" s="10"/>
      <c r="I8" s="10"/>
      <c r="J8" s="10"/>
      <c r="K8" s="10"/>
      <c r="L8" s="10"/>
      <c r="M8" s="10"/>
      <c r="N8" s="10"/>
      <c r="O8" s="10"/>
      <c r="P8" s="10"/>
      <c r="Q8" s="10"/>
      <c r="R8" s="10"/>
      <c r="S8" s="10"/>
      <c r="T8" s="10"/>
      <c r="U8" s="10"/>
      <c r="V8" s="10"/>
      <c r="W8" s="10"/>
      <c r="X8" s="10"/>
      <c r="Y8" s="10"/>
      <c r="Z8" s="202"/>
    </row>
    <row r="9" spans="1:26" ht="18.75" x14ac:dyDescent="0.3">
      <c r="A9" s="10"/>
      <c r="B9" s="152"/>
      <c r="C9" s="10" t="s">
        <v>355</v>
      </c>
      <c r="E9" s="10"/>
      <c r="F9" s="10"/>
      <c r="G9" s="10"/>
      <c r="H9" s="10"/>
      <c r="I9" s="10"/>
      <c r="J9" s="10"/>
      <c r="K9" s="10"/>
      <c r="L9" s="10"/>
      <c r="M9" s="10"/>
      <c r="N9" s="10"/>
      <c r="O9" s="10"/>
      <c r="P9" s="10"/>
      <c r="Q9" s="10"/>
      <c r="R9" s="10"/>
      <c r="S9" s="10"/>
      <c r="T9" s="10"/>
      <c r="U9" s="10"/>
      <c r="V9" s="10"/>
      <c r="W9" s="10"/>
      <c r="X9" s="10"/>
      <c r="Y9" s="10"/>
      <c r="Z9" s="202"/>
    </row>
    <row r="10" spans="1:26" ht="18.75" x14ac:dyDescent="0.3">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2"/>
    </row>
    <row r="11" spans="1:26" ht="18.75" x14ac:dyDescent="0.3">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2"/>
    </row>
    <row r="12" spans="1:26" ht="18.75" x14ac:dyDescent="0.3">
      <c r="A12" s="10"/>
      <c r="B12" s="152"/>
      <c r="C12" s="197"/>
      <c r="D12" s="10"/>
      <c r="E12" s="10"/>
      <c r="F12" s="10"/>
      <c r="G12" s="10"/>
      <c r="H12" s="10"/>
      <c r="I12" s="10"/>
      <c r="J12" s="10"/>
      <c r="K12" s="10"/>
      <c r="L12" s="10"/>
      <c r="M12" s="10"/>
      <c r="N12" s="10"/>
      <c r="O12" s="10"/>
      <c r="P12" s="10"/>
      <c r="Q12" s="10"/>
      <c r="R12" s="10"/>
      <c r="S12" s="10"/>
      <c r="T12" s="10"/>
      <c r="U12" s="10"/>
      <c r="V12" s="10"/>
      <c r="W12" s="10"/>
      <c r="X12" s="10"/>
      <c r="Y12" s="10"/>
      <c r="Z12" s="202"/>
    </row>
    <row r="13" spans="1:26" ht="18.75" x14ac:dyDescent="0.3">
      <c r="A13" s="10"/>
      <c r="B13" s="152" t="s">
        <v>337</v>
      </c>
      <c r="C13" s="205" t="s">
        <v>340</v>
      </c>
      <c r="D13" s="10"/>
      <c r="E13" s="10"/>
      <c r="F13" s="10"/>
      <c r="G13" s="10"/>
      <c r="H13" s="10"/>
      <c r="I13" s="10"/>
      <c r="J13" s="10"/>
      <c r="K13" s="10"/>
      <c r="L13" s="10"/>
      <c r="M13" s="10"/>
      <c r="N13" s="10"/>
      <c r="O13" s="10"/>
      <c r="P13" s="10"/>
      <c r="Q13" s="10"/>
      <c r="R13" s="10"/>
      <c r="S13" s="10"/>
      <c r="T13" s="10"/>
      <c r="U13" s="10"/>
      <c r="V13" s="10"/>
      <c r="W13" s="10"/>
      <c r="X13" s="10"/>
      <c r="Y13" s="10"/>
      <c r="Z13" s="202"/>
    </row>
    <row r="14" spans="1:26" ht="18.75" x14ac:dyDescent="0.3">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2"/>
    </row>
    <row r="15" spans="1:26" ht="18.75" x14ac:dyDescent="0.3">
      <c r="A15" s="10"/>
      <c r="B15" s="152"/>
      <c r="C15" s="197"/>
      <c r="D15" s="10"/>
      <c r="E15" s="10"/>
      <c r="F15" s="10"/>
      <c r="G15" s="10"/>
      <c r="H15" s="10"/>
      <c r="I15" s="10"/>
      <c r="J15" s="10"/>
      <c r="K15" s="10"/>
      <c r="L15" s="10"/>
      <c r="M15" s="10"/>
      <c r="N15" s="10"/>
      <c r="O15" s="10"/>
      <c r="P15" s="10"/>
      <c r="Q15" s="10"/>
      <c r="R15" s="10"/>
      <c r="S15" s="10"/>
      <c r="T15" s="10"/>
      <c r="U15" s="10"/>
      <c r="V15" s="10"/>
      <c r="W15" s="10"/>
      <c r="X15" s="10"/>
      <c r="Y15" s="10"/>
      <c r="Z15" s="202"/>
    </row>
    <row r="16" spans="1:26" ht="18.75" x14ac:dyDescent="0.3">
      <c r="A16" s="10"/>
      <c r="B16" s="152" t="s">
        <v>336</v>
      </c>
      <c r="C16" s="205" t="s">
        <v>341</v>
      </c>
      <c r="D16" s="10"/>
      <c r="E16" s="10"/>
      <c r="F16" s="10"/>
      <c r="G16" s="10"/>
      <c r="H16" s="10"/>
      <c r="I16" s="10"/>
      <c r="J16" s="10"/>
      <c r="K16" s="10"/>
      <c r="L16" s="10"/>
      <c r="M16" s="10"/>
      <c r="N16" s="10"/>
      <c r="O16" s="10"/>
      <c r="P16" s="10"/>
      <c r="Q16" s="10"/>
      <c r="R16" s="10"/>
      <c r="S16" s="10"/>
      <c r="T16" s="10"/>
      <c r="U16" s="10"/>
      <c r="V16" s="10"/>
      <c r="W16" s="10"/>
      <c r="X16" s="10"/>
      <c r="Y16" s="10"/>
      <c r="Z16" s="202"/>
    </row>
    <row r="17" spans="1:26" ht="18.75" x14ac:dyDescent="0.3">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2"/>
    </row>
    <row r="18" spans="1:26" ht="18.75" x14ac:dyDescent="0.3">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2"/>
    </row>
    <row r="19" spans="1:26" ht="18.75" x14ac:dyDescent="0.3">
      <c r="A19" s="10"/>
      <c r="B19" s="152"/>
      <c r="C19" s="197"/>
      <c r="D19" s="10"/>
      <c r="E19" s="10"/>
      <c r="F19" s="10"/>
      <c r="G19" s="10"/>
      <c r="H19" s="10"/>
      <c r="I19" s="10"/>
      <c r="J19" s="10"/>
      <c r="K19" s="10"/>
      <c r="L19" s="10"/>
      <c r="M19" s="10"/>
      <c r="N19" s="10"/>
      <c r="O19" s="10"/>
      <c r="P19" s="10"/>
      <c r="Q19" s="10"/>
      <c r="R19" s="10"/>
      <c r="S19" s="10"/>
      <c r="T19" s="10"/>
      <c r="U19" s="10"/>
      <c r="V19" s="10"/>
      <c r="W19" s="10"/>
      <c r="X19" s="10"/>
      <c r="Y19" s="10"/>
      <c r="Z19" s="202"/>
    </row>
    <row r="20" spans="1:26" ht="18.75" x14ac:dyDescent="0.3">
      <c r="A20" s="10"/>
      <c r="B20" s="152" t="s">
        <v>364</v>
      </c>
      <c r="C20" s="205" t="s">
        <v>359</v>
      </c>
      <c r="D20" s="10"/>
      <c r="E20" s="10"/>
      <c r="F20" s="10"/>
      <c r="G20" s="10"/>
      <c r="H20" s="10"/>
      <c r="I20" s="10"/>
      <c r="J20" s="10"/>
      <c r="K20" s="10"/>
      <c r="L20" s="10"/>
      <c r="M20" s="10"/>
      <c r="N20" s="10"/>
      <c r="O20" s="10"/>
      <c r="P20" s="10"/>
      <c r="Q20" s="10"/>
      <c r="R20" s="10"/>
      <c r="S20" s="10"/>
      <c r="T20" s="10"/>
      <c r="U20" s="10"/>
      <c r="V20" s="10"/>
      <c r="W20" s="10"/>
      <c r="X20" s="10"/>
      <c r="Y20" s="10"/>
      <c r="Z20" s="202"/>
    </row>
    <row r="21" spans="1:26" x14ac:dyDescent="0.25">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2"/>
    </row>
    <row r="22" spans="1:26" x14ac:dyDescent="0.25">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2"/>
    </row>
    <row r="23" spans="1:26" x14ac:dyDescent="0.25">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2"/>
    </row>
    <row r="24" spans="1:26" x14ac:dyDescent="0.25">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2"/>
    </row>
    <row r="25" spans="1:26" x14ac:dyDescent="0.25">
      <c r="A25" s="10"/>
      <c r="B25" s="10"/>
      <c r="C25" s="197"/>
      <c r="D25" s="10"/>
      <c r="E25" s="10"/>
      <c r="F25" s="10"/>
      <c r="G25" s="10"/>
      <c r="H25" s="10"/>
      <c r="I25" s="10"/>
      <c r="J25" s="10"/>
      <c r="K25" s="10"/>
      <c r="L25" s="10"/>
      <c r="M25" s="10"/>
      <c r="N25" s="10"/>
      <c r="O25" s="10"/>
      <c r="P25" s="10"/>
      <c r="Q25" s="10"/>
      <c r="R25" s="10"/>
      <c r="S25" s="10"/>
      <c r="T25" s="10"/>
      <c r="U25" s="10"/>
      <c r="V25" s="10"/>
      <c r="W25" s="10"/>
      <c r="X25" s="10"/>
      <c r="Y25" s="10"/>
      <c r="Z25" s="202"/>
    </row>
    <row r="26" spans="1:26" ht="18.75" x14ac:dyDescent="0.3">
      <c r="A26" s="10"/>
      <c r="B26" s="152" t="s">
        <v>346</v>
      </c>
      <c r="C26" s="205" t="s">
        <v>348</v>
      </c>
      <c r="D26" s="10"/>
      <c r="E26" s="10"/>
      <c r="F26" s="10"/>
      <c r="G26" s="10"/>
      <c r="H26" s="10"/>
      <c r="I26" s="10"/>
      <c r="J26" s="10"/>
      <c r="K26" s="10"/>
      <c r="L26" s="10"/>
      <c r="M26" s="10"/>
      <c r="N26" s="10"/>
      <c r="O26" s="10"/>
      <c r="P26" s="10"/>
      <c r="Q26" s="10"/>
      <c r="R26" s="10"/>
      <c r="S26" s="10"/>
      <c r="T26" s="10"/>
      <c r="U26" s="10"/>
      <c r="V26" s="10"/>
      <c r="W26" s="10"/>
      <c r="X26" s="10"/>
      <c r="Y26" s="10"/>
      <c r="Z26" s="202"/>
    </row>
    <row r="27" spans="1:26" ht="18.75" x14ac:dyDescent="0.3">
      <c r="A27" s="10"/>
      <c r="B27" s="152"/>
      <c r="C27" s="205"/>
      <c r="D27" s="10"/>
      <c r="E27" s="10"/>
      <c r="F27" s="10"/>
      <c r="G27" s="10"/>
      <c r="H27" s="10"/>
      <c r="I27" s="10"/>
      <c r="J27" s="10"/>
      <c r="K27" s="10"/>
      <c r="L27" s="10"/>
      <c r="M27" s="10"/>
      <c r="N27" s="10"/>
      <c r="O27" s="10"/>
      <c r="P27" s="10"/>
      <c r="Q27" s="10"/>
      <c r="R27" s="10"/>
      <c r="S27" s="10"/>
      <c r="T27" s="10"/>
      <c r="U27" s="10"/>
      <c r="V27" s="10"/>
      <c r="W27" s="10"/>
      <c r="X27" s="10"/>
      <c r="Y27" s="10"/>
      <c r="Z27" s="202"/>
    </row>
    <row r="28" spans="1:26" x14ac:dyDescent="0.25">
      <c r="A28" s="10"/>
      <c r="B28" s="10"/>
      <c r="C28" s="197"/>
      <c r="D28" s="10"/>
      <c r="E28" s="10"/>
      <c r="F28" s="10"/>
      <c r="G28" s="10"/>
      <c r="H28" s="10"/>
      <c r="I28" s="10"/>
      <c r="J28" s="10"/>
      <c r="K28" s="10"/>
      <c r="L28" s="10"/>
      <c r="M28" s="10"/>
      <c r="N28" s="10"/>
      <c r="O28" s="10"/>
      <c r="P28" s="10"/>
      <c r="Q28" s="10"/>
      <c r="R28" s="10"/>
      <c r="S28" s="10"/>
      <c r="T28" s="10"/>
      <c r="U28" s="10"/>
      <c r="V28" s="10"/>
      <c r="W28" s="10"/>
      <c r="X28" s="10"/>
      <c r="Y28" s="10"/>
      <c r="Z28" s="202"/>
    </row>
    <row r="29" spans="1:26" x14ac:dyDescent="0.25">
      <c r="A29" s="10"/>
      <c r="B29" s="195" t="s">
        <v>386</v>
      </c>
      <c r="C29" s="197"/>
      <c r="D29" s="10"/>
      <c r="E29" s="10"/>
      <c r="F29" s="10"/>
      <c r="G29" s="10"/>
      <c r="H29" s="10"/>
      <c r="I29" s="10"/>
      <c r="J29" s="10"/>
      <c r="K29" s="10"/>
      <c r="L29" s="10"/>
      <c r="M29" s="10"/>
      <c r="N29" s="10"/>
      <c r="O29" s="10"/>
      <c r="P29" s="10"/>
      <c r="Q29" s="10"/>
      <c r="R29" s="10"/>
      <c r="S29" s="10"/>
      <c r="T29" s="10"/>
      <c r="U29" s="10"/>
      <c r="V29" s="10"/>
      <c r="W29" s="10"/>
      <c r="X29" s="10"/>
      <c r="Y29" s="10"/>
      <c r="Z29" s="202"/>
    </row>
    <row r="30" spans="1:26" x14ac:dyDescent="0.25">
      <c r="A30" s="10"/>
      <c r="B30" s="10"/>
      <c r="C30" s="197"/>
      <c r="D30" s="10"/>
      <c r="E30" s="10"/>
      <c r="F30" s="10"/>
      <c r="G30" s="10"/>
      <c r="H30" s="10"/>
      <c r="I30" s="10"/>
      <c r="J30" s="10"/>
      <c r="K30" s="10"/>
      <c r="L30" s="10"/>
      <c r="M30" s="10"/>
      <c r="N30" s="10"/>
      <c r="O30" s="10"/>
      <c r="P30" s="10"/>
      <c r="Q30" s="10"/>
      <c r="R30" s="10"/>
      <c r="S30" s="10"/>
      <c r="T30" s="10"/>
      <c r="U30" s="10"/>
      <c r="V30" s="10"/>
      <c r="W30" s="10"/>
      <c r="X30" s="10"/>
      <c r="Y30" s="10"/>
      <c r="Z30" s="202"/>
    </row>
    <row r="31" spans="1:26" ht="18.75" x14ac:dyDescent="0.3">
      <c r="A31" s="10"/>
      <c r="B31" s="199">
        <v>111</v>
      </c>
      <c r="C31" s="207" t="s">
        <v>12</v>
      </c>
      <c r="D31" s="10"/>
      <c r="E31" s="10"/>
      <c r="F31" s="10"/>
      <c r="G31" s="10"/>
      <c r="H31" s="10"/>
      <c r="I31" s="10"/>
      <c r="J31" s="10"/>
      <c r="K31" s="10"/>
      <c r="L31" s="10"/>
      <c r="M31" s="10"/>
      <c r="N31" s="10"/>
      <c r="O31" s="10"/>
      <c r="P31" s="10"/>
      <c r="Q31" s="10"/>
      <c r="R31" s="10"/>
      <c r="S31" s="10"/>
      <c r="T31" s="10"/>
      <c r="U31" s="10"/>
      <c r="V31" s="10"/>
      <c r="W31" s="10"/>
      <c r="X31" s="10"/>
      <c r="Y31" s="10"/>
      <c r="Z31" s="202"/>
    </row>
    <row r="32" spans="1:26" ht="18.75" x14ac:dyDescent="0.3">
      <c r="A32" s="10"/>
      <c r="B32" s="199"/>
      <c r="C32" s="206" t="s">
        <v>387</v>
      </c>
      <c r="D32" s="10"/>
      <c r="E32" s="10"/>
      <c r="F32" s="10"/>
      <c r="G32" s="10"/>
      <c r="H32" s="10"/>
      <c r="I32" s="10"/>
      <c r="J32" s="10"/>
      <c r="K32" s="10"/>
      <c r="L32" s="10"/>
      <c r="M32" s="10"/>
      <c r="N32" s="10"/>
      <c r="O32" s="10"/>
      <c r="P32" s="10"/>
      <c r="Q32" s="10"/>
      <c r="R32" s="10"/>
      <c r="S32" s="10"/>
      <c r="T32" s="10"/>
      <c r="U32" s="10"/>
      <c r="V32" s="10"/>
      <c r="W32" s="10"/>
      <c r="X32" s="10"/>
      <c r="Y32" s="10"/>
      <c r="Z32" s="202"/>
    </row>
    <row r="33" spans="1:26" ht="21" customHeight="1" x14ac:dyDescent="0.3">
      <c r="A33" s="10"/>
      <c r="B33" s="199">
        <v>112</v>
      </c>
      <c r="C33" s="207" t="s">
        <v>389</v>
      </c>
      <c r="D33" s="10"/>
      <c r="E33" s="10"/>
      <c r="F33" s="10"/>
      <c r="G33" s="10"/>
      <c r="H33" s="10"/>
      <c r="I33" s="10"/>
      <c r="J33" s="10"/>
      <c r="K33" s="10"/>
      <c r="L33" s="10"/>
      <c r="M33" s="10"/>
      <c r="N33" s="10"/>
      <c r="O33" s="10"/>
      <c r="P33" s="10"/>
      <c r="Q33" s="10"/>
      <c r="R33" s="10"/>
      <c r="S33" s="10"/>
      <c r="T33" s="10"/>
      <c r="U33" s="10"/>
      <c r="V33" s="10"/>
      <c r="W33" s="10"/>
      <c r="X33" s="10"/>
      <c r="Y33" s="10"/>
      <c r="Z33" s="202"/>
    </row>
    <row r="34" spans="1:26" ht="21" customHeight="1" x14ac:dyDescent="0.3">
      <c r="A34" s="10"/>
      <c r="B34" s="199"/>
      <c r="C34" s="206" t="s">
        <v>388</v>
      </c>
      <c r="D34" s="10"/>
      <c r="E34" s="10"/>
      <c r="F34" s="10"/>
      <c r="G34" s="10"/>
      <c r="H34" s="10"/>
      <c r="I34" s="10"/>
      <c r="J34" s="10"/>
      <c r="K34" s="10"/>
      <c r="L34" s="10"/>
      <c r="M34" s="10"/>
      <c r="N34" s="10"/>
      <c r="O34" s="10"/>
      <c r="P34" s="10"/>
      <c r="Q34" s="10"/>
      <c r="R34" s="10"/>
      <c r="S34" s="10"/>
      <c r="T34" s="10"/>
      <c r="U34" s="10"/>
      <c r="V34" s="10"/>
      <c r="W34" s="10"/>
      <c r="X34" s="10"/>
      <c r="Y34" s="10"/>
      <c r="Z34" s="202"/>
    </row>
    <row r="35" spans="1:26" ht="18.75" x14ac:dyDescent="0.3">
      <c r="A35" s="10"/>
      <c r="B35" s="199">
        <v>113</v>
      </c>
      <c r="C35" s="207" t="s">
        <v>391</v>
      </c>
      <c r="D35" s="10"/>
      <c r="E35" s="10"/>
      <c r="F35" s="10"/>
      <c r="G35" s="10"/>
      <c r="H35" s="10"/>
      <c r="I35" s="10"/>
      <c r="J35" s="10"/>
      <c r="K35" s="10"/>
      <c r="L35" s="10"/>
      <c r="M35" s="10"/>
      <c r="N35" s="10"/>
      <c r="O35" s="10"/>
      <c r="P35" s="10"/>
      <c r="Q35" s="10"/>
      <c r="R35" s="10"/>
      <c r="S35" s="10"/>
      <c r="T35" s="10"/>
      <c r="U35" s="10"/>
      <c r="V35" s="10"/>
      <c r="W35" s="10"/>
      <c r="X35" s="10"/>
      <c r="Y35" s="10"/>
      <c r="Z35" s="202"/>
    </row>
    <row r="36" spans="1:26" ht="18.75" x14ac:dyDescent="0.3">
      <c r="A36" s="10"/>
      <c r="B36" s="199"/>
      <c r="C36" s="206" t="s">
        <v>390</v>
      </c>
      <c r="D36" s="10"/>
      <c r="E36" s="10"/>
      <c r="F36" s="10"/>
      <c r="G36" s="10"/>
      <c r="H36" s="10"/>
      <c r="I36" s="10"/>
      <c r="J36" s="10"/>
      <c r="K36" s="10"/>
      <c r="L36" s="10"/>
      <c r="M36" s="10"/>
      <c r="N36" s="10"/>
      <c r="O36" s="10"/>
      <c r="P36" s="10"/>
      <c r="Q36" s="10"/>
      <c r="R36" s="10"/>
      <c r="S36" s="10"/>
      <c r="T36" s="10"/>
      <c r="U36" s="10"/>
      <c r="V36" s="10"/>
      <c r="W36" s="10"/>
      <c r="X36" s="10"/>
      <c r="Y36" s="10"/>
      <c r="Z36" s="202"/>
    </row>
    <row r="37" spans="1:26" ht="18.75" x14ac:dyDescent="0.3">
      <c r="A37" s="10"/>
      <c r="B37" s="199" t="s">
        <v>4</v>
      </c>
      <c r="C37" s="207" t="s">
        <v>392</v>
      </c>
      <c r="D37" s="10"/>
      <c r="E37" s="10"/>
      <c r="F37" s="10"/>
      <c r="G37" s="10"/>
      <c r="H37" s="10"/>
      <c r="I37" s="10"/>
      <c r="J37" s="10"/>
      <c r="K37" s="10"/>
      <c r="L37" s="10"/>
      <c r="M37" s="10"/>
      <c r="N37" s="10"/>
      <c r="O37" s="10"/>
      <c r="P37" s="10"/>
      <c r="Q37" s="10"/>
      <c r="R37" s="10"/>
      <c r="S37" s="10"/>
      <c r="T37" s="10"/>
      <c r="U37" s="10"/>
      <c r="V37" s="10"/>
      <c r="W37" s="10"/>
      <c r="X37" s="10"/>
      <c r="Y37" s="10"/>
      <c r="Z37" s="202"/>
    </row>
    <row r="38" spans="1:26" x14ac:dyDescent="0.25">
      <c r="A38" s="10"/>
      <c r="C38" s="206" t="s">
        <v>393</v>
      </c>
      <c r="D38" s="10"/>
      <c r="E38" s="10"/>
      <c r="F38" s="10"/>
      <c r="G38" s="10"/>
      <c r="H38" s="10"/>
      <c r="I38" s="10"/>
      <c r="J38" s="10"/>
      <c r="K38" s="10"/>
      <c r="L38" s="10"/>
      <c r="M38" s="10"/>
      <c r="N38" s="10"/>
      <c r="O38" s="10"/>
      <c r="P38" s="10"/>
      <c r="Q38" s="10"/>
      <c r="R38" s="10"/>
      <c r="S38" s="10"/>
      <c r="T38" s="10"/>
      <c r="U38" s="10"/>
      <c r="V38" s="10"/>
      <c r="W38" s="10"/>
      <c r="X38" s="10"/>
      <c r="Y38" s="10"/>
      <c r="Z38" s="202"/>
    </row>
    <row r="39" spans="1:26" ht="18.75" x14ac:dyDescent="0.3">
      <c r="A39" s="10"/>
      <c r="B39" s="199" t="s">
        <v>5</v>
      </c>
      <c r="C39" s="207" t="s">
        <v>395</v>
      </c>
      <c r="D39" s="10"/>
      <c r="E39" s="10"/>
      <c r="F39" s="10"/>
      <c r="G39" s="10"/>
      <c r="H39" s="10"/>
      <c r="I39" s="10"/>
      <c r="J39" s="10"/>
      <c r="K39" s="10"/>
      <c r="L39" s="10"/>
      <c r="M39" s="10"/>
      <c r="N39" s="10"/>
      <c r="O39" s="10"/>
      <c r="P39" s="10"/>
      <c r="Q39" s="10"/>
      <c r="R39" s="10"/>
      <c r="S39" s="10"/>
      <c r="T39" s="10"/>
      <c r="U39" s="10"/>
      <c r="V39" s="10"/>
      <c r="W39" s="10"/>
      <c r="X39" s="10"/>
      <c r="Y39" s="10"/>
      <c r="Z39" s="202"/>
    </row>
    <row r="40" spans="1:26" ht="48" x14ac:dyDescent="0.3">
      <c r="A40" s="10"/>
      <c r="B40" s="199"/>
      <c r="C40" s="206" t="s">
        <v>394</v>
      </c>
      <c r="D40" s="10"/>
      <c r="E40" s="10"/>
      <c r="F40" s="10"/>
      <c r="G40" s="10"/>
      <c r="H40" s="10"/>
      <c r="I40" s="10"/>
      <c r="J40" s="10"/>
      <c r="K40" s="10"/>
      <c r="L40" s="10"/>
      <c r="M40" s="10"/>
      <c r="N40" s="10"/>
      <c r="O40" s="10"/>
      <c r="P40" s="10"/>
      <c r="Q40" s="10"/>
      <c r="R40" s="10"/>
      <c r="S40" s="10"/>
      <c r="T40" s="10"/>
      <c r="U40" s="10"/>
      <c r="V40" s="10"/>
      <c r="W40" s="10"/>
      <c r="X40" s="10"/>
      <c r="Y40" s="10"/>
      <c r="Z40" s="202"/>
    </row>
    <row r="41" spans="1:26" ht="18.75" x14ac:dyDescent="0.3">
      <c r="A41" s="10"/>
      <c r="B41" s="196" t="s">
        <v>3</v>
      </c>
      <c r="C41" s="207" t="s">
        <v>17</v>
      </c>
      <c r="D41" s="10"/>
      <c r="E41" s="10"/>
      <c r="F41" s="10"/>
      <c r="G41" s="10"/>
      <c r="H41" s="10"/>
      <c r="I41" s="10"/>
      <c r="J41" s="10"/>
      <c r="K41" s="10"/>
      <c r="L41" s="10"/>
      <c r="M41" s="10"/>
      <c r="N41" s="10"/>
      <c r="O41" s="10"/>
      <c r="P41" s="10"/>
      <c r="Q41" s="10"/>
      <c r="R41" s="10"/>
      <c r="S41" s="10"/>
      <c r="T41" s="10"/>
      <c r="U41" s="10"/>
      <c r="V41" s="10"/>
      <c r="W41" s="10"/>
      <c r="X41" s="10"/>
      <c r="Y41" s="10"/>
      <c r="Z41" s="202"/>
    </row>
    <row r="42" spans="1:26" ht="18.75" x14ac:dyDescent="0.3">
      <c r="A42" s="10"/>
      <c r="B42" s="196" t="s">
        <v>18</v>
      </c>
      <c r="C42" s="207" t="s">
        <v>19</v>
      </c>
      <c r="D42" s="10"/>
      <c r="E42" s="10"/>
      <c r="F42" s="10"/>
      <c r="G42" s="10"/>
      <c r="H42" s="10"/>
      <c r="I42" s="10"/>
      <c r="J42" s="10"/>
      <c r="K42" s="10"/>
      <c r="L42" s="10"/>
      <c r="M42" s="10"/>
      <c r="N42" s="10"/>
      <c r="O42" s="10"/>
      <c r="P42" s="10"/>
      <c r="Q42" s="10"/>
      <c r="R42" s="10"/>
      <c r="S42" s="10"/>
      <c r="T42" s="10"/>
      <c r="U42" s="10"/>
      <c r="V42" s="10"/>
      <c r="W42" s="10"/>
      <c r="X42" s="10"/>
      <c r="Y42" s="10"/>
      <c r="Z42" s="202"/>
    </row>
    <row r="43" spans="1:26" ht="18.75" x14ac:dyDescent="0.3">
      <c r="A43" s="10"/>
      <c r="B43" s="196"/>
      <c r="C43" s="206" t="s">
        <v>404</v>
      </c>
      <c r="D43" s="10"/>
      <c r="E43" s="10"/>
      <c r="F43" s="10"/>
      <c r="G43" s="10"/>
      <c r="H43" s="10"/>
      <c r="I43" s="10"/>
      <c r="J43" s="10"/>
      <c r="K43" s="10"/>
      <c r="L43" s="10"/>
      <c r="M43" s="10"/>
      <c r="N43" s="10"/>
      <c r="O43" s="10"/>
      <c r="P43" s="10"/>
      <c r="Q43" s="10"/>
      <c r="R43" s="10"/>
      <c r="S43" s="10"/>
      <c r="T43" s="10"/>
      <c r="U43" s="10"/>
      <c r="V43" s="10"/>
      <c r="W43" s="10"/>
      <c r="X43" s="10"/>
      <c r="Y43" s="10"/>
      <c r="Z43" s="202"/>
    </row>
    <row r="44" spans="1:26" ht="18.75" x14ac:dyDescent="0.3">
      <c r="A44" s="10"/>
      <c r="B44" s="199" t="s">
        <v>6</v>
      </c>
      <c r="C44" s="208" t="s">
        <v>397</v>
      </c>
      <c r="D44" s="10"/>
      <c r="E44" s="10"/>
      <c r="F44" s="10"/>
      <c r="G44" s="10"/>
      <c r="H44" s="10"/>
      <c r="I44" s="10"/>
      <c r="J44" s="10"/>
      <c r="K44" s="10"/>
      <c r="L44" s="10"/>
      <c r="M44" s="10"/>
      <c r="N44" s="10"/>
      <c r="O44" s="10"/>
      <c r="P44" s="10"/>
      <c r="Q44" s="10"/>
      <c r="R44" s="10"/>
      <c r="S44" s="10"/>
      <c r="T44" s="10"/>
      <c r="U44" s="10"/>
      <c r="V44" s="10"/>
      <c r="W44" s="10"/>
      <c r="X44" s="10"/>
      <c r="Y44" s="10"/>
      <c r="Z44" s="202"/>
    </row>
    <row r="45" spans="1:26" ht="32.25" x14ac:dyDescent="0.3">
      <c r="A45" s="10"/>
      <c r="B45" s="199"/>
      <c r="C45" s="206" t="s">
        <v>396</v>
      </c>
      <c r="D45" s="10"/>
      <c r="E45" s="10"/>
      <c r="F45" s="10"/>
      <c r="G45" s="10"/>
      <c r="H45" s="10"/>
      <c r="I45" s="10"/>
      <c r="J45" s="10"/>
      <c r="K45" s="10"/>
      <c r="L45" s="10"/>
      <c r="M45" s="10"/>
      <c r="N45" s="10"/>
      <c r="O45" s="10"/>
      <c r="P45" s="10"/>
      <c r="Q45" s="10"/>
      <c r="R45" s="10"/>
      <c r="S45" s="10"/>
      <c r="T45" s="10"/>
      <c r="U45" s="10"/>
      <c r="V45" s="10"/>
      <c r="W45" s="10"/>
      <c r="X45" s="10"/>
      <c r="Y45" s="10"/>
      <c r="Z45" s="202"/>
    </row>
    <row r="46" spans="1:26" ht="18.75" x14ac:dyDescent="0.3">
      <c r="A46" s="10"/>
      <c r="B46" s="199" t="s">
        <v>7</v>
      </c>
      <c r="C46" s="207" t="s">
        <v>21</v>
      </c>
      <c r="D46" s="10"/>
      <c r="E46" s="10"/>
      <c r="F46" s="10"/>
      <c r="G46" s="10"/>
      <c r="H46" s="10"/>
      <c r="I46" s="10"/>
      <c r="J46" s="10"/>
      <c r="K46" s="10"/>
      <c r="L46" s="10"/>
      <c r="M46" s="10"/>
      <c r="N46" s="10"/>
      <c r="O46" s="10"/>
      <c r="P46" s="10"/>
      <c r="Q46" s="10"/>
      <c r="R46" s="10"/>
      <c r="S46" s="10"/>
      <c r="T46" s="10"/>
      <c r="U46" s="10"/>
      <c r="V46" s="10"/>
      <c r="W46" s="10"/>
      <c r="X46" s="10"/>
      <c r="Y46" s="10"/>
      <c r="Z46" s="202"/>
    </row>
    <row r="47" spans="1:26" ht="47.25" x14ac:dyDescent="0.3">
      <c r="A47" s="10"/>
      <c r="B47" s="199"/>
      <c r="C47" s="209" t="s">
        <v>398</v>
      </c>
      <c r="D47" s="10"/>
      <c r="E47" s="10"/>
      <c r="F47" s="10"/>
      <c r="G47" s="10"/>
      <c r="H47" s="10"/>
      <c r="I47" s="10"/>
      <c r="J47" s="10"/>
      <c r="K47" s="10"/>
      <c r="L47" s="10"/>
      <c r="M47" s="10"/>
      <c r="N47" s="10"/>
      <c r="O47" s="10"/>
      <c r="P47" s="10"/>
      <c r="Q47" s="10"/>
      <c r="R47" s="10"/>
      <c r="S47" s="10"/>
      <c r="T47" s="10"/>
      <c r="U47" s="10"/>
      <c r="V47" s="10"/>
      <c r="W47" s="10"/>
      <c r="X47" s="10"/>
      <c r="Y47" s="10"/>
      <c r="Z47" s="202"/>
    </row>
    <row r="48" spans="1:26" ht="18.75" x14ac:dyDescent="0.3">
      <c r="A48" s="10"/>
      <c r="B48" s="199" t="s">
        <v>8</v>
      </c>
      <c r="C48" s="207" t="s">
        <v>400</v>
      </c>
      <c r="D48" s="10"/>
      <c r="E48" s="10"/>
      <c r="F48" s="10"/>
      <c r="G48" s="10"/>
      <c r="H48" s="10"/>
      <c r="I48" s="10"/>
      <c r="J48" s="10"/>
      <c r="K48" s="10"/>
      <c r="L48" s="10"/>
      <c r="M48" s="10"/>
      <c r="N48" s="10"/>
      <c r="O48" s="10"/>
      <c r="P48" s="10"/>
      <c r="Q48" s="10"/>
      <c r="R48" s="10"/>
      <c r="S48" s="10"/>
      <c r="T48" s="10"/>
      <c r="U48" s="10"/>
      <c r="V48" s="10"/>
      <c r="W48" s="10"/>
      <c r="X48" s="10"/>
      <c r="Y48" s="10"/>
      <c r="Z48" s="202"/>
    </row>
    <row r="49" spans="1:26" ht="31.5" x14ac:dyDescent="0.25">
      <c r="A49" s="10"/>
      <c r="B49" s="10"/>
      <c r="C49" s="197" t="s">
        <v>399</v>
      </c>
      <c r="D49" s="10"/>
      <c r="E49" s="10"/>
      <c r="F49" s="10"/>
      <c r="G49" s="10"/>
      <c r="H49" s="10"/>
      <c r="I49" s="10"/>
      <c r="J49" s="10"/>
      <c r="K49" s="10"/>
      <c r="L49" s="10"/>
      <c r="M49" s="10"/>
      <c r="N49" s="10"/>
      <c r="O49" s="10"/>
      <c r="P49" s="10"/>
      <c r="Q49" s="10"/>
      <c r="R49" s="10"/>
      <c r="S49" s="10"/>
      <c r="T49" s="10"/>
      <c r="U49" s="10"/>
      <c r="V49" s="10"/>
      <c r="W49" s="10"/>
      <c r="X49" s="10"/>
      <c r="Y49" s="10"/>
      <c r="Z49" s="202"/>
    </row>
    <row r="50" spans="1:26" ht="18.75" x14ac:dyDescent="0.3">
      <c r="A50" s="10"/>
      <c r="B50" s="199" t="s">
        <v>9</v>
      </c>
      <c r="C50" s="207" t="s">
        <v>23</v>
      </c>
      <c r="D50" s="10"/>
      <c r="E50" s="10"/>
      <c r="F50" s="10"/>
      <c r="G50" s="10"/>
      <c r="H50" s="10"/>
      <c r="I50" s="10"/>
      <c r="J50" s="10"/>
      <c r="K50" s="10"/>
      <c r="L50" s="10"/>
      <c r="M50" s="10"/>
      <c r="N50" s="10"/>
      <c r="O50" s="10"/>
      <c r="P50" s="10"/>
      <c r="Q50" s="10"/>
      <c r="R50" s="10"/>
      <c r="S50" s="10"/>
      <c r="T50" s="10"/>
      <c r="U50" s="10"/>
      <c r="V50" s="10"/>
      <c r="W50" s="10"/>
      <c r="X50" s="10"/>
      <c r="Y50" s="10"/>
      <c r="Z50" s="202"/>
    </row>
    <row r="51" spans="1:26" ht="18.75" x14ac:dyDescent="0.3">
      <c r="A51" s="10"/>
      <c r="B51" s="199"/>
      <c r="C51" s="210" t="s">
        <v>407</v>
      </c>
      <c r="D51" s="10"/>
      <c r="E51" s="10"/>
      <c r="F51" s="10"/>
      <c r="G51" s="10"/>
      <c r="H51" s="10"/>
      <c r="I51" s="10"/>
      <c r="J51" s="10"/>
      <c r="K51" s="10"/>
      <c r="L51" s="10"/>
      <c r="M51" s="10"/>
      <c r="N51" s="10"/>
      <c r="O51" s="10"/>
      <c r="P51" s="10"/>
      <c r="Q51" s="10"/>
      <c r="R51" s="10"/>
      <c r="S51" s="10"/>
      <c r="T51" s="10"/>
      <c r="U51" s="10"/>
      <c r="V51" s="10"/>
      <c r="W51" s="10"/>
      <c r="X51" s="10"/>
      <c r="Y51" s="10"/>
      <c r="Z51" s="202"/>
    </row>
    <row r="52" spans="1:26" ht="18.75" x14ac:dyDescent="0.3">
      <c r="A52" s="10"/>
      <c r="B52" s="199" t="s">
        <v>10</v>
      </c>
      <c r="C52" s="207" t="s">
        <v>401</v>
      </c>
      <c r="D52" s="10"/>
      <c r="E52" s="10"/>
      <c r="F52" s="10"/>
      <c r="G52" s="10"/>
      <c r="H52" s="10"/>
      <c r="I52" s="10"/>
      <c r="J52" s="10"/>
      <c r="K52" s="10"/>
      <c r="L52" s="10"/>
      <c r="M52" s="10"/>
      <c r="N52" s="10"/>
      <c r="O52" s="10"/>
      <c r="P52" s="10"/>
      <c r="Q52" s="10"/>
      <c r="R52" s="10"/>
      <c r="S52" s="10"/>
      <c r="T52" s="10"/>
      <c r="U52" s="10"/>
      <c r="V52" s="10"/>
      <c r="W52" s="10"/>
      <c r="X52" s="10"/>
      <c r="Y52" s="10"/>
      <c r="Z52" s="202"/>
    </row>
    <row r="53" spans="1:26" ht="18.75" x14ac:dyDescent="0.3">
      <c r="A53" s="10"/>
      <c r="B53" s="199"/>
      <c r="C53" s="210" t="s">
        <v>408</v>
      </c>
      <c r="D53" s="10"/>
      <c r="E53" s="10"/>
      <c r="F53" s="10"/>
      <c r="G53" s="10"/>
      <c r="H53" s="10"/>
      <c r="I53" s="10"/>
      <c r="J53" s="10"/>
      <c r="K53" s="10"/>
      <c r="L53" s="10"/>
      <c r="M53" s="10"/>
      <c r="N53" s="10"/>
      <c r="O53" s="10"/>
      <c r="P53" s="10"/>
      <c r="Q53" s="10"/>
      <c r="R53" s="10"/>
      <c r="S53" s="10"/>
      <c r="T53" s="10"/>
      <c r="U53" s="10"/>
      <c r="V53" s="10"/>
      <c r="W53" s="10"/>
      <c r="X53" s="10"/>
      <c r="Y53" s="10"/>
      <c r="Z53" s="202"/>
    </row>
    <row r="54" spans="1:26" ht="18.75" x14ac:dyDescent="0.3">
      <c r="A54" s="10"/>
      <c r="B54" s="199">
        <v>640</v>
      </c>
      <c r="C54" s="207" t="s">
        <v>25</v>
      </c>
      <c r="D54" s="10"/>
      <c r="E54" s="10"/>
      <c r="F54" s="10"/>
      <c r="G54" s="10"/>
      <c r="H54" s="10"/>
      <c r="I54" s="10"/>
      <c r="J54" s="10"/>
      <c r="K54" s="10"/>
      <c r="L54" s="10"/>
      <c r="M54" s="10"/>
      <c r="N54" s="10"/>
      <c r="O54" s="10"/>
      <c r="P54" s="10"/>
      <c r="Q54" s="10"/>
      <c r="R54" s="10"/>
      <c r="S54" s="10"/>
      <c r="T54" s="10"/>
      <c r="U54" s="10"/>
      <c r="V54" s="10"/>
      <c r="W54" s="10"/>
      <c r="X54" s="10"/>
      <c r="Y54" s="10"/>
      <c r="Z54" s="202"/>
    </row>
    <row r="55" spans="1:26" ht="18.75" x14ac:dyDescent="0.3">
      <c r="A55" s="10"/>
      <c r="B55" s="199"/>
      <c r="C55" s="197" t="s">
        <v>402</v>
      </c>
      <c r="D55" s="10"/>
      <c r="E55" s="10"/>
      <c r="F55" s="10"/>
      <c r="G55" s="10"/>
      <c r="H55" s="10"/>
      <c r="I55" s="10"/>
      <c r="J55" s="10"/>
      <c r="K55" s="10"/>
      <c r="L55" s="10"/>
      <c r="M55" s="10"/>
      <c r="N55" s="10"/>
      <c r="O55" s="10"/>
      <c r="P55" s="10"/>
      <c r="Q55" s="10"/>
      <c r="R55" s="10"/>
      <c r="S55" s="10"/>
      <c r="T55" s="10"/>
      <c r="U55" s="10"/>
      <c r="V55" s="10"/>
      <c r="W55" s="10"/>
      <c r="X55" s="10"/>
      <c r="Y55" s="10"/>
      <c r="Z55" s="202"/>
    </row>
    <row r="56" spans="1:26" ht="18.75" x14ac:dyDescent="0.3">
      <c r="A56" s="10"/>
      <c r="B56" s="199" t="s">
        <v>11</v>
      </c>
      <c r="C56" s="207" t="s">
        <v>403</v>
      </c>
      <c r="D56" s="10"/>
      <c r="E56" s="10"/>
      <c r="F56" s="10"/>
      <c r="G56" s="10"/>
      <c r="H56" s="10"/>
      <c r="I56" s="10"/>
      <c r="J56" s="10"/>
      <c r="K56" s="10"/>
      <c r="L56" s="10"/>
      <c r="M56" s="10"/>
      <c r="N56" s="10"/>
      <c r="O56" s="10"/>
      <c r="P56" s="10"/>
      <c r="Q56" s="10"/>
      <c r="R56" s="10"/>
      <c r="S56" s="10"/>
      <c r="T56" s="10"/>
      <c r="U56" s="10"/>
      <c r="V56" s="10"/>
      <c r="W56" s="10"/>
      <c r="X56" s="10"/>
      <c r="Y56" s="10"/>
      <c r="Z56" s="202"/>
    </row>
    <row r="57" spans="1:26" ht="18.75" x14ac:dyDescent="0.3">
      <c r="A57" s="10"/>
      <c r="B57" s="199" t="s">
        <v>346</v>
      </c>
      <c r="C57" s="207" t="s">
        <v>348</v>
      </c>
      <c r="D57" s="10"/>
      <c r="E57" s="10"/>
      <c r="F57" s="10"/>
      <c r="G57" s="10"/>
      <c r="H57" s="10"/>
      <c r="I57" s="10"/>
      <c r="J57" s="10"/>
      <c r="K57" s="10"/>
      <c r="L57" s="10"/>
      <c r="M57" s="10"/>
      <c r="N57" s="10"/>
      <c r="O57" s="10"/>
      <c r="P57" s="10"/>
      <c r="Q57" s="10"/>
      <c r="R57" s="10"/>
      <c r="S57" s="10"/>
      <c r="T57" s="10"/>
      <c r="U57" s="10"/>
      <c r="V57" s="10"/>
      <c r="W57" s="10"/>
      <c r="X57" s="10"/>
      <c r="Y57" s="10"/>
      <c r="Z57" s="202"/>
    </row>
    <row r="58" spans="1:26" ht="18.75" x14ac:dyDescent="0.3">
      <c r="A58" s="10"/>
      <c r="B58" s="199" t="s">
        <v>344</v>
      </c>
      <c r="C58" s="207" t="s">
        <v>349</v>
      </c>
      <c r="D58" s="10"/>
      <c r="E58" s="10"/>
      <c r="F58" s="10"/>
      <c r="G58" s="10"/>
      <c r="H58" s="10"/>
      <c r="I58" s="10"/>
      <c r="J58" s="10"/>
      <c r="K58" s="10"/>
      <c r="L58" s="10"/>
      <c r="M58" s="10"/>
      <c r="N58" s="10"/>
      <c r="O58" s="10"/>
      <c r="P58" s="10"/>
      <c r="Q58" s="10"/>
      <c r="R58" s="10"/>
      <c r="S58" s="10"/>
      <c r="T58" s="10"/>
      <c r="U58" s="10"/>
      <c r="V58" s="10"/>
      <c r="W58" s="10"/>
      <c r="X58" s="10"/>
      <c r="Y58" s="10"/>
      <c r="Z58" s="202"/>
    </row>
  </sheetData>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79"/>
  <sheetViews>
    <sheetView zoomScaleNormal="100" workbookViewId="0">
      <pane ySplit="1" topLeftCell="A2" activePane="bottomLeft" state="frozen"/>
      <selection pane="bottomLeft" activeCell="F7" sqref="F7"/>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t="str">
        <f>IF(G4="Y",'START HERE'!E9,('START HERE'!E6))</f>
        <v>Total Allocation</v>
      </c>
      <c r="G4" s="191" t="str">
        <f>VLOOKUP('START HERE'!$F$2, Y1Wrksht!B1:I288,8, 0)</f>
        <v>Charter</v>
      </c>
      <c r="H4" s="192" t="str">
        <f>IF(G4="Y", "Charter Allocation", "[District Activities + Administrative Costs]")</f>
        <v>[District Activities + Administrative Costs]</v>
      </c>
    </row>
    <row r="5" spans="1:8" x14ac:dyDescent="0.35">
      <c r="A5" s="147"/>
      <c r="B5" s="148"/>
      <c r="C5" s="148"/>
      <c r="D5" s="148"/>
      <c r="E5" s="144" t="s">
        <v>28</v>
      </c>
      <c r="F5" s="5">
        <f>(SUM(F10:F79))</f>
        <v>0</v>
      </c>
      <c r="G5" s="186" t="str">
        <f>IF((SUM(F9:F79)-(SUMIF(C9:C79,"ADMIN", (F9:F79))))&gt;'START HERE'!E6, "Y", "")</f>
        <v/>
      </c>
      <c r="H5" s="193" t="str">
        <f>IF(G5 = "Y", "Budgeted Activities Exceed District Allocation", "")</f>
        <v/>
      </c>
    </row>
    <row r="6" spans="1:8" x14ac:dyDescent="0.35">
      <c r="A6" s="147"/>
      <c r="B6" s="148"/>
      <c r="C6" s="148"/>
      <c r="D6" s="148"/>
      <c r="E6" s="144" t="s">
        <v>384</v>
      </c>
      <c r="F6" s="190">
        <f>(SUMIF(C9:C79,"ADMIN", (F9:F79)))</f>
        <v>1350</v>
      </c>
      <c r="G6" s="194" t="str">
        <f>IF((F6&gt;='START HERE'!$E$7),"Y","N")</f>
        <v>N</v>
      </c>
      <c r="H6" s="193" t="str">
        <f>IF(G6 ="Y", "Total administrative costs exceeded", "")</f>
        <v/>
      </c>
    </row>
    <row r="7" spans="1:8" x14ac:dyDescent="0.35">
      <c r="A7" s="147"/>
      <c r="B7" s="148"/>
      <c r="C7" s="148"/>
      <c r="D7" s="148"/>
      <c r="E7" s="144" t="s">
        <v>32</v>
      </c>
      <c r="F7" s="190" t="e">
        <f>(F4)-(F5+F6)</f>
        <v>#VALUE!</v>
      </c>
      <c r="G7" s="186"/>
      <c r="H7" s="10"/>
    </row>
    <row r="8" spans="1:8" x14ac:dyDescent="0.35">
      <c r="B8" s="12"/>
      <c r="C8" s="12"/>
      <c r="D8" s="12"/>
      <c r="E8" s="13" t="s">
        <v>26</v>
      </c>
      <c r="F8" s="10"/>
      <c r="G8" s="10"/>
    </row>
    <row r="9" spans="1:8" ht="21.95" customHeight="1" x14ac:dyDescent="0.25">
      <c r="A9" s="4">
        <v>1</v>
      </c>
      <c r="B9" s="4"/>
      <c r="C9" s="4" t="s">
        <v>346</v>
      </c>
      <c r="D9" s="4"/>
      <c r="E9" s="7"/>
      <c r="F9" s="9">
        <v>1350</v>
      </c>
      <c r="G9" s="11"/>
      <c r="H9" s="143"/>
    </row>
    <row r="10" spans="1:8" ht="21.95" customHeight="1" x14ac:dyDescent="0.25">
      <c r="A10" s="4" t="str">
        <f t="shared" ref="A10:A41" si="0">IF(E9 &lt;&gt;"", (A9+1),"")</f>
        <v/>
      </c>
      <c r="B10" s="131"/>
      <c r="C10" s="4"/>
      <c r="D10" s="4"/>
      <c r="E10" s="7"/>
      <c r="F10" s="9"/>
      <c r="G10" s="11"/>
      <c r="H10" s="143"/>
    </row>
    <row r="11" spans="1:8" ht="21.95" customHeight="1" x14ac:dyDescent="0.25">
      <c r="A11" s="4" t="str">
        <f t="shared" si="0"/>
        <v/>
      </c>
      <c r="B11" s="4"/>
      <c r="C11" s="4"/>
      <c r="D11" s="4"/>
      <c r="E11" s="7"/>
      <c r="F11" s="9"/>
      <c r="G11" s="11"/>
      <c r="H11" s="143"/>
    </row>
    <row r="12" spans="1:8" ht="21.95" customHeight="1" x14ac:dyDescent="0.25">
      <c r="A12" s="4" t="str">
        <f t="shared" si="0"/>
        <v/>
      </c>
      <c r="B12" s="4"/>
      <c r="C12" s="4"/>
      <c r="D12" s="4"/>
      <c r="E12" s="7"/>
      <c r="F12" s="9"/>
      <c r="G12" s="11"/>
      <c r="H12" s="143"/>
    </row>
    <row r="13" spans="1:8" ht="21.95" customHeight="1" x14ac:dyDescent="0.25">
      <c r="A13" s="4" t="str">
        <f t="shared" si="0"/>
        <v/>
      </c>
      <c r="B13" s="4"/>
      <c r="C13" s="4"/>
      <c r="D13" s="4"/>
      <c r="E13" s="7"/>
      <c r="F13" s="9"/>
      <c r="G13" s="11"/>
      <c r="H13" s="143"/>
    </row>
    <row r="14" spans="1:8" ht="21.95" customHeight="1" x14ac:dyDescent="0.25">
      <c r="A14" s="4" t="str">
        <f t="shared" si="0"/>
        <v/>
      </c>
      <c r="B14" s="4"/>
      <c r="C14" s="4"/>
      <c r="D14" s="4"/>
      <c r="E14" s="7"/>
      <c r="F14" s="9"/>
      <c r="G14" s="11"/>
      <c r="H14" s="143"/>
    </row>
    <row r="15" spans="1:8" ht="21.95" customHeight="1" x14ac:dyDescent="0.25">
      <c r="A15" s="4" t="str">
        <f t="shared" si="0"/>
        <v/>
      </c>
      <c r="B15" s="4"/>
      <c r="C15" s="4"/>
      <c r="D15" s="4"/>
      <c r="E15" s="7"/>
      <c r="F15" s="9"/>
      <c r="G15" s="11"/>
      <c r="H15" s="143"/>
    </row>
    <row r="16" spans="1:8" ht="21.95" customHeight="1" x14ac:dyDescent="0.25">
      <c r="A16" s="4" t="str">
        <f t="shared" si="0"/>
        <v/>
      </c>
      <c r="B16" s="4"/>
      <c r="C16" s="4"/>
      <c r="D16" s="4"/>
      <c r="E16" s="7"/>
      <c r="F16" s="9"/>
      <c r="G16" s="11"/>
      <c r="H16" s="143"/>
    </row>
    <row r="17" spans="1:8" ht="21.95" customHeight="1" x14ac:dyDescent="0.25">
      <c r="A17" s="4" t="str">
        <f t="shared" si="0"/>
        <v/>
      </c>
      <c r="B17" s="4"/>
      <c r="C17" s="4"/>
      <c r="D17" s="4"/>
      <c r="E17" s="7"/>
      <c r="F17" s="9"/>
      <c r="G17" s="11"/>
      <c r="H17" s="143"/>
    </row>
    <row r="18" spans="1:8" ht="21.95" customHeight="1" x14ac:dyDescent="0.25">
      <c r="A18" s="4" t="str">
        <f t="shared" si="0"/>
        <v/>
      </c>
      <c r="B18" s="4"/>
      <c r="C18" s="4"/>
      <c r="D18" s="4"/>
      <c r="E18" s="7"/>
      <c r="F18" s="9"/>
      <c r="G18" s="11"/>
      <c r="H18" s="143"/>
    </row>
    <row r="19" spans="1:8" ht="21.95" customHeight="1" x14ac:dyDescent="0.25">
      <c r="A19" s="4" t="str">
        <f t="shared" si="0"/>
        <v/>
      </c>
      <c r="B19" s="4"/>
      <c r="C19" s="4"/>
      <c r="D19" s="4"/>
      <c r="E19" s="7"/>
      <c r="F19" s="9"/>
      <c r="G19" s="11"/>
      <c r="H19" s="143"/>
    </row>
    <row r="20" spans="1:8" ht="21.95" customHeight="1" x14ac:dyDescent="0.25">
      <c r="A20" s="4" t="str">
        <f t="shared" si="0"/>
        <v/>
      </c>
      <c r="B20" s="4"/>
      <c r="C20" s="4"/>
      <c r="D20" s="4"/>
      <c r="E20" s="7"/>
      <c r="F20" s="9"/>
      <c r="G20" s="11"/>
      <c r="H20" s="143"/>
    </row>
    <row r="21" spans="1:8" ht="21.95" customHeight="1" x14ac:dyDescent="0.25">
      <c r="A21" s="4" t="str">
        <f t="shared" si="0"/>
        <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D9:D52</xm:sqref>
        </x14:dataValidation>
        <x14:dataValidation type="list" showInputMessage="1" showErrorMessage="1">
          <x14:formula1>
            <xm:f>CODES!$B$1:$B$7</xm:f>
          </x14:formula1>
          <xm:sqref>C9:C52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79"/>
  <sheetViews>
    <sheetView workbookViewId="0">
      <pane ySplit="1" topLeftCell="A2" activePane="bottomLeft" state="frozen"/>
      <selection pane="bottomLeft" activeCell="F7" sqref="F7"/>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t="str">
        <f>IF(G4="Y",'START HERE'!F9,('START HERE'!F6))</f>
        <v>Total Allocation</v>
      </c>
      <c r="G4" s="189" t="str">
        <f>VLOOKUP('START HERE'!$F$2, Y1Wrksht!B1:I288,8, 0)</f>
        <v>Charter</v>
      </c>
      <c r="H4" s="192" t="str">
        <f>IF(G4="Y", "Charter Allocation", "[District Activities + Administrative Costs]")</f>
        <v>[District Activities + Administrative Costs]</v>
      </c>
    </row>
    <row r="5" spans="1:8" x14ac:dyDescent="0.35">
      <c r="A5" s="147"/>
      <c r="B5" s="148"/>
      <c r="C5" s="148"/>
      <c r="D5" s="148"/>
      <c r="E5" s="144" t="s">
        <v>28</v>
      </c>
      <c r="F5" s="5">
        <f>(SUM(F9:F79)-F6)</f>
        <v>0</v>
      </c>
      <c r="G5" s="187" t="str">
        <f>IF((SUM(F9:F79)-(SUMIF(C9:C79,"ADMIN", (F9:F79))))&gt;'START HERE'!F8, "Y", "")</f>
        <v/>
      </c>
      <c r="H5" s="193" t="str">
        <f>IF(G5 = "Y", "Budgeted Activities Exceed District Allocation", "")</f>
        <v/>
      </c>
    </row>
    <row r="6" spans="1:8" x14ac:dyDescent="0.35">
      <c r="A6" s="147"/>
      <c r="B6" s="148"/>
      <c r="C6" s="148"/>
      <c r="D6" s="148"/>
      <c r="E6" s="144" t="s">
        <v>384</v>
      </c>
      <c r="F6" s="190">
        <f>(SUMIF(C9:C79,"ADMIN", (F9:F79)))</f>
        <v>1400</v>
      </c>
      <c r="G6" s="188" t="str">
        <f>IF((F6&gt;='START HERE'!$F$7),"Y","N")</f>
        <v>N</v>
      </c>
      <c r="H6" s="193" t="str">
        <f>IF(G6 ="Y", "Total administrative costs exceeded", "")</f>
        <v/>
      </c>
    </row>
    <row r="7" spans="1:8" x14ac:dyDescent="0.35">
      <c r="A7" s="147"/>
      <c r="B7" s="148"/>
      <c r="C7" s="148"/>
      <c r="D7" s="148"/>
      <c r="E7" s="144" t="s">
        <v>32</v>
      </c>
      <c r="F7" s="190" t="e">
        <f>(F4)-(F5+F6)</f>
        <v>#VALUE!</v>
      </c>
      <c r="G7" s="10"/>
      <c r="H7" s="10"/>
    </row>
    <row r="8" spans="1:8" x14ac:dyDescent="0.35">
      <c r="B8" s="12"/>
      <c r="C8" s="12"/>
      <c r="D8" s="12"/>
      <c r="E8" s="13" t="s">
        <v>26</v>
      </c>
      <c r="F8" s="10"/>
      <c r="G8" s="10"/>
    </row>
    <row r="9" spans="1:8" ht="21.95" customHeight="1" x14ac:dyDescent="0.25">
      <c r="A9" s="4">
        <v>1</v>
      </c>
      <c r="B9" s="4"/>
      <c r="C9" s="4" t="s">
        <v>346</v>
      </c>
      <c r="D9" s="4"/>
      <c r="E9" s="7"/>
      <c r="F9" s="9">
        <v>1400</v>
      </c>
      <c r="G9" s="11"/>
      <c r="H9" s="143"/>
    </row>
    <row r="10" spans="1:8" ht="21.95" customHeight="1" x14ac:dyDescent="0.25">
      <c r="A10" s="4" t="str">
        <f t="shared" ref="A10:A41" si="0">IF(E9 &lt;&gt;"", (A9+1),"")</f>
        <v/>
      </c>
      <c r="B10" s="131"/>
      <c r="C10" s="4"/>
      <c r="D10" s="4"/>
      <c r="E10" s="7"/>
      <c r="F10" s="9"/>
      <c r="G10" s="11"/>
      <c r="H10" s="143"/>
    </row>
    <row r="11" spans="1:8" ht="21.95" customHeight="1" x14ac:dyDescent="0.25">
      <c r="A11" s="4" t="str">
        <f t="shared" si="0"/>
        <v/>
      </c>
      <c r="B11" s="4"/>
      <c r="C11" s="4"/>
      <c r="D11" s="4"/>
      <c r="E11" s="7"/>
      <c r="F11" s="9"/>
      <c r="G11" s="11"/>
      <c r="H11" s="143"/>
    </row>
    <row r="12" spans="1:8" ht="21.95" customHeight="1" x14ac:dyDescent="0.25">
      <c r="A12" s="4" t="str">
        <f t="shared" si="0"/>
        <v/>
      </c>
      <c r="B12" s="4"/>
      <c r="C12" s="4"/>
      <c r="D12" s="4"/>
      <c r="E12" s="7"/>
      <c r="F12" s="9"/>
      <c r="G12" s="11"/>
      <c r="H12" s="143"/>
    </row>
    <row r="13" spans="1:8" ht="21.95" customHeight="1" x14ac:dyDescent="0.25">
      <c r="A13" s="4" t="str">
        <f t="shared" si="0"/>
        <v/>
      </c>
      <c r="B13" s="4"/>
      <c r="C13" s="4"/>
      <c r="D13" s="4"/>
      <c r="E13" s="7"/>
      <c r="F13" s="9"/>
      <c r="G13" s="11"/>
      <c r="H13" s="143"/>
    </row>
    <row r="14" spans="1:8" ht="21.95" customHeight="1" x14ac:dyDescent="0.25">
      <c r="A14" s="4" t="str">
        <f t="shared" si="0"/>
        <v/>
      </c>
      <c r="B14" s="4"/>
      <c r="C14" s="4"/>
      <c r="D14" s="4"/>
      <c r="E14" s="7"/>
      <c r="F14" s="9"/>
      <c r="G14" s="11"/>
      <c r="H14" s="143"/>
    </row>
    <row r="15" spans="1:8" ht="21.95" customHeight="1" x14ac:dyDescent="0.25">
      <c r="A15" s="4" t="str">
        <f t="shared" si="0"/>
        <v/>
      </c>
      <c r="B15" s="4"/>
      <c r="C15" s="4"/>
      <c r="D15" s="4"/>
      <c r="E15" s="7"/>
      <c r="F15" s="9"/>
      <c r="G15" s="11"/>
      <c r="H15" s="143"/>
    </row>
    <row r="16" spans="1:8" ht="21.95" customHeight="1" x14ac:dyDescent="0.25">
      <c r="A16" s="4" t="str">
        <f t="shared" si="0"/>
        <v/>
      </c>
      <c r="B16" s="4"/>
      <c r="C16" s="4"/>
      <c r="D16" s="4"/>
      <c r="E16" s="7"/>
      <c r="F16" s="9"/>
      <c r="G16" s="11"/>
      <c r="H16" s="143"/>
    </row>
    <row r="17" spans="1:8" ht="21.95" customHeight="1" x14ac:dyDescent="0.25">
      <c r="A17" s="4" t="str">
        <f t="shared" si="0"/>
        <v/>
      </c>
      <c r="B17" s="4"/>
      <c r="C17" s="4"/>
      <c r="D17" s="4"/>
      <c r="E17" s="7"/>
      <c r="F17" s="9"/>
      <c r="G17" s="11"/>
      <c r="H17" s="143"/>
    </row>
    <row r="18" spans="1:8" ht="21.95" customHeight="1" x14ac:dyDescent="0.25">
      <c r="A18" s="4" t="str">
        <f t="shared" si="0"/>
        <v/>
      </c>
      <c r="B18" s="4"/>
      <c r="C18" s="4"/>
      <c r="D18" s="4"/>
      <c r="E18" s="7"/>
      <c r="F18" s="9"/>
      <c r="G18" s="11"/>
      <c r="H18" s="143"/>
    </row>
    <row r="19" spans="1:8" ht="21.95" customHeight="1" x14ac:dyDescent="0.25">
      <c r="A19" s="4" t="str">
        <f t="shared" si="0"/>
        <v/>
      </c>
      <c r="B19" s="4"/>
      <c r="C19" s="4"/>
      <c r="D19" s="4"/>
      <c r="E19" s="7"/>
      <c r="F19" s="9"/>
      <c r="G19" s="11"/>
      <c r="H19" s="143"/>
    </row>
    <row r="20" spans="1:8" ht="21.95" customHeight="1" x14ac:dyDescent="0.25">
      <c r="A20" s="4" t="str">
        <f t="shared" si="0"/>
        <v/>
      </c>
      <c r="B20" s="4"/>
      <c r="C20" s="4"/>
      <c r="D20" s="4"/>
      <c r="E20" s="7"/>
      <c r="F20" s="9"/>
      <c r="G20" s="11"/>
      <c r="H20" s="143"/>
    </row>
    <row r="21" spans="1:8" ht="21.95" customHeight="1" x14ac:dyDescent="0.25">
      <c r="A21" s="4" t="str">
        <f t="shared" si="0"/>
        <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CODES!$B$1:$B$7</xm:f>
          </x14:formula1>
          <xm:sqref>C9:C52</xm:sqref>
        </x14:dataValidation>
        <x14:dataValidation type="list" showInputMessage="1" showErrorMessage="1">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opLeftCell="A13" workbookViewId="0">
      <selection activeCell="C58" sqref="C58"/>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4" customWidth="1"/>
    <col min="8" max="8" width="18.5" customWidth="1"/>
    <col min="9" max="9" width="19.375" customWidth="1"/>
  </cols>
  <sheetData>
    <row r="1" spans="1:10" x14ac:dyDescent="0.25">
      <c r="A1" s="10"/>
      <c r="B1" s="10"/>
      <c r="C1" s="10"/>
      <c r="D1" s="10"/>
      <c r="E1" s="10"/>
      <c r="F1" s="10"/>
      <c r="G1" s="133"/>
      <c r="H1" s="10"/>
      <c r="I1" s="10"/>
      <c r="J1" s="10"/>
    </row>
    <row r="2" spans="1:10" ht="18.75" x14ac:dyDescent="0.3">
      <c r="A2" s="10"/>
      <c r="B2" s="196" t="s">
        <v>405</v>
      </c>
      <c r="C2" s="10"/>
      <c r="D2" s="10"/>
      <c r="E2" s="10"/>
      <c r="F2" s="10"/>
      <c r="G2" s="133"/>
      <c r="H2" s="10"/>
      <c r="I2" s="10"/>
      <c r="J2" s="10"/>
    </row>
    <row r="3" spans="1:10" ht="23.1" customHeight="1" x14ac:dyDescent="0.25">
      <c r="A3" s="10"/>
      <c r="B3" s="121" t="s">
        <v>330</v>
      </c>
      <c r="C3" s="121" t="s">
        <v>331</v>
      </c>
      <c r="D3" s="121" t="s">
        <v>332</v>
      </c>
      <c r="E3" s="121" t="s">
        <v>333</v>
      </c>
      <c r="F3" s="10"/>
      <c r="G3" s="121" t="s">
        <v>342</v>
      </c>
      <c r="H3" s="121" t="s">
        <v>332</v>
      </c>
      <c r="I3" s="121" t="s">
        <v>333</v>
      </c>
      <c r="J3" s="10"/>
    </row>
    <row r="4" spans="1:10" ht="29.1" customHeight="1" x14ac:dyDescent="0.25">
      <c r="A4" s="10"/>
      <c r="B4" s="122">
        <v>111</v>
      </c>
      <c r="C4" s="123" t="s">
        <v>12</v>
      </c>
      <c r="D4" s="124">
        <f>COUNTIF('2021-22 Expenditures'!D9:D79,"111")</f>
        <v>0</v>
      </c>
      <c r="E4" s="127">
        <f>SUMIF('2021-22 Expenditures'!D9:D79,"111", '2021-22 Expenditures'!F9:F79)</f>
        <v>0</v>
      </c>
      <c r="F4" s="10"/>
      <c r="G4" s="135" t="s">
        <v>350</v>
      </c>
      <c r="H4" s="136">
        <f>COUNTIF('2021-22 Expenditures'!C9:C79,"ADMIN")</f>
        <v>1</v>
      </c>
      <c r="I4" s="137">
        <f>SUMIF('2021-22 Expenditures'!C9:C79,"ADMIN", '2021-22 Expenditures'!F9:F79)</f>
        <v>1350</v>
      </c>
      <c r="J4" s="10"/>
    </row>
    <row r="5" spans="1:10" ht="29.1" customHeight="1" x14ac:dyDescent="0.25">
      <c r="A5" s="10"/>
      <c r="B5" s="119">
        <v>112</v>
      </c>
      <c r="C5" s="120" t="s">
        <v>13</v>
      </c>
      <c r="D5" s="118">
        <f>COUNTIF('2021-22 Expenditures'!D9:D79,"112")</f>
        <v>0</v>
      </c>
      <c r="E5" s="128">
        <f>SUMIF('2021-22 Expenditures'!D9:D79,"112", '2021-22 Expenditures'!F9:F79)</f>
        <v>0</v>
      </c>
      <c r="F5" s="10"/>
      <c r="G5" s="138" t="s">
        <v>374</v>
      </c>
      <c r="H5" s="139">
        <f>COUNTIF('2021-22 Expenditures'!C9:C79,"OCG")</f>
        <v>0</v>
      </c>
      <c r="I5" s="140">
        <f>SUMIF('2021-22 Expenditures'!C9:C79,"OCG", '2021-22 Expenditures'!F9:F79)</f>
        <v>0</v>
      </c>
      <c r="J5" s="10"/>
    </row>
    <row r="6" spans="1:10" ht="29.1" customHeight="1" x14ac:dyDescent="0.25">
      <c r="A6" s="10"/>
      <c r="B6" s="122">
        <v>113</v>
      </c>
      <c r="C6" s="123" t="s">
        <v>14</v>
      </c>
      <c r="D6" s="124">
        <f>COUNTIF('2021-22 Expenditures'!D9:D79,"113")</f>
        <v>0</v>
      </c>
      <c r="E6" s="129">
        <f>SUMIF('2021-22 Expenditures'!D9:D79,"113", '2021-22 Expenditures'!F9:F79)</f>
        <v>0</v>
      </c>
      <c r="F6" s="10"/>
      <c r="G6" s="135" t="s">
        <v>339</v>
      </c>
      <c r="H6" s="136">
        <f>COUNTIF('2021-22 Expenditures'!C9:C79,"IIT")</f>
        <v>0</v>
      </c>
      <c r="I6" s="137">
        <f>SUMIF('2021-22 Expenditures'!C9:C79,"IIT", '2021-22 Expenditures'!F9:F79)</f>
        <v>0</v>
      </c>
      <c r="J6" s="10"/>
    </row>
    <row r="7" spans="1:10" ht="29.1" customHeight="1" x14ac:dyDescent="0.25">
      <c r="A7" s="10"/>
      <c r="B7" s="119" t="s">
        <v>4</v>
      </c>
      <c r="C7" s="120" t="s">
        <v>15</v>
      </c>
      <c r="D7" s="118">
        <f>COUNTIF('2021-22 Expenditures'!D9:D79,"12x")</f>
        <v>0</v>
      </c>
      <c r="E7" s="128">
        <f>SUMIF('2021-22 Expenditures'!D9:D79,"12x", '2021-22 Expenditures'!F9:F79)</f>
        <v>0</v>
      </c>
      <c r="F7" s="10"/>
      <c r="G7" s="138" t="s">
        <v>340</v>
      </c>
      <c r="H7" s="139">
        <f>COUNTIF('2021-22 Expenditures'!C9:C79,"H&amp;S")</f>
        <v>0</v>
      </c>
      <c r="I7" s="140">
        <f>SUMIF('2021-22 Expenditures'!C9:C79,"H&amp;S", '2021-22 Expenditures'!F9:F79)</f>
        <v>0</v>
      </c>
      <c r="J7" s="10"/>
    </row>
    <row r="8" spans="1:10" ht="29.1" customHeight="1" x14ac:dyDescent="0.25">
      <c r="A8" s="10"/>
      <c r="B8" s="122" t="s">
        <v>5</v>
      </c>
      <c r="C8" s="123" t="s">
        <v>16</v>
      </c>
      <c r="D8" s="124">
        <f>COUNTIF('2021-22 Expenditures'!D9:D79,"13x")</f>
        <v>0</v>
      </c>
      <c r="E8" s="129">
        <f>SUMIF('2021-22 Expenditures'!D9:D79,"13x", '2021-22 Expenditures'!F9:F79)</f>
        <v>0</v>
      </c>
      <c r="F8" s="10"/>
      <c r="G8" s="135" t="s">
        <v>341</v>
      </c>
      <c r="H8" s="136">
        <f>COUNTIF('2021-22 Expenditures'!C9:C79,"RCS")</f>
        <v>0</v>
      </c>
      <c r="I8" s="137">
        <f>SUMIF('2021-22 Expenditures'!C9:C79,"RCS", '2021-22 Expenditures'!F9:F79)</f>
        <v>0</v>
      </c>
      <c r="J8" s="10"/>
    </row>
    <row r="9" spans="1:10" ht="29.1" customHeight="1" x14ac:dyDescent="0.25">
      <c r="A9" s="10"/>
      <c r="B9" s="119" t="s">
        <v>3</v>
      </c>
      <c r="C9" s="120" t="s">
        <v>17</v>
      </c>
      <c r="D9" s="118">
        <f>COUNTIF('2021-22 Expenditures'!D9:D79,"2xx")</f>
        <v>0</v>
      </c>
      <c r="E9" s="128">
        <f>SUMIF('2021-22 Expenditures'!D9:D79,"2xx", '2021-22 Expenditures'!F9:F79)</f>
        <v>0</v>
      </c>
      <c r="F9" s="10"/>
      <c r="G9" s="138" t="s">
        <v>365</v>
      </c>
      <c r="H9" s="139">
        <f>COUNTIF('2021-22 Expenditures'!C9:C79,"WRE")</f>
        <v>0</v>
      </c>
      <c r="I9" s="140">
        <f>SUMIF('2021-22 Expenditures'!C9:C79,"WRE", '2021-22 Expenditures'!F9:F79)</f>
        <v>0</v>
      </c>
      <c r="J9" s="10"/>
    </row>
    <row r="10" spans="1:10" ht="29.1" customHeight="1" x14ac:dyDescent="0.25">
      <c r="A10" s="10"/>
      <c r="B10" s="122" t="s">
        <v>18</v>
      </c>
      <c r="C10" s="123" t="s">
        <v>19</v>
      </c>
      <c r="D10" s="124">
        <f>COUNTIF('2021-22 Expenditures'!D9:D79,"31x")</f>
        <v>0</v>
      </c>
      <c r="E10" s="129">
        <f>SUMIF('2021-22 Expenditures'!D9:D79,"31x", '2021-22 Expenditures'!F9:F79)</f>
        <v>0</v>
      </c>
      <c r="F10" s="10"/>
      <c r="G10" s="133"/>
      <c r="H10" s="10"/>
      <c r="I10" s="10"/>
      <c r="J10" s="10"/>
    </row>
    <row r="11" spans="1:10" ht="29.1" customHeight="1" x14ac:dyDescent="0.25">
      <c r="A11" s="10"/>
      <c r="B11" s="119" t="s">
        <v>6</v>
      </c>
      <c r="C11" s="120" t="s">
        <v>20</v>
      </c>
      <c r="D11" s="118">
        <f>COUNTIF('2021-22 Expenditures'!D9:D79,"33x")</f>
        <v>0</v>
      </c>
      <c r="E11" s="128">
        <f>SUMIF('2021-22 Expenditures'!D9:D79,"33x", '2021-22 Expenditures'!F9:F79)</f>
        <v>0</v>
      </c>
      <c r="F11" s="10"/>
      <c r="G11" s="133"/>
      <c r="H11" s="141" t="s">
        <v>334</v>
      </c>
      <c r="I11" s="142">
        <f>SUM(I4:I9)</f>
        <v>1350</v>
      </c>
      <c r="J11" s="10"/>
    </row>
    <row r="12" spans="1:10" ht="29.1" customHeight="1" x14ac:dyDescent="0.25">
      <c r="A12" s="10"/>
      <c r="B12" s="122" t="s">
        <v>7</v>
      </c>
      <c r="C12" s="123" t="s">
        <v>21</v>
      </c>
      <c r="D12" s="124">
        <f>COUNTIF('2021-22 Expenditures'!D9:D79,"34x")</f>
        <v>0</v>
      </c>
      <c r="E12" s="129">
        <f>SUMIF('2021-22 Expenditures'!D9:D79,"34x", '2021-22 Expenditures'!F9:F79)</f>
        <v>0</v>
      </c>
      <c r="F12" s="10"/>
      <c r="G12" s="133"/>
      <c r="H12" s="10"/>
      <c r="I12" s="10"/>
      <c r="J12" s="10"/>
    </row>
    <row r="13" spans="1:10" ht="29.1" customHeight="1" x14ac:dyDescent="0.25">
      <c r="A13" s="10"/>
      <c r="B13" s="119" t="s">
        <v>8</v>
      </c>
      <c r="C13" s="120" t="s">
        <v>22</v>
      </c>
      <c r="D13" s="118">
        <f>COUNTIF('2021-22 Expenditures'!D9:D79,"35x")</f>
        <v>0</v>
      </c>
      <c r="E13" s="128">
        <f>SUMIF('2021-22 Expenditures'!D9:D79,"35x", '2021-22 Expenditures'!F9:F79)</f>
        <v>0</v>
      </c>
      <c r="F13" s="10"/>
      <c r="G13" s="133"/>
      <c r="H13" s="10"/>
      <c r="I13" s="10"/>
      <c r="J13" s="10"/>
    </row>
    <row r="14" spans="1:10" ht="29.1" customHeight="1" x14ac:dyDescent="0.25">
      <c r="A14" s="10"/>
      <c r="B14" s="122" t="s">
        <v>9</v>
      </c>
      <c r="C14" s="123" t="s">
        <v>23</v>
      </c>
      <c r="D14" s="124">
        <f>COUNTIF('2021-22 Expenditures'!D9:D79,"4xx")</f>
        <v>0</v>
      </c>
      <c r="E14" s="129">
        <f>SUMIF('2021-22 Expenditures'!D9:D79,"4xx", '2021-22 Expenditures'!F9:F79)</f>
        <v>0</v>
      </c>
      <c r="F14" s="10"/>
      <c r="G14" s="133"/>
      <c r="H14" s="10"/>
      <c r="I14" s="10"/>
      <c r="J14" s="10"/>
    </row>
    <row r="15" spans="1:10" ht="29.1" customHeight="1" x14ac:dyDescent="0.25">
      <c r="A15" s="10"/>
      <c r="B15" s="119" t="s">
        <v>10</v>
      </c>
      <c r="C15" s="120" t="s">
        <v>24</v>
      </c>
      <c r="D15" s="118">
        <f>COUNTIF('2021-22 Expenditures'!D9:D79,"5xx")</f>
        <v>0</v>
      </c>
      <c r="E15" s="128">
        <f>SUMIF('2021-22 Expenditures'!D9:D79,"5xx", '2021-22 Expenditures'!F9:F79)</f>
        <v>0</v>
      </c>
      <c r="F15" s="10"/>
      <c r="G15" s="133"/>
      <c r="H15" s="10"/>
      <c r="I15" s="10"/>
      <c r="J15" s="10"/>
    </row>
    <row r="16" spans="1:10" ht="29.1" customHeight="1" x14ac:dyDescent="0.25">
      <c r="A16" s="10"/>
      <c r="B16" s="122">
        <v>640</v>
      </c>
      <c r="C16" s="123" t="s">
        <v>25</v>
      </c>
      <c r="D16" s="124">
        <f>COUNTIF('2021-22 Expenditures'!D9:D79,"640")</f>
        <v>0</v>
      </c>
      <c r="E16" s="129">
        <f>SUMIF('2021-22 Expenditures'!D9:D79,"640", '2021-22 Expenditures'!F9:F79)</f>
        <v>0</v>
      </c>
      <c r="F16" s="10"/>
      <c r="G16" s="133"/>
      <c r="H16" s="10"/>
      <c r="I16" s="10"/>
      <c r="J16" s="10"/>
    </row>
    <row r="17" spans="1:10" ht="29.1" customHeight="1" x14ac:dyDescent="0.25">
      <c r="A17" s="10"/>
      <c r="B17" s="119" t="s">
        <v>11</v>
      </c>
      <c r="C17" s="120" t="s">
        <v>345</v>
      </c>
      <c r="D17" s="118">
        <f>COUNTIF('2021-22 Expenditures'!D9:D79,"8xx")</f>
        <v>0</v>
      </c>
      <c r="E17" s="128">
        <f>SUMIF('2021-22 Expenditures'!D9:D79,"8xx", '2021-22 Expenditures'!F9:F79)</f>
        <v>0</v>
      </c>
      <c r="F17" s="10"/>
      <c r="G17" s="133"/>
      <c r="H17" s="10"/>
      <c r="I17" s="10"/>
      <c r="J17" s="10"/>
    </row>
    <row r="18" spans="1:10" ht="29.1" customHeight="1" x14ac:dyDescent="0.25">
      <c r="A18" s="10"/>
      <c r="B18" s="122" t="s">
        <v>346</v>
      </c>
      <c r="C18" s="123" t="s">
        <v>348</v>
      </c>
      <c r="D18" s="124">
        <f>COUNTIF('2021-22 Expenditures'!D9:D81,"ADMIN")</f>
        <v>0</v>
      </c>
      <c r="E18" s="129">
        <f>SUMIF('2021-22 Expenditures'!D9:D81,"ADMIN", '2021-22 Expenditures'!F9:F81)</f>
        <v>0</v>
      </c>
      <c r="F18" s="10"/>
      <c r="G18" s="133"/>
      <c r="H18" s="10"/>
      <c r="I18" s="10"/>
      <c r="J18" s="10"/>
    </row>
    <row r="19" spans="1:10" ht="29.1" customHeight="1" x14ac:dyDescent="0.25">
      <c r="A19" s="10"/>
      <c r="B19" s="149" t="s">
        <v>344</v>
      </c>
      <c r="C19" s="150" t="s">
        <v>349</v>
      </c>
      <c r="D19" s="136">
        <f>COUNTIF('2021-22 Expenditures'!D9:D81,"OTHER")</f>
        <v>0</v>
      </c>
      <c r="E19" s="151">
        <f>SUMIF('2021-22 Expenditures'!D9:D81,"OTHER", '2021-22 Expenditures'!F9:F81)</f>
        <v>0</v>
      </c>
      <c r="F19" s="10"/>
      <c r="G19" s="133"/>
      <c r="H19" s="10"/>
      <c r="I19" s="10"/>
      <c r="J19" s="10"/>
    </row>
    <row r="20" spans="1:10" x14ac:dyDescent="0.25">
      <c r="A20" s="10"/>
      <c r="B20" s="10"/>
      <c r="C20" s="10"/>
      <c r="D20" s="10"/>
      <c r="E20" s="10"/>
      <c r="F20" s="10"/>
      <c r="G20" s="133"/>
      <c r="H20" s="10"/>
      <c r="I20" s="10"/>
      <c r="J20" s="10"/>
    </row>
    <row r="21" spans="1:10" ht="30" customHeight="1" x14ac:dyDescent="0.25">
      <c r="A21" s="10"/>
      <c r="B21" s="10"/>
      <c r="C21" s="10"/>
      <c r="D21" s="125" t="s">
        <v>334</v>
      </c>
      <c r="E21" s="126">
        <f>SUM(E4:E19)</f>
        <v>0</v>
      </c>
      <c r="F21" s="10"/>
      <c r="G21" s="133"/>
      <c r="H21" s="10"/>
      <c r="I21" s="10"/>
      <c r="J21" s="10"/>
    </row>
    <row r="22" spans="1:10" ht="32.1" customHeight="1" x14ac:dyDescent="0.25">
      <c r="A22" s="10"/>
      <c r="B22" s="10"/>
      <c r="C22" s="10"/>
      <c r="D22" s="130" t="s">
        <v>335</v>
      </c>
      <c r="E22" s="132">
        <f>SUM('2021-22 Expenditures'!B9:B79)</f>
        <v>0</v>
      </c>
      <c r="F22" s="10"/>
      <c r="G22" s="133"/>
      <c r="H22" s="10"/>
      <c r="I22" s="10"/>
      <c r="J22" s="10"/>
    </row>
    <row r="23" spans="1:10" x14ac:dyDescent="0.25">
      <c r="A23" s="10"/>
      <c r="B23" s="10"/>
      <c r="C23" s="10"/>
      <c r="D23" s="10"/>
      <c r="E23" s="10"/>
      <c r="F23" s="10"/>
      <c r="G23" s="133"/>
      <c r="H23" s="10"/>
      <c r="I23" s="10"/>
      <c r="J23" s="10"/>
    </row>
    <row r="24" spans="1:10" ht="18.75" x14ac:dyDescent="0.3">
      <c r="A24" s="10"/>
      <c r="B24" s="196" t="s">
        <v>406</v>
      </c>
      <c r="C24" s="10"/>
      <c r="D24" s="10"/>
      <c r="E24" s="10"/>
      <c r="F24" s="10"/>
      <c r="G24" s="133"/>
      <c r="H24" s="10"/>
      <c r="I24" s="10"/>
      <c r="J24" s="10"/>
    </row>
    <row r="25" spans="1:10" ht="29.1" customHeight="1" x14ac:dyDescent="0.25">
      <c r="A25" s="10"/>
      <c r="B25" s="121" t="s">
        <v>330</v>
      </c>
      <c r="C25" s="121" t="s">
        <v>331</v>
      </c>
      <c r="D25" s="121" t="s">
        <v>332</v>
      </c>
      <c r="E25" s="121" t="s">
        <v>333</v>
      </c>
      <c r="F25" s="10"/>
      <c r="G25" s="121" t="s">
        <v>342</v>
      </c>
      <c r="H25" s="121" t="s">
        <v>332</v>
      </c>
      <c r="I25" s="121" t="s">
        <v>333</v>
      </c>
      <c r="J25" s="10"/>
    </row>
    <row r="26" spans="1:10" ht="29.1" customHeight="1" x14ac:dyDescent="0.25">
      <c r="A26" s="10"/>
      <c r="B26" s="122">
        <v>111</v>
      </c>
      <c r="C26" s="123" t="s">
        <v>12</v>
      </c>
      <c r="D26" s="124">
        <f>COUNTIF('2022-23 Expenditures'!D9:D79,"111")</f>
        <v>0</v>
      </c>
      <c r="E26" s="127">
        <f>SUMIF('2022-23 Expenditures'!D9:D79,"111", '2022-23 Expenditures'!F9:F79)</f>
        <v>0</v>
      </c>
      <c r="F26" s="10"/>
      <c r="G26" s="135" t="s">
        <v>350</v>
      </c>
      <c r="H26" s="136">
        <f>COUNTIF('2022-23 Expenditures'!C9:C79,"ADMIN")</f>
        <v>1</v>
      </c>
      <c r="I26" s="137">
        <f>SUMIF('2022-23 Expenditures'!C9:C79,"ADMIN", '2022-23 Expenditures'!F9:F79)</f>
        <v>1400</v>
      </c>
      <c r="J26" s="10"/>
    </row>
    <row r="27" spans="1:10" ht="29.1" customHeight="1" x14ac:dyDescent="0.25">
      <c r="A27" s="10"/>
      <c r="B27" s="119">
        <v>112</v>
      </c>
      <c r="C27" s="120" t="s">
        <v>13</v>
      </c>
      <c r="D27" s="118">
        <f>COUNTIF('2022-23 Expenditures'!D9:D79,"112")</f>
        <v>0</v>
      </c>
      <c r="E27" s="128">
        <f>SUMIF('2022-23 Expenditures'!D9:D79,"112", '2022-23 Expenditures'!F9:F79)</f>
        <v>0</v>
      </c>
      <c r="F27" s="10"/>
      <c r="G27" s="138" t="s">
        <v>374</v>
      </c>
      <c r="H27" s="139">
        <f>COUNTIF('2022-23 Expenditures'!C9:C79,"OCG")</f>
        <v>0</v>
      </c>
      <c r="I27" s="140">
        <f>SUMIF('2022-23 Expenditures'!C9:C79,"OCG", '2022-23 Expenditures'!F9:F79)</f>
        <v>0</v>
      </c>
      <c r="J27" s="10"/>
    </row>
    <row r="28" spans="1:10" ht="29.1" customHeight="1" x14ac:dyDescent="0.25">
      <c r="A28" s="10"/>
      <c r="B28" s="122">
        <v>113</v>
      </c>
      <c r="C28" s="123" t="s">
        <v>14</v>
      </c>
      <c r="D28" s="124">
        <f>COUNTIF('2022-23 Expenditures'!D9:D79,"113")</f>
        <v>0</v>
      </c>
      <c r="E28" s="129">
        <f>SUMIF('2022-23 Expenditures'!D9:D79,"113", '2022-23 Expenditures'!F9:F79)</f>
        <v>0</v>
      </c>
      <c r="F28" s="10"/>
      <c r="G28" s="135" t="s">
        <v>339</v>
      </c>
      <c r="H28" s="136">
        <f>COUNTIF('2022-23 Expenditures'!C9:C79,"IIT")</f>
        <v>0</v>
      </c>
      <c r="I28" s="137">
        <f>SUMIF('2022-23 Expenditures'!C9:C79,"IIt", '2022-23 Expenditures'!F9:F79)</f>
        <v>0</v>
      </c>
      <c r="J28" s="10"/>
    </row>
    <row r="29" spans="1:10" ht="29.1" customHeight="1" x14ac:dyDescent="0.25">
      <c r="A29" s="10"/>
      <c r="B29" s="119" t="s">
        <v>4</v>
      </c>
      <c r="C29" s="120" t="s">
        <v>15</v>
      </c>
      <c r="D29" s="118">
        <f>COUNTIF('2022-23 Expenditures'!D9:D79,"12x")</f>
        <v>0</v>
      </c>
      <c r="E29" s="128">
        <f>SUMIF('2022-23 Expenditures'!D9:D79,"12x", '2022-23 Expenditures'!F9:F79)</f>
        <v>0</v>
      </c>
      <c r="F29" s="10"/>
      <c r="G29" s="138" t="s">
        <v>340</v>
      </c>
      <c r="H29" s="139">
        <f>COUNTIF('2022-23 Expenditures'!C9:C79,"H&amp;S")</f>
        <v>0</v>
      </c>
      <c r="I29" s="140">
        <f>SUMIF('2022-23 Expenditures'!C9:C79,"H&amp;S", '2022-23 Expenditures'!F9:F79)</f>
        <v>0</v>
      </c>
      <c r="J29" s="10"/>
    </row>
    <row r="30" spans="1:10" ht="29.1" customHeight="1" x14ac:dyDescent="0.25">
      <c r="A30" s="10"/>
      <c r="B30" s="122" t="s">
        <v>5</v>
      </c>
      <c r="C30" s="123" t="s">
        <v>16</v>
      </c>
      <c r="D30" s="124">
        <f>COUNTIF('2022-23 Expenditures'!D9:D79,"13x")</f>
        <v>0</v>
      </c>
      <c r="E30" s="129">
        <f>SUMIF('2022-23 Expenditures'!D9:D79,"13x", '2022-23 Expenditures'!F9:F79)</f>
        <v>0</v>
      </c>
      <c r="F30" s="10"/>
      <c r="G30" s="135" t="s">
        <v>341</v>
      </c>
      <c r="H30" s="136">
        <f>COUNTIF('2022-23 Expenditures'!C9:C79,"RCS")</f>
        <v>0</v>
      </c>
      <c r="I30" s="137">
        <f>SUMIF('2022-23 Expenditures'!C9:C79,"RCS", '2022-23 Expenditures'!F9:F79)</f>
        <v>0</v>
      </c>
      <c r="J30" s="10"/>
    </row>
    <row r="31" spans="1:10" ht="29.1" customHeight="1" x14ac:dyDescent="0.25">
      <c r="A31" s="10"/>
      <c r="B31" s="119" t="s">
        <v>3</v>
      </c>
      <c r="C31" s="120" t="s">
        <v>17</v>
      </c>
      <c r="D31" s="118">
        <f>COUNTIF('2022-23 Expenditures'!D9:D79,"2xx")</f>
        <v>0</v>
      </c>
      <c r="E31" s="128">
        <f>SUMIF('2022-23 Expenditures'!D9:D79,"2xx", '2022-23 Expenditures'!F9:F79)</f>
        <v>0</v>
      </c>
      <c r="F31" s="10"/>
      <c r="G31" s="138" t="s">
        <v>365</v>
      </c>
      <c r="H31" s="139">
        <f>COUNTIF('2022-23 Expenditures'!C9:C79,"WRE")</f>
        <v>0</v>
      </c>
      <c r="I31" s="140">
        <f>SUMIF('2022-23 Expenditures'!C9:C79,"WRE", '2022-23 Expenditures'!F9:F79)</f>
        <v>0</v>
      </c>
      <c r="J31" s="10"/>
    </row>
    <row r="32" spans="1:10" ht="29.1" customHeight="1" x14ac:dyDescent="0.25">
      <c r="A32" s="10"/>
      <c r="B32" s="122" t="s">
        <v>18</v>
      </c>
      <c r="C32" s="123" t="s">
        <v>19</v>
      </c>
      <c r="D32" s="124">
        <f>COUNTIF('2022-23 Expenditures'!D9:D79,"31x")</f>
        <v>0</v>
      </c>
      <c r="E32" s="129">
        <f>SUMIF('2022-23 Expenditures'!D9:D79,"31x", '2022-23 Expenditures'!F9:F79)</f>
        <v>0</v>
      </c>
      <c r="F32" s="10"/>
      <c r="G32" s="133"/>
      <c r="H32" s="10"/>
      <c r="I32" s="10"/>
      <c r="J32" s="10"/>
    </row>
    <row r="33" spans="1:10" ht="29.1" customHeight="1" x14ac:dyDescent="0.25">
      <c r="A33" s="10"/>
      <c r="B33" s="119" t="s">
        <v>6</v>
      </c>
      <c r="C33" s="120" t="s">
        <v>20</v>
      </c>
      <c r="D33" s="118">
        <f>COUNTIF('2022-23 Expenditures'!D9:D79,"33x")</f>
        <v>0</v>
      </c>
      <c r="E33" s="128">
        <f>SUMIF('2022-23 Expenditures'!D9:D79,"33x", '2022-23 Expenditures'!F9:F79)</f>
        <v>0</v>
      </c>
      <c r="F33" s="10"/>
      <c r="G33" s="133"/>
      <c r="H33" s="141" t="s">
        <v>334</v>
      </c>
      <c r="I33" s="142">
        <f>SUM(I26:I31)</f>
        <v>1400</v>
      </c>
      <c r="J33" s="10"/>
    </row>
    <row r="34" spans="1:10" ht="29.1" customHeight="1" x14ac:dyDescent="0.25">
      <c r="A34" s="10"/>
      <c r="B34" s="122" t="s">
        <v>7</v>
      </c>
      <c r="C34" s="123" t="s">
        <v>21</v>
      </c>
      <c r="D34" s="124">
        <f>COUNTIF('2022-23 Expenditures'!D9:D79,"34x")</f>
        <v>0</v>
      </c>
      <c r="E34" s="129">
        <f>SUMIF('2022-23 Expenditures'!D9:D79,"34x", '2022-23 Expenditures'!F9:F79)</f>
        <v>0</v>
      </c>
      <c r="F34" s="10"/>
      <c r="G34" s="133"/>
      <c r="H34" s="10"/>
      <c r="I34" s="10"/>
      <c r="J34" s="10"/>
    </row>
    <row r="35" spans="1:10" ht="29.1" customHeight="1" x14ac:dyDescent="0.25">
      <c r="A35" s="10"/>
      <c r="B35" s="119" t="s">
        <v>8</v>
      </c>
      <c r="C35" s="120" t="s">
        <v>22</v>
      </c>
      <c r="D35" s="118">
        <f>COUNTIF('2022-23 Expenditures'!D9:D79,"35x")</f>
        <v>0</v>
      </c>
      <c r="E35" s="128">
        <f>SUMIF('2022-23 Expenditures'!D9:D79,"35x", '2022-23 Expenditures'!F9:F79)</f>
        <v>0</v>
      </c>
      <c r="F35" s="10"/>
      <c r="G35" s="133"/>
      <c r="H35" s="10"/>
      <c r="I35" s="10"/>
      <c r="J35" s="10"/>
    </row>
    <row r="36" spans="1:10" ht="29.1" customHeight="1" x14ac:dyDescent="0.25">
      <c r="A36" s="10"/>
      <c r="B36" s="122" t="s">
        <v>9</v>
      </c>
      <c r="C36" s="123" t="s">
        <v>23</v>
      </c>
      <c r="D36" s="124">
        <f>COUNTIF('2022-23 Expenditures'!D9:D79,"4xx")</f>
        <v>0</v>
      </c>
      <c r="E36" s="129">
        <f>SUMIF('2022-23 Expenditures'!D9:D79,"4xx", '2022-23 Expenditures'!F9:F79)</f>
        <v>0</v>
      </c>
      <c r="F36" s="10"/>
      <c r="G36" s="133"/>
      <c r="H36" s="10"/>
      <c r="I36" s="10"/>
      <c r="J36" s="10"/>
    </row>
    <row r="37" spans="1:10" ht="29.1" customHeight="1" x14ac:dyDescent="0.25">
      <c r="A37" s="10"/>
      <c r="B37" s="119" t="s">
        <v>10</v>
      </c>
      <c r="C37" s="120" t="s">
        <v>24</v>
      </c>
      <c r="D37" s="118">
        <f>COUNTIF('2022-23 Expenditures'!D9:D79,"5xx")</f>
        <v>0</v>
      </c>
      <c r="E37" s="128">
        <f>SUMIF('2022-23 Expenditures'!D9:D79,"5xx", '2022-23 Expenditures'!F9:F79)</f>
        <v>0</v>
      </c>
      <c r="F37" s="10"/>
      <c r="G37" s="133"/>
      <c r="H37" s="10"/>
      <c r="I37" s="10"/>
      <c r="J37" s="10"/>
    </row>
    <row r="38" spans="1:10" ht="29.1" customHeight="1" x14ac:dyDescent="0.25">
      <c r="A38" s="10"/>
      <c r="B38" s="122">
        <v>640</v>
      </c>
      <c r="C38" s="123" t="s">
        <v>25</v>
      </c>
      <c r="D38" s="124">
        <f>COUNTIF('2022-23 Expenditures'!D9:D79,"640")</f>
        <v>0</v>
      </c>
      <c r="E38" s="129">
        <f>SUMIF('2022-23 Expenditures'!D9:D79,"640", '2022-23 Expenditures'!F9:F79)</f>
        <v>0</v>
      </c>
      <c r="F38" s="10"/>
      <c r="G38" s="133"/>
      <c r="H38" s="10"/>
      <c r="I38" s="10"/>
      <c r="J38" s="10"/>
    </row>
    <row r="39" spans="1:10" ht="29.1" customHeight="1" x14ac:dyDescent="0.25">
      <c r="A39" s="10"/>
      <c r="B39" s="119" t="s">
        <v>11</v>
      </c>
      <c r="C39" s="120" t="s">
        <v>345</v>
      </c>
      <c r="D39" s="118">
        <f>COUNTIF('2022-23 Expenditures'!D9:D79,"8xx")</f>
        <v>0</v>
      </c>
      <c r="E39" s="128">
        <f>SUMIF('2022-23 Expenditures'!D9:D79,"8xx", '2022-23 Expenditures'!F9:F79)</f>
        <v>0</v>
      </c>
      <c r="F39" s="10"/>
      <c r="G39" s="133"/>
      <c r="H39" s="10"/>
      <c r="I39" s="10"/>
      <c r="J39" s="10"/>
    </row>
    <row r="40" spans="1:10" ht="29.1" customHeight="1" x14ac:dyDescent="0.25">
      <c r="A40" s="10"/>
      <c r="B40" s="122" t="s">
        <v>346</v>
      </c>
      <c r="C40" s="123" t="s">
        <v>348</v>
      </c>
      <c r="D40" s="124">
        <f>COUNTIF('2022-23 Expenditures'!D9:D79,"ADMIN")</f>
        <v>0</v>
      </c>
      <c r="E40" s="129">
        <f>SUMIF('2022-23 Expenditures'!D9:D79,"ADMIN", '2022-23 Expenditures'!F9:F79)</f>
        <v>0</v>
      </c>
      <c r="F40" s="10"/>
      <c r="G40" s="133"/>
      <c r="H40" s="10"/>
      <c r="I40" s="10"/>
      <c r="J40" s="10"/>
    </row>
    <row r="41" spans="1:10" ht="29.1" customHeight="1" x14ac:dyDescent="0.25">
      <c r="A41" s="10"/>
      <c r="B41" s="149" t="s">
        <v>344</v>
      </c>
      <c r="C41" s="150" t="s">
        <v>349</v>
      </c>
      <c r="D41" s="136">
        <f>COUNTIF('2022-23 Expenditures'!D9:D79,"OTHER")</f>
        <v>0</v>
      </c>
      <c r="E41" s="151">
        <f>SUMIF('2022-23 Expenditures'!D9:D79,"OTHER", '2022-23 Expenditures'!F9:F79)</f>
        <v>0</v>
      </c>
      <c r="F41" s="10"/>
      <c r="G41" s="133"/>
      <c r="H41" s="10"/>
      <c r="I41" s="10"/>
      <c r="J41" s="10"/>
    </row>
    <row r="42" spans="1:10" ht="29.1" customHeight="1" x14ac:dyDescent="0.25">
      <c r="A42" s="10"/>
      <c r="B42" s="10"/>
      <c r="C42" s="10"/>
      <c r="D42" s="10"/>
      <c r="E42" s="10"/>
      <c r="F42" s="10"/>
      <c r="G42" s="133"/>
      <c r="H42" s="10"/>
      <c r="I42" s="10"/>
      <c r="J42" s="10"/>
    </row>
    <row r="43" spans="1:10" ht="29.1" customHeight="1" x14ac:dyDescent="0.25">
      <c r="A43" s="10"/>
      <c r="B43" s="10"/>
      <c r="C43" s="10"/>
      <c r="D43" s="125" t="s">
        <v>334</v>
      </c>
      <c r="E43" s="126">
        <f>SUM(E26:E41)</f>
        <v>0</v>
      </c>
      <c r="F43" s="10"/>
      <c r="G43" s="133"/>
      <c r="H43" s="10"/>
      <c r="I43" s="10"/>
      <c r="J43" s="10"/>
    </row>
    <row r="44" spans="1:10" ht="29.1" customHeight="1" x14ac:dyDescent="0.25">
      <c r="A44" s="10"/>
      <c r="B44" s="10"/>
      <c r="C44" s="10"/>
      <c r="D44" s="130" t="s">
        <v>335</v>
      </c>
      <c r="E44" s="132">
        <f>SUM('2022-23 Expenditures'!B9:B79)</f>
        <v>0</v>
      </c>
      <c r="F44" s="10"/>
      <c r="G44" s="133"/>
      <c r="H44" s="10"/>
      <c r="I44" s="10"/>
      <c r="J44" s="10"/>
    </row>
    <row r="45" spans="1:10" ht="29.1" customHeight="1" x14ac:dyDescent="0.25">
      <c r="A45" s="10"/>
      <c r="B45" s="10"/>
      <c r="C45" s="10"/>
      <c r="D45" s="10"/>
      <c r="E45" s="10"/>
      <c r="F45" s="10"/>
      <c r="G45" s="133"/>
      <c r="H45" s="10"/>
      <c r="I45" s="10"/>
      <c r="J45" s="10"/>
    </row>
    <row r="46" spans="1:10" x14ac:dyDescent="0.25">
      <c r="A46" s="10"/>
      <c r="B46" s="10"/>
      <c r="C46" s="10"/>
      <c r="D46" s="10"/>
      <c r="E46" s="10"/>
      <c r="F46" s="10"/>
      <c r="G46" s="133"/>
      <c r="H46" s="10"/>
      <c r="I46" s="10"/>
      <c r="J46" s="10"/>
    </row>
    <row r="47" spans="1:10" x14ac:dyDescent="0.25">
      <c r="A47" s="10"/>
      <c r="B47" s="10"/>
      <c r="C47" s="10"/>
      <c r="D47" s="10"/>
      <c r="E47" s="10"/>
      <c r="F47" s="10"/>
      <c r="G47" s="133"/>
      <c r="H47" s="10"/>
      <c r="I47" s="10"/>
      <c r="J47" s="10"/>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P23" sqref="P23"/>
    </sheetView>
  </sheetViews>
  <sheetFormatPr defaultColWidth="10.625" defaultRowHeight="15.75" x14ac:dyDescent="0.25"/>
  <cols>
    <col min="3" max="3" width="18.125" customWidth="1"/>
  </cols>
  <sheetData>
    <row r="2" spans="2:6" x14ac:dyDescent="0.25">
      <c r="B2" t="s">
        <v>346</v>
      </c>
      <c r="E2" s="1">
        <v>111</v>
      </c>
      <c r="F2" t="s">
        <v>12</v>
      </c>
    </row>
    <row r="3" spans="2:6" x14ac:dyDescent="0.25">
      <c r="B3" t="s">
        <v>351</v>
      </c>
      <c r="C3" t="s">
        <v>352</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364</v>
      </c>
      <c r="C7" t="s">
        <v>365</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345</v>
      </c>
    </row>
    <row r="16" spans="2:6" x14ac:dyDescent="0.25">
      <c r="E16" s="1" t="s">
        <v>346</v>
      </c>
      <c r="F16" t="s">
        <v>347</v>
      </c>
    </row>
    <row r="17" spans="5:5" x14ac:dyDescent="0.25">
      <c r="E17" s="1" t="s">
        <v>344</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19" activePane="bottomRight" state="frozen"/>
      <selection activeCell="C228" sqref="C228"/>
      <selection pane="topRight" activeCell="C228" sqref="C228"/>
      <selection pane="bottomLeft" activeCell="C228" sqref="C228"/>
      <selection pane="bottomRight" activeCell="C228" sqref="C228"/>
    </sheetView>
  </sheetViews>
  <sheetFormatPr defaultColWidth="8.875" defaultRowHeight="15.75" x14ac:dyDescent="0.25"/>
  <cols>
    <col min="1" max="1" width="3.5" style="14" customWidth="1"/>
    <col min="2" max="2" width="6.5" style="14" customWidth="1"/>
    <col min="3" max="3" width="9.375" style="26" customWidth="1"/>
    <col min="4" max="4" width="17.375" style="17" customWidth="1"/>
    <col min="5" max="5" width="17.375" style="14" hidden="1" customWidth="1"/>
    <col min="6" max="6" width="10.625" style="14" hidden="1" customWidth="1"/>
    <col min="7" max="7" width="12.125" style="14" hidden="1" customWidth="1"/>
    <col min="8" max="8" width="11.5" style="14" hidden="1" customWidth="1"/>
    <col min="9" max="9" width="11.625" style="14" hidden="1" customWidth="1"/>
    <col min="10" max="10" width="12.125" style="14" hidden="1" customWidth="1"/>
    <col min="11" max="11" width="14.375" style="14" hidden="1" customWidth="1"/>
    <col min="12" max="12" width="17" style="14" hidden="1" customWidth="1"/>
    <col min="13" max="14" width="12" style="27" hidden="1" customWidth="1"/>
    <col min="15" max="15" width="16.625" style="14" hidden="1" customWidth="1"/>
    <col min="16" max="16" width="9.875" style="14" hidden="1" customWidth="1"/>
    <col min="17" max="18" width="17.375" style="14" hidden="1" customWidth="1"/>
    <col min="19" max="19" width="8.5" style="14" hidden="1" customWidth="1"/>
    <col min="20" max="20" width="2.5" style="17" hidden="1" customWidth="1"/>
    <col min="21" max="21" width="14.375" style="14" hidden="1" customWidth="1"/>
    <col min="22" max="22" width="17" style="14" hidden="1" customWidth="1"/>
    <col min="23" max="23" width="9.5" style="27" hidden="1" customWidth="1"/>
    <col min="24" max="24" width="9" style="27" hidden="1" customWidth="1"/>
    <col min="25" max="25" width="13.125" style="14" hidden="1" customWidth="1"/>
    <col min="26" max="26" width="9" style="14" hidden="1" customWidth="1"/>
    <col min="27" max="27" width="17.375" style="14" hidden="1" customWidth="1"/>
    <col min="28" max="28" width="15.625" style="14" hidden="1" customWidth="1"/>
    <col min="29" max="29" width="8.875" style="14" hidden="1" customWidth="1"/>
    <col min="30" max="30" width="16.125" style="14" hidden="1" customWidth="1"/>
    <col min="31" max="31" width="17.375" style="14" bestFit="1" customWidth="1"/>
    <col min="32" max="32" width="8.875" style="14"/>
    <col min="33" max="33" width="17" style="14" bestFit="1" customWidth="1"/>
    <col min="34" max="34" width="13.5" style="14" bestFit="1" customWidth="1"/>
    <col min="35" max="16384" width="8.875" style="14"/>
  </cols>
  <sheetData>
    <row r="1" spans="1:31" x14ac:dyDescent="0.25">
      <c r="A1" s="25" t="s">
        <v>229</v>
      </c>
    </row>
    <row r="2" spans="1:31" x14ac:dyDescent="0.25">
      <c r="A2" s="14" t="s">
        <v>232</v>
      </c>
      <c r="O2" s="28"/>
      <c r="Y2" s="28"/>
    </row>
    <row r="3" spans="1:31" x14ac:dyDescent="0.25">
      <c r="A3" s="14" t="s">
        <v>233</v>
      </c>
    </row>
    <row r="4" spans="1:31" ht="15" customHeight="1" x14ac:dyDescent="0.25">
      <c r="B4" s="29" t="s">
        <v>234</v>
      </c>
      <c r="C4" s="30">
        <v>43802</v>
      </c>
      <c r="F4" s="31"/>
      <c r="G4" s="32"/>
      <c r="H4" s="32"/>
      <c r="I4" s="32"/>
    </row>
    <row r="5" spans="1:31" ht="7.5" customHeight="1" x14ac:dyDescent="0.25">
      <c r="F5" s="32"/>
      <c r="G5" s="32"/>
      <c r="H5" s="32"/>
      <c r="I5" s="33"/>
    </row>
    <row r="6" spans="1:31" ht="7.5" customHeight="1" x14ac:dyDescent="0.25">
      <c r="F6" s="32"/>
      <c r="G6" s="32"/>
      <c r="H6" s="32"/>
      <c r="I6" s="32"/>
    </row>
    <row r="7" spans="1:31" ht="7.5" customHeight="1" x14ac:dyDescent="0.25">
      <c r="F7" s="32"/>
      <c r="G7" s="32"/>
      <c r="H7" s="32"/>
      <c r="I7" s="34"/>
    </row>
    <row r="8" spans="1:31" s="28" customFormat="1" x14ac:dyDescent="0.25">
      <c r="B8" s="35"/>
      <c r="C8" s="26"/>
      <c r="D8" s="36" t="s">
        <v>235</v>
      </c>
      <c r="E8" s="37"/>
      <c r="F8" s="14"/>
      <c r="M8" s="38"/>
      <c r="N8" s="38"/>
      <c r="Q8" s="39" t="s">
        <v>236</v>
      </c>
      <c r="T8" s="40"/>
      <c r="W8" s="38"/>
      <c r="X8" s="38"/>
      <c r="AA8" s="39" t="s">
        <v>236</v>
      </c>
    </row>
    <row r="9" spans="1:31" x14ac:dyDescent="0.25">
      <c r="D9" s="41">
        <v>471873500</v>
      </c>
      <c r="E9" s="42"/>
      <c r="H9" s="17"/>
      <c r="I9" s="17"/>
      <c r="J9" s="43"/>
      <c r="Q9" s="15">
        <f>COUNTIF(L$19:L$215,"&lt;="&amp;Q11)</f>
        <v>186</v>
      </c>
      <c r="AA9" s="15">
        <f>COUNTIF(V$19:V$215,"&lt;="&amp;AA11)</f>
        <v>14</v>
      </c>
    </row>
    <row r="10" spans="1:31" x14ac:dyDescent="0.25">
      <c r="D10" s="44" t="s">
        <v>237</v>
      </c>
      <c r="E10" s="44" t="s">
        <v>238</v>
      </c>
      <c r="Q10" s="26" t="s">
        <v>239</v>
      </c>
      <c r="AA10" s="26" t="s">
        <v>239</v>
      </c>
    </row>
    <row r="11" spans="1:31" x14ac:dyDescent="0.25">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5">
      <c r="C12" s="26" t="s">
        <v>242</v>
      </c>
      <c r="D12" s="52">
        <f>D11*$D$9</f>
        <v>0</v>
      </c>
      <c r="E12" s="52">
        <f>E11*$D$9</f>
        <v>471873500</v>
      </c>
      <c r="P12" s="26" t="s">
        <v>243</v>
      </c>
      <c r="Q12" s="53">
        <f>-$I$232</f>
        <v>2726.8174999999997</v>
      </c>
      <c r="Z12" s="26" t="s">
        <v>243</v>
      </c>
      <c r="AA12" s="54">
        <f>-$I$232</f>
        <v>2726.8174999999997</v>
      </c>
    </row>
    <row r="13" spans="1:31" x14ac:dyDescent="0.25">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5">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5">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5">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5">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5">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5">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5">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5">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5">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5">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5">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5">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5">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5">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5">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5">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5">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5">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5">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5">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5">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5">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5">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5">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5">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5">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5">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5">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5">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5">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5">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5">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5">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5">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5">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5">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5">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5">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5">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5">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5">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5">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5">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5">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5">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5">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5">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5">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5">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5">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5">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5">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5">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5">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5">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5">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5">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5">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5">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5">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5">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5">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5">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5">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5">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5">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5">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5">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5">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5">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5">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5">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5">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5">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5">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5">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5">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5">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5">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5">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5">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5">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5">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5">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5">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5">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5">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5">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5">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5">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5">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5">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5">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5">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5">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5">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5">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5">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5">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5">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5">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5">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5">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5">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5">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5">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5">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5">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5">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5">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5">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5">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5">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5">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5">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5">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5">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5">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5">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5">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5">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5">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5">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5">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5">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5">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5">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5">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5">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5">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5">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5">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5">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5">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5">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5">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5">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5">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5">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5">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5">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5">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5">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5">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5">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5">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5">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5">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5">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5">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5">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5">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5">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5">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5">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5">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5">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5">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5">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5">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5">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5">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5">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5">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5">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5">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5">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5">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5">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5">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5">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5">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5">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5">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5">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5">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5">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5">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5">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5">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5">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5">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5">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5">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5">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5">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5">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5">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5">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5">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5">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5">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5">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5">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5">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5">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5">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5">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5">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5">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5">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5">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5">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5">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5">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5">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5">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5">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5">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5">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5">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5">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5">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5">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5">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5">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5">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3">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6.5" thickTop="1" x14ac:dyDescent="0.25">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5">
      <c r="B234" s="18" t="s">
        <v>312</v>
      </c>
      <c r="L234" s="59"/>
      <c r="N234" s="64"/>
      <c r="V234" s="59"/>
      <c r="X234" s="64"/>
      <c r="AD234" s="16"/>
      <c r="AE234" s="16"/>
      <c r="AG234" s="16"/>
    </row>
    <row r="235" spans="2:34" x14ac:dyDescent="0.25">
      <c r="B235" s="18" t="s">
        <v>313</v>
      </c>
      <c r="N235" s="70"/>
      <c r="X235" s="70"/>
    </row>
    <row r="236" spans="2:34" x14ac:dyDescent="0.25">
      <c r="B236" s="18" t="s">
        <v>314</v>
      </c>
      <c r="N236" s="70"/>
      <c r="X236" s="70"/>
    </row>
    <row r="237" spans="2:34" x14ac:dyDescent="0.25">
      <c r="L237" s="115"/>
      <c r="R237" s="17"/>
      <c r="S237" s="17"/>
      <c r="V237" s="115"/>
      <c r="AB237" s="17"/>
      <c r="AC237" s="17"/>
    </row>
    <row r="238" spans="2:34" x14ac:dyDescent="0.25">
      <c r="B238" s="26"/>
      <c r="L238" s="59"/>
      <c r="Q238" s="16"/>
      <c r="V238" s="59"/>
      <c r="AA238" s="16"/>
    </row>
    <row r="239" spans="2:34" x14ac:dyDescent="0.25">
      <c r="B239" s="116"/>
      <c r="C239" s="117"/>
      <c r="L239" s="17"/>
      <c r="O239" s="16"/>
      <c r="V239" s="17"/>
      <c r="Y239" s="16"/>
    </row>
    <row r="240" spans="2:34" x14ac:dyDescent="0.25">
      <c r="B240" s="116"/>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1"/>
  <sheetViews>
    <sheetView workbookViewId="0">
      <pane ySplit="1" topLeftCell="A199" activePane="bottomLeft" state="frozen"/>
      <selection activeCell="C228" sqref="C228"/>
      <selection pane="bottomLeft" activeCell="F201" sqref="F201"/>
    </sheetView>
  </sheetViews>
  <sheetFormatPr defaultColWidth="10.625" defaultRowHeight="15.75" x14ac:dyDescent="0.25"/>
  <cols>
    <col min="2" max="2" width="54.625" customWidth="1"/>
    <col min="3" max="5" width="33.875" style="165" customWidth="1"/>
    <col min="6" max="7" width="33.875" style="168" customWidth="1"/>
    <col min="8" max="30" width="33.875" customWidth="1"/>
  </cols>
  <sheetData>
    <row r="1" spans="2:9" x14ac:dyDescent="0.25">
      <c r="B1" s="211" t="s">
        <v>409</v>
      </c>
      <c r="C1" s="212" t="s">
        <v>382</v>
      </c>
      <c r="D1" s="212" t="s">
        <v>377</v>
      </c>
      <c r="E1" s="212" t="s">
        <v>343</v>
      </c>
      <c r="F1" s="212" t="s">
        <v>376</v>
      </c>
      <c r="G1" s="212" t="s">
        <v>477</v>
      </c>
      <c r="H1" s="212" t="s">
        <v>410</v>
      </c>
      <c r="I1" s="212" t="s">
        <v>478</v>
      </c>
    </row>
    <row r="2" spans="2:9" x14ac:dyDescent="0.25">
      <c r="B2" t="s">
        <v>70</v>
      </c>
      <c r="C2" s="169">
        <v>26924.641256556453</v>
      </c>
      <c r="D2" s="167">
        <f>C2-F2</f>
        <v>26924.641256556453</v>
      </c>
      <c r="E2" s="168">
        <f t="shared" ref="E2:E77" si="0">MIN((C2*0.05),500000)</f>
        <v>1346.2320628278228</v>
      </c>
    </row>
    <row r="3" spans="2:9" x14ac:dyDescent="0.25">
      <c r="B3" t="s">
        <v>73</v>
      </c>
      <c r="C3" s="169">
        <v>255085.12825026611</v>
      </c>
      <c r="D3" s="167">
        <f>C3-F3</f>
        <v>255085.12825026611</v>
      </c>
      <c r="E3" s="168">
        <f t="shared" si="0"/>
        <v>12754.256412513307</v>
      </c>
    </row>
    <row r="4" spans="2:9" x14ac:dyDescent="0.25">
      <c r="B4" t="s">
        <v>131</v>
      </c>
      <c r="C4" s="169">
        <v>253290.97785549422</v>
      </c>
      <c r="D4" s="167">
        <f>C4-F4</f>
        <v>253290.97785549422</v>
      </c>
      <c r="E4" s="168">
        <f t="shared" si="0"/>
        <v>12664.548892774712</v>
      </c>
    </row>
    <row r="5" spans="2:9" x14ac:dyDescent="0.25">
      <c r="B5" t="s">
        <v>168</v>
      </c>
      <c r="C5" s="169">
        <v>554179.44422289392</v>
      </c>
      <c r="D5" s="167">
        <f t="shared" ref="D5:D18" si="1">C5-F5</f>
        <v>554179.44422289392</v>
      </c>
      <c r="E5" s="168">
        <f t="shared" si="0"/>
        <v>27708.972211144697</v>
      </c>
    </row>
    <row r="6" spans="2:9" x14ac:dyDescent="0.25">
      <c r="B6" t="s">
        <v>75</v>
      </c>
      <c r="C6" s="169">
        <v>101853.22540942741</v>
      </c>
      <c r="D6" s="167">
        <f t="shared" si="1"/>
        <v>101853.22540942741</v>
      </c>
      <c r="E6" s="168">
        <f t="shared" si="0"/>
        <v>5092.6612704713707</v>
      </c>
    </row>
    <row r="7" spans="2:9" x14ac:dyDescent="0.25">
      <c r="B7" t="s">
        <v>492</v>
      </c>
      <c r="C7" s="169">
        <v>243122.78</v>
      </c>
      <c r="D7" s="167">
        <f t="shared" si="1"/>
        <v>243122.78</v>
      </c>
      <c r="E7" s="168">
        <f t="shared" si="0"/>
        <v>12156.139000000001</v>
      </c>
    </row>
    <row r="8" spans="2:9" x14ac:dyDescent="0.25">
      <c r="B8" t="s">
        <v>81</v>
      </c>
      <c r="C8" s="169">
        <v>176692.5274518916</v>
      </c>
      <c r="D8" s="167">
        <f t="shared" si="1"/>
        <v>176692.5274518916</v>
      </c>
      <c r="E8" s="168">
        <f t="shared" si="0"/>
        <v>8834.626372594581</v>
      </c>
    </row>
    <row r="9" spans="2:9" x14ac:dyDescent="0.25">
      <c r="B9" t="s">
        <v>484</v>
      </c>
      <c r="C9" s="169">
        <v>50462.16</v>
      </c>
      <c r="D9" s="167">
        <f t="shared" si="1"/>
        <v>50462.16</v>
      </c>
      <c r="E9" s="168">
        <f t="shared" si="0"/>
        <v>2523.1080000000002</v>
      </c>
    </row>
    <row r="10" spans="2:9" x14ac:dyDescent="0.25">
      <c r="B10" t="s">
        <v>82</v>
      </c>
      <c r="C10" s="169">
        <v>26924.641256556453</v>
      </c>
      <c r="D10" s="167">
        <f t="shared" si="1"/>
        <v>26924.641256556453</v>
      </c>
      <c r="E10" s="168">
        <f t="shared" si="0"/>
        <v>1346.2320628278228</v>
      </c>
    </row>
    <row r="11" spans="2:9" x14ac:dyDescent="0.25">
      <c r="B11" t="s">
        <v>84</v>
      </c>
      <c r="C11" s="169">
        <v>1858802.8664935071</v>
      </c>
      <c r="D11" s="167">
        <f t="shared" si="1"/>
        <v>1858802.8664935071</v>
      </c>
      <c r="E11" s="168">
        <f t="shared" si="0"/>
        <v>92940.143324675359</v>
      </c>
    </row>
    <row r="12" spans="2:9" x14ac:dyDescent="0.25">
      <c r="B12" t="s">
        <v>87</v>
      </c>
      <c r="C12" s="169">
        <v>26924.641256556453</v>
      </c>
      <c r="D12" s="167">
        <f t="shared" si="1"/>
        <v>26924.641256556453</v>
      </c>
      <c r="E12" s="168">
        <f t="shared" si="0"/>
        <v>1346.2320628278228</v>
      </c>
    </row>
    <row r="13" spans="2:9" x14ac:dyDescent="0.25">
      <c r="B13" t="s">
        <v>88</v>
      </c>
      <c r="C13" s="169">
        <v>1222617.6423141735</v>
      </c>
      <c r="D13" s="167">
        <f t="shared" si="1"/>
        <v>1222617.6423141735</v>
      </c>
      <c r="E13" s="168">
        <f t="shared" si="0"/>
        <v>61130.882115708679</v>
      </c>
    </row>
    <row r="14" spans="2:9" x14ac:dyDescent="0.25">
      <c r="B14" t="s">
        <v>91</v>
      </c>
      <c r="C14" s="169">
        <v>416003.36997846147</v>
      </c>
      <c r="D14" s="167">
        <f t="shared" si="1"/>
        <v>416003.36997846147</v>
      </c>
      <c r="E14" s="168">
        <f t="shared" si="0"/>
        <v>20800.168498923074</v>
      </c>
    </row>
    <row r="15" spans="2:9" x14ac:dyDescent="0.25">
      <c r="B15" t="s">
        <v>63</v>
      </c>
      <c r="C15" s="169">
        <v>1479167.1111803791</v>
      </c>
      <c r="D15" s="167">
        <f>C15-F16</f>
        <v>1304959.301180379</v>
      </c>
      <c r="E15" s="168">
        <f t="shared" si="0"/>
        <v>73958.35555901895</v>
      </c>
      <c r="G15" s="168">
        <f>F16</f>
        <v>174207.81</v>
      </c>
    </row>
    <row r="16" spans="2:9" x14ac:dyDescent="0.25">
      <c r="B16" s="134" t="s">
        <v>411</v>
      </c>
      <c r="C16" s="169"/>
      <c r="D16" s="167"/>
      <c r="E16" s="168"/>
      <c r="F16" s="168">
        <v>174207.81</v>
      </c>
      <c r="G16" s="168">
        <f>F16</f>
        <v>174207.81</v>
      </c>
      <c r="I16" t="s">
        <v>479</v>
      </c>
    </row>
    <row r="17" spans="2:9" x14ac:dyDescent="0.25">
      <c r="B17" t="s">
        <v>92</v>
      </c>
      <c r="C17" s="169">
        <v>502698.93779825035</v>
      </c>
      <c r="D17" s="167">
        <f t="shared" si="1"/>
        <v>502698.93779825035</v>
      </c>
      <c r="E17" s="168">
        <f t="shared" si="0"/>
        <v>25134.94688991252</v>
      </c>
    </row>
    <row r="18" spans="2:9" x14ac:dyDescent="0.25">
      <c r="B18" t="s">
        <v>170</v>
      </c>
      <c r="C18" s="169">
        <v>707088.52061506652</v>
      </c>
      <c r="D18" s="167">
        <f t="shared" si="1"/>
        <v>707088.52061506652</v>
      </c>
      <c r="E18" s="168">
        <f t="shared" si="0"/>
        <v>35354.426030753326</v>
      </c>
    </row>
    <row r="19" spans="2:9" x14ac:dyDescent="0.25">
      <c r="B19" t="s">
        <v>118</v>
      </c>
      <c r="C19" s="169">
        <v>26790868.438143119</v>
      </c>
      <c r="D19" s="167">
        <f>C19-G19</f>
        <v>26790868.438143119</v>
      </c>
      <c r="E19" s="168">
        <f t="shared" si="0"/>
        <v>500000</v>
      </c>
    </row>
    <row r="20" spans="2:9" x14ac:dyDescent="0.25">
      <c r="B20" t="s">
        <v>315</v>
      </c>
      <c r="C20" s="169">
        <v>111415.51</v>
      </c>
      <c r="D20" s="167">
        <f t="shared" ref="D20" si="2">C20-F20</f>
        <v>111415.51</v>
      </c>
      <c r="E20" s="168">
        <f t="shared" si="0"/>
        <v>5570.7754999999997</v>
      </c>
    </row>
    <row r="21" spans="2:9" x14ac:dyDescent="0.25">
      <c r="B21" t="s">
        <v>38</v>
      </c>
      <c r="C21" s="169">
        <v>11511965.581024354</v>
      </c>
      <c r="D21" s="167">
        <f>C21-F22</f>
        <v>11426676.391024355</v>
      </c>
      <c r="E21" s="168">
        <f t="shared" si="0"/>
        <v>500000</v>
      </c>
      <c r="G21" s="168">
        <f>F22</f>
        <v>85289.19</v>
      </c>
    </row>
    <row r="22" spans="2:9" x14ac:dyDescent="0.25">
      <c r="B22" s="134" t="s">
        <v>412</v>
      </c>
      <c r="C22" s="169"/>
      <c r="D22" s="167"/>
      <c r="E22" s="168"/>
      <c r="F22" s="168">
        <v>85289.19</v>
      </c>
      <c r="G22" s="168">
        <f>F22</f>
        <v>85289.19</v>
      </c>
      <c r="I22" t="s">
        <v>479</v>
      </c>
    </row>
    <row r="23" spans="2:9" x14ac:dyDescent="0.25">
      <c r="B23" t="s">
        <v>139</v>
      </c>
      <c r="C23" s="169">
        <v>3759820.6626160387</v>
      </c>
      <c r="D23" s="167">
        <f t="shared" ref="D23:D40" si="3">C23-F23</f>
        <v>3759820.6626160387</v>
      </c>
      <c r="E23" s="168">
        <f t="shared" si="0"/>
        <v>187991.03313080195</v>
      </c>
    </row>
    <row r="24" spans="2:9" x14ac:dyDescent="0.25">
      <c r="B24" t="s">
        <v>171</v>
      </c>
      <c r="C24" s="169">
        <v>209200.69311366772</v>
      </c>
      <c r="D24" s="167">
        <f t="shared" si="3"/>
        <v>209200.69311366772</v>
      </c>
      <c r="E24" s="168">
        <f t="shared" si="0"/>
        <v>10460.034655683387</v>
      </c>
    </row>
    <row r="25" spans="2:9" x14ac:dyDescent="0.25">
      <c r="B25" t="s">
        <v>98</v>
      </c>
      <c r="C25" s="169">
        <v>33433.673280328978</v>
      </c>
      <c r="D25" s="167">
        <f t="shared" si="3"/>
        <v>33433.673280328978</v>
      </c>
      <c r="E25" s="168">
        <f t="shared" si="0"/>
        <v>1671.683664016449</v>
      </c>
    </row>
    <row r="26" spans="2:9" x14ac:dyDescent="0.25">
      <c r="B26" t="s">
        <v>100</v>
      </c>
      <c r="C26" s="169">
        <v>1018207.2198250248</v>
      </c>
      <c r="D26" s="167">
        <f t="shared" si="3"/>
        <v>1018207.2198250248</v>
      </c>
      <c r="E26" s="168">
        <f t="shared" si="0"/>
        <v>50910.360991251247</v>
      </c>
    </row>
    <row r="27" spans="2:9" x14ac:dyDescent="0.25">
      <c r="B27" t="s">
        <v>101</v>
      </c>
      <c r="C27" s="169">
        <v>77887.386829836454</v>
      </c>
      <c r="D27" s="167">
        <f t="shared" si="3"/>
        <v>77887.386829836454</v>
      </c>
      <c r="E27" s="168">
        <f t="shared" si="0"/>
        <v>3894.369341491823</v>
      </c>
    </row>
    <row r="28" spans="2:9" x14ac:dyDescent="0.25">
      <c r="B28" t="s">
        <v>102</v>
      </c>
      <c r="C28" s="169">
        <v>217284.65510310125</v>
      </c>
      <c r="D28" s="167">
        <f t="shared" si="3"/>
        <v>217284.65510310125</v>
      </c>
      <c r="E28" s="168">
        <f t="shared" si="0"/>
        <v>10864.232755155062</v>
      </c>
    </row>
    <row r="29" spans="2:9" x14ac:dyDescent="0.25">
      <c r="B29" t="s">
        <v>103</v>
      </c>
      <c r="C29" s="169">
        <v>197768.43658685134</v>
      </c>
      <c r="D29" s="167">
        <f t="shared" si="3"/>
        <v>197768.43658685134</v>
      </c>
      <c r="E29" s="168">
        <f t="shared" si="0"/>
        <v>9888.4218293425674</v>
      </c>
    </row>
    <row r="30" spans="2:9" x14ac:dyDescent="0.25">
      <c r="B30" t="s">
        <v>62</v>
      </c>
      <c r="C30" s="169">
        <v>3068902.4891975522</v>
      </c>
      <c r="D30" s="167">
        <f t="shared" si="3"/>
        <v>3068902.4891975522</v>
      </c>
      <c r="E30" s="168">
        <f t="shared" si="0"/>
        <v>153445.12445987761</v>
      </c>
    </row>
    <row r="31" spans="2:9" x14ac:dyDescent="0.25">
      <c r="B31" t="s">
        <v>104</v>
      </c>
      <c r="C31" s="169">
        <v>1656614.965441522</v>
      </c>
      <c r="D31" s="167">
        <f t="shared" si="3"/>
        <v>1656614.965441522</v>
      </c>
      <c r="E31" s="168">
        <f t="shared" si="0"/>
        <v>82830.748272076104</v>
      </c>
    </row>
    <row r="32" spans="2:9" x14ac:dyDescent="0.25">
      <c r="B32" t="s">
        <v>47</v>
      </c>
      <c r="C32" s="169">
        <v>4296088.5969415726</v>
      </c>
      <c r="D32" s="167">
        <f t="shared" si="3"/>
        <v>4296088.5969415726</v>
      </c>
      <c r="E32" s="168">
        <f t="shared" si="0"/>
        <v>214804.42984707863</v>
      </c>
    </row>
    <row r="33" spans="2:9" x14ac:dyDescent="0.25">
      <c r="B33" t="s">
        <v>129</v>
      </c>
      <c r="C33" s="169">
        <v>347125.39890732896</v>
      </c>
      <c r="D33" s="167">
        <f t="shared" si="3"/>
        <v>347125.39890732896</v>
      </c>
      <c r="E33" s="168">
        <f t="shared" si="0"/>
        <v>17356.26994536645</v>
      </c>
    </row>
    <row r="34" spans="2:9" x14ac:dyDescent="0.25">
      <c r="B34" t="s">
        <v>105</v>
      </c>
      <c r="C34" s="169">
        <v>467761.95409800281</v>
      </c>
      <c r="D34" s="167">
        <f t="shared" si="3"/>
        <v>467761.95409800281</v>
      </c>
      <c r="E34" s="168">
        <f t="shared" si="0"/>
        <v>23388.097704900141</v>
      </c>
    </row>
    <row r="35" spans="2:9" x14ac:dyDescent="0.25">
      <c r="B35" t="s">
        <v>59</v>
      </c>
      <c r="C35" s="169">
        <v>3113275.0518783126</v>
      </c>
      <c r="D35" s="167">
        <f t="shared" si="3"/>
        <v>3113275.0518783126</v>
      </c>
      <c r="E35" s="168">
        <f t="shared" si="0"/>
        <v>155663.75259391565</v>
      </c>
    </row>
    <row r="36" spans="2:9" x14ac:dyDescent="0.25">
      <c r="B36" t="s">
        <v>106</v>
      </c>
      <c r="C36" s="169">
        <v>2195906.4292816031</v>
      </c>
      <c r="D36" s="167">
        <f t="shared" si="3"/>
        <v>2195906.4292816031</v>
      </c>
      <c r="E36" s="168">
        <f t="shared" si="0"/>
        <v>109795.32146408016</v>
      </c>
    </row>
    <row r="37" spans="2:9" x14ac:dyDescent="0.25">
      <c r="B37" t="s">
        <v>486</v>
      </c>
      <c r="C37" s="169">
        <v>24859.52</v>
      </c>
      <c r="D37" s="167">
        <f t="shared" si="3"/>
        <v>24859.52</v>
      </c>
      <c r="E37" s="168">
        <f t="shared" si="0"/>
        <v>1242.9760000000001</v>
      </c>
    </row>
    <row r="38" spans="2:9" x14ac:dyDescent="0.25">
      <c r="B38" t="s">
        <v>95</v>
      </c>
      <c r="C38" s="169">
        <v>520912.05752696545</v>
      </c>
      <c r="D38" s="167">
        <f t="shared" si="3"/>
        <v>520912.05752696545</v>
      </c>
      <c r="E38" s="168">
        <f t="shared" si="0"/>
        <v>26045.602876348275</v>
      </c>
    </row>
    <row r="39" spans="2:9" x14ac:dyDescent="0.25">
      <c r="B39" t="s">
        <v>120</v>
      </c>
      <c r="C39" s="169">
        <v>425220.80551551352</v>
      </c>
      <c r="D39" s="167">
        <f t="shared" si="3"/>
        <v>425220.80551551352</v>
      </c>
      <c r="E39" s="168">
        <f t="shared" si="0"/>
        <v>21261.040275775678</v>
      </c>
    </row>
    <row r="40" spans="2:9" x14ac:dyDescent="0.25">
      <c r="B40" t="s">
        <v>109</v>
      </c>
      <c r="C40" s="169">
        <v>152626.20611113121</v>
      </c>
      <c r="D40" s="167">
        <f t="shared" si="3"/>
        <v>152626.20611113121</v>
      </c>
      <c r="E40" s="168">
        <f t="shared" si="0"/>
        <v>7631.3103055565607</v>
      </c>
    </row>
    <row r="41" spans="2:9" x14ac:dyDescent="0.25">
      <c r="B41" t="s">
        <v>42</v>
      </c>
      <c r="C41" s="169">
        <v>2194899.8246435849</v>
      </c>
      <c r="D41" s="167">
        <f>C41-F41</f>
        <v>2194899.8246435849</v>
      </c>
      <c r="E41" s="168">
        <f t="shared" si="0"/>
        <v>109744.99123217925</v>
      </c>
    </row>
    <row r="42" spans="2:9" x14ac:dyDescent="0.25">
      <c r="B42" t="s">
        <v>114</v>
      </c>
      <c r="C42" s="169">
        <v>863532.37160996476</v>
      </c>
      <c r="D42" s="167">
        <f t="shared" ref="D42:D43" si="4">C42-F42</f>
        <v>863532.37160996476</v>
      </c>
      <c r="E42" s="168">
        <f t="shared" si="0"/>
        <v>43176.618580498238</v>
      </c>
    </row>
    <row r="43" spans="2:9" x14ac:dyDescent="0.25">
      <c r="B43" t="s">
        <v>111</v>
      </c>
      <c r="C43" s="169">
        <v>746675.92835314642</v>
      </c>
      <c r="D43" s="167">
        <f t="shared" si="4"/>
        <v>746675.92835314642</v>
      </c>
      <c r="E43" s="168">
        <f t="shared" si="0"/>
        <v>37333.796417657322</v>
      </c>
    </row>
    <row r="44" spans="2:9" x14ac:dyDescent="0.25">
      <c r="B44" t="s">
        <v>51</v>
      </c>
      <c r="C44" s="169">
        <v>4322652.8787995512</v>
      </c>
      <c r="D44" s="167">
        <f>C44-F45</f>
        <v>4250645.6187995514</v>
      </c>
      <c r="E44" s="168">
        <f t="shared" si="0"/>
        <v>216132.64393997757</v>
      </c>
      <c r="G44" s="168">
        <f>F45</f>
        <v>72007.259999999995</v>
      </c>
    </row>
    <row r="45" spans="2:9" x14ac:dyDescent="0.25">
      <c r="B45" s="134" t="s">
        <v>413</v>
      </c>
      <c r="C45" s="169"/>
      <c r="D45" s="167"/>
      <c r="E45" s="168"/>
      <c r="F45" s="168">
        <v>72007.259999999995</v>
      </c>
      <c r="G45" s="168">
        <f>F45</f>
        <v>72007.259999999995</v>
      </c>
      <c r="I45" t="s">
        <v>479</v>
      </c>
    </row>
    <row r="46" spans="2:9" s="213" customFormat="1" x14ac:dyDescent="0.25">
      <c r="B46" s="213" t="s">
        <v>414</v>
      </c>
      <c r="C46" s="214"/>
      <c r="D46" s="215"/>
      <c r="E46" s="168"/>
      <c r="F46" s="168">
        <v>112940.79</v>
      </c>
      <c r="G46" s="168">
        <f>F46</f>
        <v>112940.79</v>
      </c>
      <c r="I46" s="213" t="s">
        <v>479</v>
      </c>
    </row>
    <row r="47" spans="2:9" x14ac:dyDescent="0.25">
      <c r="B47" t="s">
        <v>112</v>
      </c>
      <c r="C47" s="169">
        <v>252149.96540832386</v>
      </c>
      <c r="D47" s="167">
        <f t="shared" ref="D47:D48" si="5">C47-F47</f>
        <v>252149.96540832386</v>
      </c>
      <c r="E47" s="168">
        <f t="shared" si="0"/>
        <v>12607.498270416194</v>
      </c>
    </row>
    <row r="48" spans="2:9" x14ac:dyDescent="0.25">
      <c r="B48" t="s">
        <v>113</v>
      </c>
      <c r="C48" s="169">
        <v>864414.26130968216</v>
      </c>
      <c r="D48" s="167">
        <f t="shared" si="5"/>
        <v>864414.26130968216</v>
      </c>
      <c r="E48" s="168">
        <f t="shared" si="0"/>
        <v>43220.713065484109</v>
      </c>
    </row>
    <row r="49" spans="2:9" x14ac:dyDescent="0.25">
      <c r="B49" t="s">
        <v>147</v>
      </c>
      <c r="C49" s="169">
        <v>2019371.3571317797</v>
      </c>
      <c r="D49" s="167">
        <f>C49-F50</f>
        <v>1888531.0671317796</v>
      </c>
      <c r="E49" s="168">
        <f t="shared" si="0"/>
        <v>100968.56785658898</v>
      </c>
      <c r="G49" s="168">
        <f>F50</f>
        <v>130840.29</v>
      </c>
    </row>
    <row r="50" spans="2:9" x14ac:dyDescent="0.25">
      <c r="B50" s="134" t="s">
        <v>415</v>
      </c>
      <c r="C50" s="169"/>
      <c r="D50" s="167"/>
      <c r="E50" s="168"/>
      <c r="F50" s="168">
        <v>130840.29</v>
      </c>
      <c r="G50" s="168">
        <f>F50</f>
        <v>130840.29</v>
      </c>
      <c r="I50" t="s">
        <v>479</v>
      </c>
    </row>
    <row r="51" spans="2:9" x14ac:dyDescent="0.25">
      <c r="B51" t="s">
        <v>124</v>
      </c>
      <c r="C51" s="169">
        <v>230612.40637437921</v>
      </c>
      <c r="D51" s="167">
        <f t="shared" ref="D51:D52" si="6">C51-F51</f>
        <v>230612.40637437921</v>
      </c>
      <c r="E51" s="168">
        <f t="shared" si="0"/>
        <v>11530.62031871896</v>
      </c>
    </row>
    <row r="52" spans="2:9" x14ac:dyDescent="0.25">
      <c r="B52" t="s">
        <v>176</v>
      </c>
      <c r="C52" s="169">
        <v>507956.24325000559</v>
      </c>
      <c r="D52" s="167">
        <f t="shared" si="6"/>
        <v>507956.24325000559</v>
      </c>
      <c r="E52" s="168">
        <f t="shared" si="0"/>
        <v>25397.812162500282</v>
      </c>
    </row>
    <row r="53" spans="2:9" x14ac:dyDescent="0.25">
      <c r="B53" t="s">
        <v>116</v>
      </c>
      <c r="C53" s="169">
        <v>2128100.8128224364</v>
      </c>
      <c r="D53" s="167">
        <f>C53-G53</f>
        <v>2017997.8728224365</v>
      </c>
      <c r="E53" s="168">
        <f t="shared" si="0"/>
        <v>106405.04064112183</v>
      </c>
      <c r="G53" s="168">
        <f>F54</f>
        <v>110102.94</v>
      </c>
    </row>
    <row r="54" spans="2:9" x14ac:dyDescent="0.25">
      <c r="B54" s="134" t="s">
        <v>416</v>
      </c>
      <c r="C54" s="169"/>
      <c r="D54" s="167"/>
      <c r="E54" s="168"/>
      <c r="F54" s="168">
        <v>110102.94</v>
      </c>
      <c r="G54" s="168">
        <f>F54</f>
        <v>110102.94</v>
      </c>
      <c r="I54" t="s">
        <v>479</v>
      </c>
    </row>
    <row r="55" spans="2:9" x14ac:dyDescent="0.25">
      <c r="B55" t="s">
        <v>61</v>
      </c>
      <c r="C55" s="169">
        <v>7134145.9431657242</v>
      </c>
      <c r="D55" s="167">
        <f>C55-F56</f>
        <v>7037172.8131657243</v>
      </c>
      <c r="E55" s="168">
        <f t="shared" si="0"/>
        <v>356707.29715828621</v>
      </c>
      <c r="G55" s="168">
        <f>F56</f>
        <v>96973.13</v>
      </c>
    </row>
    <row r="56" spans="2:9" x14ac:dyDescent="0.25">
      <c r="B56" s="134" t="s">
        <v>417</v>
      </c>
      <c r="C56" s="169"/>
      <c r="D56" s="167"/>
      <c r="E56" s="168"/>
      <c r="F56" s="168">
        <v>96973.13</v>
      </c>
      <c r="G56" s="168">
        <f>F56</f>
        <v>96973.13</v>
      </c>
      <c r="I56" t="s">
        <v>479</v>
      </c>
    </row>
    <row r="57" spans="2:9" x14ac:dyDescent="0.25">
      <c r="B57" t="s">
        <v>110</v>
      </c>
      <c r="C57" s="169">
        <v>679873.30863006937</v>
      </c>
      <c r="D57" s="167">
        <f t="shared" ref="D57:D69" si="7">C57-F57</f>
        <v>679873.30863006937</v>
      </c>
      <c r="E57" s="168">
        <f t="shared" si="0"/>
        <v>33993.665431503468</v>
      </c>
    </row>
    <row r="58" spans="2:9" x14ac:dyDescent="0.25">
      <c r="B58" t="s">
        <v>122</v>
      </c>
      <c r="C58" s="169">
        <v>76971.033589310813</v>
      </c>
      <c r="D58" s="167">
        <f t="shared" si="7"/>
        <v>76971.033589310813</v>
      </c>
      <c r="E58" s="168">
        <f t="shared" si="0"/>
        <v>3848.5516794655409</v>
      </c>
    </row>
    <row r="59" spans="2:9" x14ac:dyDescent="0.25">
      <c r="B59" t="s">
        <v>179</v>
      </c>
      <c r="C59" s="169">
        <v>201336.0592519101</v>
      </c>
      <c r="D59" s="167">
        <f t="shared" si="7"/>
        <v>201336.0592519101</v>
      </c>
      <c r="E59" s="168">
        <f t="shared" si="0"/>
        <v>10066.802962595506</v>
      </c>
    </row>
    <row r="60" spans="2:9" x14ac:dyDescent="0.25">
      <c r="B60" t="s">
        <v>54</v>
      </c>
      <c r="C60" s="169">
        <v>3744115.6270696539</v>
      </c>
      <c r="D60" s="167">
        <f t="shared" si="7"/>
        <v>3744115.6270696539</v>
      </c>
      <c r="E60" s="168">
        <f t="shared" si="0"/>
        <v>187205.78135348271</v>
      </c>
    </row>
    <row r="61" spans="2:9" x14ac:dyDescent="0.25">
      <c r="B61" t="s">
        <v>99</v>
      </c>
      <c r="C61" s="169">
        <v>270555.86556843587</v>
      </c>
      <c r="D61" s="167">
        <f t="shared" si="7"/>
        <v>270555.86556843587</v>
      </c>
      <c r="E61" s="168">
        <f t="shared" si="0"/>
        <v>13527.793278421794</v>
      </c>
    </row>
    <row r="62" spans="2:9" x14ac:dyDescent="0.25">
      <c r="B62" t="s">
        <v>44</v>
      </c>
      <c r="C62" s="169">
        <v>2598370.3148928657</v>
      </c>
      <c r="D62" s="167">
        <f t="shared" si="7"/>
        <v>2598370.3148928657</v>
      </c>
      <c r="E62" s="168">
        <f t="shared" si="0"/>
        <v>129918.51574464329</v>
      </c>
    </row>
    <row r="63" spans="2:9" x14ac:dyDescent="0.25">
      <c r="B63" t="s">
        <v>485</v>
      </c>
      <c r="C63" s="169">
        <v>103898.15</v>
      </c>
      <c r="D63" s="167">
        <f t="shared" si="7"/>
        <v>103898.15</v>
      </c>
      <c r="E63" s="168">
        <f t="shared" si="0"/>
        <v>5194.9075000000003</v>
      </c>
    </row>
    <row r="64" spans="2:9" x14ac:dyDescent="0.25">
      <c r="B64" t="s">
        <v>132</v>
      </c>
      <c r="C64" s="169">
        <v>234686.69693860383</v>
      </c>
      <c r="D64" s="167">
        <f t="shared" si="7"/>
        <v>234686.69693860383</v>
      </c>
      <c r="E64" s="168">
        <f t="shared" si="0"/>
        <v>11734.334846930193</v>
      </c>
    </row>
    <row r="65" spans="2:9" x14ac:dyDescent="0.25">
      <c r="B65" t="s">
        <v>133</v>
      </c>
      <c r="C65" s="169">
        <v>305854.39335147646</v>
      </c>
      <c r="D65" s="167">
        <f t="shared" si="7"/>
        <v>305854.39335147646</v>
      </c>
      <c r="E65" s="168">
        <f t="shared" si="0"/>
        <v>15292.719667573823</v>
      </c>
    </row>
    <row r="66" spans="2:9" x14ac:dyDescent="0.25">
      <c r="B66" t="s">
        <v>134</v>
      </c>
      <c r="C66" s="169">
        <v>223695.30448772234</v>
      </c>
      <c r="D66" s="167">
        <f t="shared" si="7"/>
        <v>223695.30448772234</v>
      </c>
      <c r="E66" s="168">
        <f t="shared" si="0"/>
        <v>11184.765224386118</v>
      </c>
    </row>
    <row r="67" spans="2:9" x14ac:dyDescent="0.25">
      <c r="B67" t="s">
        <v>135</v>
      </c>
      <c r="C67" s="169">
        <v>320415.9932329774</v>
      </c>
      <c r="D67" s="167">
        <f t="shared" si="7"/>
        <v>320415.9932329774</v>
      </c>
      <c r="E67" s="168">
        <f t="shared" si="0"/>
        <v>16020.799661648871</v>
      </c>
    </row>
    <row r="68" spans="2:9" x14ac:dyDescent="0.25">
      <c r="B68" t="s">
        <v>328</v>
      </c>
      <c r="C68" s="169">
        <v>18066.43</v>
      </c>
      <c r="D68" s="167">
        <f t="shared" si="7"/>
        <v>18066.43</v>
      </c>
      <c r="E68" s="168">
        <f t="shared" si="0"/>
        <v>903.32150000000001</v>
      </c>
    </row>
    <row r="69" spans="2:9" x14ac:dyDescent="0.25">
      <c r="B69" t="s">
        <v>69</v>
      </c>
      <c r="C69" s="169">
        <v>1228784.1702123799</v>
      </c>
      <c r="D69" s="167">
        <f t="shared" si="7"/>
        <v>1228784.1702123799</v>
      </c>
      <c r="E69" s="168">
        <f t="shared" si="0"/>
        <v>61439.208510618999</v>
      </c>
    </row>
    <row r="70" spans="2:9" x14ac:dyDescent="0.25">
      <c r="B70" t="s">
        <v>37</v>
      </c>
      <c r="C70" s="169">
        <v>11059204.63695316</v>
      </c>
      <c r="D70" s="167">
        <f>C70-G70</f>
        <v>10715542.55695316</v>
      </c>
      <c r="E70" s="168">
        <f t="shared" si="0"/>
        <v>500000</v>
      </c>
      <c r="G70" s="168">
        <f>F71+F72+F73+F74</f>
        <v>343662.08000000002</v>
      </c>
    </row>
    <row r="71" spans="2:9" x14ac:dyDescent="0.25">
      <c r="B71" s="134" t="s">
        <v>418</v>
      </c>
      <c r="C71" s="169"/>
      <c r="D71" s="167"/>
      <c r="E71" s="168"/>
      <c r="F71" s="168">
        <v>124397.23</v>
      </c>
      <c r="G71" s="168">
        <f>F71</f>
        <v>124397.23</v>
      </c>
      <c r="I71" t="s">
        <v>479</v>
      </c>
    </row>
    <row r="72" spans="2:9" x14ac:dyDescent="0.25">
      <c r="B72" s="134" t="s">
        <v>419</v>
      </c>
      <c r="C72" s="169"/>
      <c r="D72" s="167"/>
      <c r="E72" s="168"/>
      <c r="F72" s="168">
        <v>22950.560000000001</v>
      </c>
      <c r="G72" s="168">
        <f>F72</f>
        <v>22950.560000000001</v>
      </c>
      <c r="I72" t="s">
        <v>479</v>
      </c>
    </row>
    <row r="73" spans="2:9" x14ac:dyDescent="0.25">
      <c r="B73" s="134" t="s">
        <v>420</v>
      </c>
      <c r="C73" s="169"/>
      <c r="D73" s="167"/>
      <c r="E73" s="168"/>
      <c r="F73" s="168">
        <v>138324</v>
      </c>
      <c r="G73" s="168">
        <f>F73</f>
        <v>138324</v>
      </c>
      <c r="I73" t="s">
        <v>479</v>
      </c>
    </row>
    <row r="74" spans="2:9" x14ac:dyDescent="0.25">
      <c r="B74" s="134" t="s">
        <v>506</v>
      </c>
      <c r="C74" s="169">
        <v>57990.29</v>
      </c>
      <c r="D74" s="167">
        <f>C74-F74</f>
        <v>0</v>
      </c>
      <c r="E74" s="168">
        <f t="shared" ref="E74" si="8">MIN((C74*0.05),500000)</f>
        <v>2899.5145000000002</v>
      </c>
      <c r="F74" s="169">
        <v>57990.29</v>
      </c>
      <c r="G74" s="169">
        <v>57990.29</v>
      </c>
    </row>
    <row r="75" spans="2:9" x14ac:dyDescent="0.25">
      <c r="B75" t="s">
        <v>85</v>
      </c>
      <c r="C75" s="169">
        <v>207872.12361550421</v>
      </c>
      <c r="D75" s="167">
        <f>C75-F72</f>
        <v>184921.56361550422</v>
      </c>
      <c r="E75" s="168">
        <f t="shared" si="0"/>
        <v>10393.606180775212</v>
      </c>
    </row>
    <row r="76" spans="2:9" x14ac:dyDescent="0.25">
      <c r="B76" t="s">
        <v>142</v>
      </c>
      <c r="C76" s="169">
        <v>956157.06339874619</v>
      </c>
      <c r="D76" s="167">
        <f>C76-F73</f>
        <v>817833.06339874619</v>
      </c>
      <c r="E76" s="168">
        <f t="shared" si="0"/>
        <v>47807.853169937312</v>
      </c>
    </row>
    <row r="77" spans="2:9" x14ac:dyDescent="0.25">
      <c r="B77" t="s">
        <v>107</v>
      </c>
      <c r="C77" s="169">
        <v>4149358.8334163455</v>
      </c>
      <c r="D77" s="167">
        <f>C77-F78</f>
        <v>4036116.4834163454</v>
      </c>
      <c r="E77" s="168">
        <f t="shared" si="0"/>
        <v>207467.94167081729</v>
      </c>
      <c r="G77" s="168">
        <f>F78</f>
        <v>113242.35</v>
      </c>
    </row>
    <row r="78" spans="2:9" x14ac:dyDescent="0.25">
      <c r="B78" s="134" t="s">
        <v>421</v>
      </c>
      <c r="C78" s="169"/>
      <c r="D78" s="167"/>
      <c r="E78" s="168"/>
      <c r="F78" s="168">
        <v>113242.35</v>
      </c>
      <c r="G78" s="168">
        <f>F78</f>
        <v>113242.35</v>
      </c>
      <c r="I78" t="s">
        <v>479</v>
      </c>
    </row>
    <row r="79" spans="2:9" x14ac:dyDescent="0.25">
      <c r="B79" t="s">
        <v>137</v>
      </c>
      <c r="C79" s="169">
        <v>67429.589987176398</v>
      </c>
      <c r="D79" s="167">
        <f t="shared" ref="D79:D88" si="9">C79-F79</f>
        <v>67429.589987176398</v>
      </c>
      <c r="E79" s="168">
        <f t="shared" ref="E79:E139" si="10">MIN((C79*0.05),500000)</f>
        <v>3371.4794993588202</v>
      </c>
    </row>
    <row r="80" spans="2:9" x14ac:dyDescent="0.25">
      <c r="B80" t="s">
        <v>324</v>
      </c>
      <c r="C80" s="169">
        <v>226166.99</v>
      </c>
      <c r="D80" s="167">
        <f t="shared" si="9"/>
        <v>226166.99</v>
      </c>
      <c r="E80" s="168">
        <f t="shared" si="10"/>
        <v>11308.3495</v>
      </c>
    </row>
    <row r="81" spans="2:9" x14ac:dyDescent="0.25">
      <c r="B81" t="s">
        <v>138</v>
      </c>
      <c r="C81" s="169">
        <v>409318.46619800112</v>
      </c>
      <c r="D81" s="167">
        <f>C81-F78</f>
        <v>296076.11619800108</v>
      </c>
      <c r="E81" s="168">
        <f t="shared" si="10"/>
        <v>20465.923309900056</v>
      </c>
    </row>
    <row r="82" spans="2:9" x14ac:dyDescent="0.25">
      <c r="B82" t="s">
        <v>60</v>
      </c>
      <c r="C82" s="169">
        <v>769801.8661485773</v>
      </c>
      <c r="D82" s="167">
        <f t="shared" si="9"/>
        <v>769801.8661485773</v>
      </c>
      <c r="E82" s="168">
        <f t="shared" si="10"/>
        <v>38490.09330742887</v>
      </c>
    </row>
    <row r="83" spans="2:9" x14ac:dyDescent="0.25">
      <c r="B83" t="s">
        <v>94</v>
      </c>
      <c r="C83" s="169">
        <v>1293896.0528518932</v>
      </c>
      <c r="D83" s="167">
        <f t="shared" si="9"/>
        <v>1293896.0528518932</v>
      </c>
      <c r="E83" s="168">
        <f t="shared" si="10"/>
        <v>64694.802642594666</v>
      </c>
    </row>
    <row r="84" spans="2:9" x14ac:dyDescent="0.25">
      <c r="B84" t="s">
        <v>72</v>
      </c>
      <c r="C84" s="169">
        <v>261925.17181364671</v>
      </c>
      <c r="D84" s="167">
        <f>C84-F85</f>
        <v>170156.5718136467</v>
      </c>
      <c r="E84" s="168">
        <f t="shared" si="10"/>
        <v>13096.258590682337</v>
      </c>
      <c r="G84" s="168">
        <f>F85</f>
        <v>91768.6</v>
      </c>
    </row>
    <row r="85" spans="2:9" x14ac:dyDescent="0.25">
      <c r="B85" s="134" t="s">
        <v>500</v>
      </c>
      <c r="C85" s="169"/>
      <c r="D85" s="167"/>
      <c r="E85" s="168"/>
      <c r="F85" s="168">
        <v>91768.6</v>
      </c>
      <c r="G85" s="168">
        <f>F85</f>
        <v>91768.6</v>
      </c>
    </row>
    <row r="86" spans="2:9" x14ac:dyDescent="0.25">
      <c r="B86" t="s">
        <v>140</v>
      </c>
      <c r="C86" s="169">
        <v>538327.45398453134</v>
      </c>
      <c r="D86" s="167">
        <f t="shared" si="9"/>
        <v>538327.45398453134</v>
      </c>
      <c r="E86" s="168">
        <f t="shared" si="10"/>
        <v>26916.372699226569</v>
      </c>
    </row>
    <row r="87" spans="2:9" x14ac:dyDescent="0.25">
      <c r="B87" t="s">
        <v>185</v>
      </c>
      <c r="C87" s="169">
        <v>4013180.5137038669</v>
      </c>
      <c r="D87" s="167">
        <f t="shared" si="9"/>
        <v>4013180.5137038669</v>
      </c>
      <c r="E87" s="168">
        <f t="shared" si="10"/>
        <v>200659.02568519337</v>
      </c>
    </row>
    <row r="88" spans="2:9" x14ac:dyDescent="0.25">
      <c r="B88" t="s">
        <v>50</v>
      </c>
      <c r="C88" s="169">
        <v>6098127.2115609674</v>
      </c>
      <c r="D88" s="167">
        <f t="shared" si="9"/>
        <v>6098127.2115609674</v>
      </c>
      <c r="E88" s="168">
        <f t="shared" si="10"/>
        <v>304906.36057804839</v>
      </c>
    </row>
    <row r="89" spans="2:9" x14ac:dyDescent="0.25">
      <c r="B89" t="s">
        <v>48</v>
      </c>
      <c r="C89" s="169">
        <v>7575013.6232426716</v>
      </c>
      <c r="D89" s="167">
        <f>C89-G89</f>
        <v>7272406.2332426719</v>
      </c>
      <c r="E89" s="168">
        <f t="shared" si="10"/>
        <v>378750.68116213358</v>
      </c>
      <c r="G89" s="168">
        <f>F90+F91</f>
        <v>302607.39</v>
      </c>
    </row>
    <row r="90" spans="2:9" x14ac:dyDescent="0.25">
      <c r="B90" s="134" t="s">
        <v>422</v>
      </c>
      <c r="C90" s="169"/>
      <c r="D90" s="167"/>
      <c r="E90" s="168"/>
      <c r="F90" s="168">
        <v>203827.61</v>
      </c>
      <c r="G90" s="168">
        <f>F90</f>
        <v>203827.61</v>
      </c>
      <c r="I90" t="s">
        <v>479</v>
      </c>
    </row>
    <row r="91" spans="2:9" x14ac:dyDescent="0.25">
      <c r="B91" s="134" t="s">
        <v>423</v>
      </c>
      <c r="C91" s="169"/>
      <c r="D91" s="167"/>
      <c r="E91" s="168"/>
      <c r="F91" s="168">
        <v>98779.78</v>
      </c>
      <c r="G91" s="168">
        <f>F91</f>
        <v>98779.78</v>
      </c>
      <c r="I91" t="s">
        <v>479</v>
      </c>
    </row>
    <row r="92" spans="2:9" x14ac:dyDescent="0.25">
      <c r="B92" s="213" t="s">
        <v>424</v>
      </c>
      <c r="C92" s="169">
        <f>SUM(H93:H99)</f>
        <v>190661.4621300532</v>
      </c>
      <c r="D92" s="167">
        <f>C92-F92</f>
        <v>190661.4621300532</v>
      </c>
      <c r="E92" s="168">
        <f t="shared" si="10"/>
        <v>9533.0731065026612</v>
      </c>
    </row>
    <row r="93" spans="2:9" x14ac:dyDescent="0.25">
      <c r="B93" s="134" t="s">
        <v>425</v>
      </c>
      <c r="D93" s="167"/>
      <c r="E93" s="168"/>
      <c r="H93" s="168">
        <v>26924.641256556453</v>
      </c>
    </row>
    <row r="94" spans="2:9" x14ac:dyDescent="0.25">
      <c r="B94" s="134" t="s">
        <v>426</v>
      </c>
      <c r="D94" s="167"/>
      <c r="E94" s="168"/>
      <c r="H94" s="168">
        <v>26924.641256556453</v>
      </c>
    </row>
    <row r="95" spans="2:9" x14ac:dyDescent="0.25">
      <c r="B95" s="134" t="s">
        <v>427</v>
      </c>
      <c r="D95" s="167"/>
      <c r="E95" s="168"/>
      <c r="H95" s="168">
        <v>26924.641256556453</v>
      </c>
    </row>
    <row r="96" spans="2:9" x14ac:dyDescent="0.25">
      <c r="B96" s="134" t="s">
        <v>428</v>
      </c>
      <c r="D96" s="167"/>
      <c r="E96" s="168"/>
      <c r="H96" s="168">
        <v>29113.614590714493</v>
      </c>
    </row>
    <row r="97" spans="2:9" x14ac:dyDescent="0.25">
      <c r="B97" s="134" t="s">
        <v>429</v>
      </c>
      <c r="D97" s="167"/>
      <c r="E97" s="168"/>
      <c r="H97" s="168">
        <v>26924.641256556453</v>
      </c>
    </row>
    <row r="98" spans="2:9" x14ac:dyDescent="0.25">
      <c r="B98" s="134" t="s">
        <v>430</v>
      </c>
      <c r="D98" s="167"/>
      <c r="E98" s="168"/>
      <c r="H98" s="168">
        <v>26924.641256556453</v>
      </c>
    </row>
    <row r="99" spans="2:9" x14ac:dyDescent="0.25">
      <c r="B99" s="134" t="s">
        <v>431</v>
      </c>
      <c r="D99" s="167"/>
      <c r="E99" s="168"/>
      <c r="H99" s="168">
        <v>26924.641256556453</v>
      </c>
    </row>
    <row r="100" spans="2:9" x14ac:dyDescent="0.25">
      <c r="B100" s="217" t="s">
        <v>187</v>
      </c>
      <c r="C100" s="169">
        <v>608148.27214318595</v>
      </c>
      <c r="D100" s="167">
        <f t="shared" ref="D100:D135" si="11">C100-F100</f>
        <v>608148.27214318595</v>
      </c>
      <c r="E100" s="168">
        <f t="shared" si="10"/>
        <v>30407.413607159298</v>
      </c>
    </row>
    <row r="101" spans="2:9" x14ac:dyDescent="0.25">
      <c r="B101" t="s">
        <v>143</v>
      </c>
      <c r="C101" s="169">
        <v>138216.22046836105</v>
      </c>
      <c r="D101" s="167">
        <f t="shared" si="11"/>
        <v>138216.22046836105</v>
      </c>
      <c r="E101" s="168">
        <f t="shared" si="10"/>
        <v>6910.8110234180531</v>
      </c>
    </row>
    <row r="102" spans="2:9" x14ac:dyDescent="0.25">
      <c r="B102" t="s">
        <v>144</v>
      </c>
      <c r="C102" s="169">
        <v>99963.779622182119</v>
      </c>
      <c r="D102" s="167">
        <f t="shared" si="11"/>
        <v>99963.779622182119</v>
      </c>
      <c r="E102" s="168">
        <f t="shared" si="10"/>
        <v>4998.188981109106</v>
      </c>
    </row>
    <row r="103" spans="2:9" x14ac:dyDescent="0.25">
      <c r="B103" t="s">
        <v>145</v>
      </c>
      <c r="C103" s="169">
        <v>133167.39093004027</v>
      </c>
      <c r="D103" s="167">
        <f t="shared" si="11"/>
        <v>133167.39093004027</v>
      </c>
      <c r="E103" s="168">
        <f t="shared" si="10"/>
        <v>6658.3695465020137</v>
      </c>
    </row>
    <row r="104" spans="2:9" x14ac:dyDescent="0.25">
      <c r="B104" t="s">
        <v>146</v>
      </c>
      <c r="C104" s="169">
        <v>571549.33803673624</v>
      </c>
      <c r="D104" s="167">
        <f t="shared" si="11"/>
        <v>571549.33803673624</v>
      </c>
      <c r="E104" s="168">
        <f t="shared" si="10"/>
        <v>28577.466901836815</v>
      </c>
    </row>
    <row r="105" spans="2:9" x14ac:dyDescent="0.25">
      <c r="B105" t="s">
        <v>190</v>
      </c>
      <c r="C105" s="169">
        <v>177575.65568510667</v>
      </c>
      <c r="D105" s="167">
        <f t="shared" si="11"/>
        <v>177575.65568510667</v>
      </c>
      <c r="E105" s="168">
        <f t="shared" si="10"/>
        <v>8878.7827842553343</v>
      </c>
    </row>
    <row r="106" spans="2:9" x14ac:dyDescent="0.25">
      <c r="B106" t="s">
        <v>148</v>
      </c>
      <c r="C106" s="169">
        <v>3947361.1818794794</v>
      </c>
      <c r="D106" s="167">
        <f t="shared" si="11"/>
        <v>3947361.1818794794</v>
      </c>
      <c r="E106" s="168">
        <f t="shared" si="10"/>
        <v>197368.05909397398</v>
      </c>
    </row>
    <row r="107" spans="2:9" x14ac:dyDescent="0.25">
      <c r="B107" t="s">
        <v>45</v>
      </c>
      <c r="C107" s="169">
        <v>13625585.460190495</v>
      </c>
      <c r="D107" s="167">
        <f>C107-F108</f>
        <v>13500667.240190495</v>
      </c>
      <c r="E107" s="168">
        <f t="shared" si="10"/>
        <v>500000</v>
      </c>
      <c r="G107" s="168">
        <f>F108</f>
        <v>124918.22</v>
      </c>
    </row>
    <row r="108" spans="2:9" x14ac:dyDescent="0.25">
      <c r="B108" s="134" t="s">
        <v>432</v>
      </c>
      <c r="C108" s="169"/>
      <c r="D108" s="167"/>
      <c r="E108" s="168"/>
      <c r="F108" s="168">
        <v>124918.22</v>
      </c>
      <c r="G108" s="168">
        <f>F108</f>
        <v>124918.22</v>
      </c>
      <c r="I108" t="s">
        <v>479</v>
      </c>
    </row>
    <row r="109" spans="2:9" x14ac:dyDescent="0.25">
      <c r="B109" t="s">
        <v>149</v>
      </c>
      <c r="C109" s="169">
        <v>2770241.8214970022</v>
      </c>
      <c r="D109" s="167">
        <f t="shared" si="11"/>
        <v>2770241.8214970022</v>
      </c>
      <c r="E109" s="168">
        <f t="shared" si="10"/>
        <v>138512.09107485012</v>
      </c>
    </row>
    <row r="110" spans="2:9" x14ac:dyDescent="0.25">
      <c r="B110" t="s">
        <v>494</v>
      </c>
      <c r="C110" s="169">
        <v>174428.6</v>
      </c>
      <c r="D110" s="167"/>
      <c r="E110" s="168">
        <f t="shared" si="10"/>
        <v>8721.43</v>
      </c>
    </row>
    <row r="111" spans="2:9" x14ac:dyDescent="0.25">
      <c r="B111" t="s">
        <v>150</v>
      </c>
      <c r="C111" s="169">
        <v>119141.53756026231</v>
      </c>
      <c r="D111" s="167">
        <f>C111</f>
        <v>119141.53756026231</v>
      </c>
      <c r="E111" s="168">
        <f t="shared" si="10"/>
        <v>5957.0768780131157</v>
      </c>
    </row>
    <row r="112" spans="2:9" x14ac:dyDescent="0.25">
      <c r="B112" t="s">
        <v>151</v>
      </c>
      <c r="C112" s="169">
        <v>239460.4358333913</v>
      </c>
      <c r="D112" s="167">
        <f t="shared" si="11"/>
        <v>239460.4358333913</v>
      </c>
      <c r="E112" s="168">
        <f t="shared" si="10"/>
        <v>11973.021791669566</v>
      </c>
    </row>
    <row r="113" spans="2:5" x14ac:dyDescent="0.25">
      <c r="B113" t="s">
        <v>152</v>
      </c>
      <c r="C113" s="169">
        <v>183931.80959582445</v>
      </c>
      <c r="D113" s="167">
        <f>C113-F108</f>
        <v>59013.589595824451</v>
      </c>
      <c r="E113" s="168">
        <f t="shared" si="10"/>
        <v>9196.5904797912226</v>
      </c>
    </row>
    <row r="114" spans="2:5" x14ac:dyDescent="0.25">
      <c r="B114" t="s">
        <v>52</v>
      </c>
      <c r="C114" s="169">
        <v>2141766.4683414847</v>
      </c>
      <c r="D114" s="167">
        <f t="shared" si="11"/>
        <v>2141766.4683414847</v>
      </c>
      <c r="E114" s="168">
        <f t="shared" si="10"/>
        <v>107088.32341707424</v>
      </c>
    </row>
    <row r="115" spans="2:5" x14ac:dyDescent="0.25">
      <c r="B115" t="s">
        <v>108</v>
      </c>
      <c r="C115" s="169">
        <v>598096.4419735932</v>
      </c>
      <c r="D115" s="167">
        <f t="shared" si="11"/>
        <v>598096.4419735932</v>
      </c>
      <c r="E115" s="168">
        <f t="shared" si="10"/>
        <v>29904.822098679662</v>
      </c>
    </row>
    <row r="116" spans="2:5" x14ac:dyDescent="0.25">
      <c r="B116" t="s">
        <v>154</v>
      </c>
      <c r="C116" s="169">
        <v>168965.58620552</v>
      </c>
      <c r="D116" s="167">
        <f t="shared" si="11"/>
        <v>168965.58620552</v>
      </c>
      <c r="E116" s="168">
        <f t="shared" si="10"/>
        <v>8448.2793102760006</v>
      </c>
    </row>
    <row r="117" spans="2:5" x14ac:dyDescent="0.25">
      <c r="B117" t="s">
        <v>155</v>
      </c>
      <c r="C117" s="169">
        <v>446077.76346777496</v>
      </c>
      <c r="D117" s="167">
        <f t="shared" si="11"/>
        <v>446077.76346777496</v>
      </c>
      <c r="E117" s="168">
        <f t="shared" si="10"/>
        <v>22303.88817338875</v>
      </c>
    </row>
    <row r="118" spans="2:5" x14ac:dyDescent="0.25">
      <c r="B118" t="s">
        <v>156</v>
      </c>
      <c r="C118" s="169">
        <v>93390.810662491713</v>
      </c>
      <c r="D118" s="167">
        <f t="shared" si="11"/>
        <v>93390.810662491713</v>
      </c>
      <c r="E118" s="168">
        <f t="shared" si="10"/>
        <v>4669.5405331245856</v>
      </c>
    </row>
    <row r="119" spans="2:5" x14ac:dyDescent="0.25">
      <c r="B119" t="s">
        <v>491</v>
      </c>
      <c r="C119" s="169">
        <v>199916.81</v>
      </c>
      <c r="D119" s="167">
        <f t="shared" si="11"/>
        <v>199916.81</v>
      </c>
      <c r="E119" s="168">
        <f t="shared" si="10"/>
        <v>9995.8405000000002</v>
      </c>
    </row>
    <row r="120" spans="2:5" x14ac:dyDescent="0.25">
      <c r="B120" t="s">
        <v>157</v>
      </c>
      <c r="C120" s="169">
        <v>240474.7409188083</v>
      </c>
      <c r="D120" s="167">
        <f>C120-F120</f>
        <v>240474.7409188083</v>
      </c>
      <c r="E120" s="168">
        <f t="shared" si="10"/>
        <v>12023.737045940416</v>
      </c>
    </row>
    <row r="121" spans="2:5" x14ac:dyDescent="0.25">
      <c r="B121" t="s">
        <v>158</v>
      </c>
      <c r="C121" s="169">
        <v>1100215.6922455898</v>
      </c>
      <c r="D121" s="167">
        <f t="shared" si="11"/>
        <v>1100215.6922455898</v>
      </c>
      <c r="E121" s="168">
        <f t="shared" si="10"/>
        <v>55010.784612279494</v>
      </c>
    </row>
    <row r="122" spans="2:5" x14ac:dyDescent="0.25">
      <c r="B122" t="s">
        <v>159</v>
      </c>
      <c r="C122" s="169">
        <v>26924.641256556453</v>
      </c>
      <c r="D122" s="167">
        <f t="shared" si="11"/>
        <v>26924.641256556453</v>
      </c>
      <c r="E122" s="168">
        <f t="shared" si="10"/>
        <v>1346.2320628278228</v>
      </c>
    </row>
    <row r="123" spans="2:5" x14ac:dyDescent="0.25">
      <c r="B123" t="s">
        <v>325</v>
      </c>
      <c r="C123" s="169">
        <v>117042.76</v>
      </c>
      <c r="D123" s="167">
        <f t="shared" si="11"/>
        <v>117042.76</v>
      </c>
      <c r="E123" s="168">
        <f t="shared" si="10"/>
        <v>5852.1379999999999</v>
      </c>
    </row>
    <row r="124" spans="2:5" x14ac:dyDescent="0.25">
      <c r="B124" t="s">
        <v>317</v>
      </c>
      <c r="C124" s="169">
        <v>310262.06</v>
      </c>
      <c r="D124" s="167">
        <f>C124-F124</f>
        <v>310262.06</v>
      </c>
      <c r="E124" s="168">
        <f t="shared" si="10"/>
        <v>15513.103000000001</v>
      </c>
    </row>
    <row r="125" spans="2:5" x14ac:dyDescent="0.25">
      <c r="B125" t="s">
        <v>43</v>
      </c>
      <c r="C125" s="169">
        <v>4756348.4305476965</v>
      </c>
      <c r="D125" s="167">
        <f t="shared" si="11"/>
        <v>4756348.4305476965</v>
      </c>
      <c r="E125" s="168">
        <f t="shared" si="10"/>
        <v>237817.42152738484</v>
      </c>
    </row>
    <row r="126" spans="2:5" x14ac:dyDescent="0.25">
      <c r="B126" t="s">
        <v>64</v>
      </c>
      <c r="C126" s="169">
        <v>2018369.8681756007</v>
      </c>
      <c r="D126" s="167">
        <f>C126-F126</f>
        <v>2018369.8681756007</v>
      </c>
      <c r="E126" s="168">
        <f t="shared" si="10"/>
        <v>100918.49340878004</v>
      </c>
    </row>
    <row r="127" spans="2:5" x14ac:dyDescent="0.25">
      <c r="B127" t="s">
        <v>83</v>
      </c>
      <c r="C127" s="169">
        <v>367464.8652546393</v>
      </c>
      <c r="D127" s="167">
        <f t="shared" si="11"/>
        <v>367464.8652546393</v>
      </c>
      <c r="E127" s="168">
        <f t="shared" si="10"/>
        <v>18373.243262731965</v>
      </c>
    </row>
    <row r="128" spans="2:5" x14ac:dyDescent="0.25">
      <c r="B128" t="s">
        <v>65</v>
      </c>
      <c r="C128" s="169">
        <v>1517715.1568401132</v>
      </c>
      <c r="D128" s="167">
        <f t="shared" si="11"/>
        <v>1517715.1568401132</v>
      </c>
      <c r="E128" s="168">
        <f t="shared" si="10"/>
        <v>75885.757842005667</v>
      </c>
    </row>
    <row r="129" spans="2:9" x14ac:dyDescent="0.25">
      <c r="B129" t="s">
        <v>161</v>
      </c>
      <c r="C129" s="169">
        <v>555731.11129850917</v>
      </c>
      <c r="D129" s="167">
        <f t="shared" si="11"/>
        <v>555731.11129850917</v>
      </c>
      <c r="E129" s="168">
        <f t="shared" si="10"/>
        <v>27786.55556492546</v>
      </c>
    </row>
    <row r="130" spans="2:9" x14ac:dyDescent="0.25">
      <c r="B130" t="s">
        <v>162</v>
      </c>
      <c r="C130" s="169">
        <v>4285770.1589742582</v>
      </c>
      <c r="D130" s="167">
        <f>C130-F130</f>
        <v>4285770.1589742582</v>
      </c>
      <c r="E130" s="168">
        <f t="shared" si="10"/>
        <v>214288.50794871291</v>
      </c>
      <c r="G130" s="168">
        <f>F131</f>
        <v>8945.7099999999991</v>
      </c>
    </row>
    <row r="131" spans="2:9" x14ac:dyDescent="0.25">
      <c r="B131" s="134" t="s">
        <v>480</v>
      </c>
      <c r="C131" s="169"/>
      <c r="D131" s="167"/>
      <c r="E131" s="168"/>
      <c r="F131" s="168">
        <v>8945.7099999999991</v>
      </c>
      <c r="G131" s="168">
        <f>F131</f>
        <v>8945.7099999999991</v>
      </c>
    </row>
    <row r="132" spans="2:9" x14ac:dyDescent="0.25">
      <c r="B132" t="s">
        <v>163</v>
      </c>
      <c r="C132" s="169">
        <v>2744979.6691394732</v>
      </c>
      <c r="D132" s="167">
        <f>C132-F133</f>
        <v>2556719.8891394734</v>
      </c>
      <c r="E132" s="168">
        <f t="shared" si="10"/>
        <v>137248.98345697366</v>
      </c>
      <c r="G132" s="168">
        <f>F133</f>
        <v>188259.78</v>
      </c>
    </row>
    <row r="133" spans="2:9" x14ac:dyDescent="0.25">
      <c r="B133" s="134" t="s">
        <v>499</v>
      </c>
      <c r="C133" s="169"/>
      <c r="D133" s="167"/>
      <c r="E133" s="168"/>
      <c r="F133" s="168">
        <v>188259.78</v>
      </c>
      <c r="G133" s="168">
        <f>F133</f>
        <v>188259.78</v>
      </c>
    </row>
    <row r="134" spans="2:9" x14ac:dyDescent="0.25">
      <c r="B134" t="s">
        <v>482</v>
      </c>
      <c r="C134" s="169">
        <v>124854.95</v>
      </c>
      <c r="D134" s="167">
        <f>C134-F134</f>
        <v>124854.95</v>
      </c>
      <c r="E134" s="168">
        <f t="shared" si="10"/>
        <v>6242.7475000000004</v>
      </c>
    </row>
    <row r="135" spans="2:9" x14ac:dyDescent="0.25">
      <c r="B135" t="s">
        <v>321</v>
      </c>
      <c r="C135" s="169">
        <v>26050.94</v>
      </c>
      <c r="D135" s="167">
        <f t="shared" si="11"/>
        <v>26050.94</v>
      </c>
      <c r="E135" s="168">
        <f t="shared" si="10"/>
        <v>1302.547</v>
      </c>
    </row>
    <row r="136" spans="2:9" x14ac:dyDescent="0.25">
      <c r="B136" t="s">
        <v>36</v>
      </c>
      <c r="C136" s="169">
        <v>3732847.5570052206</v>
      </c>
      <c r="D136" s="167">
        <f>C136-F137</f>
        <v>3549653.6470052204</v>
      </c>
      <c r="E136" s="168">
        <f t="shared" si="10"/>
        <v>186642.37785026105</v>
      </c>
      <c r="G136" s="168">
        <f>F137</f>
        <v>183193.91</v>
      </c>
    </row>
    <row r="137" spans="2:9" x14ac:dyDescent="0.25">
      <c r="B137" s="134" t="s">
        <v>433</v>
      </c>
      <c r="C137" s="169"/>
      <c r="D137" s="167"/>
      <c r="E137" s="168"/>
      <c r="F137" s="168">
        <v>183193.91</v>
      </c>
      <c r="G137" s="168">
        <f>F137</f>
        <v>183193.91</v>
      </c>
      <c r="I137" t="s">
        <v>479</v>
      </c>
    </row>
    <row r="138" spans="2:9" x14ac:dyDescent="0.25">
      <c r="B138" t="s">
        <v>164</v>
      </c>
      <c r="C138" s="169">
        <v>68490.902428428308</v>
      </c>
      <c r="D138" s="167">
        <f>C138-F138</f>
        <v>68490.902428428308</v>
      </c>
      <c r="E138" s="168">
        <f t="shared" si="10"/>
        <v>3424.5451214214154</v>
      </c>
    </row>
    <row r="139" spans="2:9" x14ac:dyDescent="0.25">
      <c r="B139" t="s">
        <v>165</v>
      </c>
      <c r="C139" s="169">
        <v>594768.0178214577</v>
      </c>
      <c r="D139" s="167">
        <f>C139-G139</f>
        <v>313172.61782145768</v>
      </c>
      <c r="E139" s="168">
        <f t="shared" si="10"/>
        <v>29738.400891072888</v>
      </c>
      <c r="G139" s="168">
        <f>F140+F141</f>
        <v>281595.40000000002</v>
      </c>
    </row>
    <row r="140" spans="2:9" x14ac:dyDescent="0.25">
      <c r="B140" s="134" t="s">
        <v>434</v>
      </c>
      <c r="C140" s="169"/>
      <c r="D140" s="167"/>
      <c r="E140" s="168"/>
      <c r="F140" s="168">
        <v>73400.61</v>
      </c>
      <c r="G140" s="168">
        <f>F140</f>
        <v>73400.61</v>
      </c>
      <c r="I140" t="s">
        <v>479</v>
      </c>
    </row>
    <row r="141" spans="2:9" x14ac:dyDescent="0.25">
      <c r="B141" s="134" t="s">
        <v>435</v>
      </c>
      <c r="C141" s="169"/>
      <c r="D141" s="167"/>
      <c r="E141" s="168"/>
      <c r="F141" s="168">
        <v>208194.79</v>
      </c>
      <c r="G141" s="168">
        <f>F141</f>
        <v>208194.79</v>
      </c>
      <c r="I141" t="s">
        <v>479</v>
      </c>
    </row>
    <row r="142" spans="2:9" x14ac:dyDescent="0.25">
      <c r="B142" s="1" t="s">
        <v>490</v>
      </c>
      <c r="C142" s="169">
        <v>135934.44</v>
      </c>
      <c r="D142" s="167">
        <f>C142-F142</f>
        <v>135934.44</v>
      </c>
      <c r="E142" s="168">
        <f t="shared" ref="E142:E203" si="12">MIN((C142*0.05),500000)</f>
        <v>6796.7220000000007</v>
      </c>
    </row>
    <row r="143" spans="2:9" x14ac:dyDescent="0.25">
      <c r="B143" t="s">
        <v>298</v>
      </c>
      <c r="C143" s="169">
        <v>26924.641256556453</v>
      </c>
      <c r="D143" s="167">
        <f t="shared" ref="D143:D147" si="13">C143-F143</f>
        <v>26924.641256556453</v>
      </c>
      <c r="E143" s="168">
        <f t="shared" si="12"/>
        <v>1346.2320628278228</v>
      </c>
    </row>
    <row r="144" spans="2:9" x14ac:dyDescent="0.25">
      <c r="B144" t="s">
        <v>166</v>
      </c>
      <c r="C144" s="169">
        <v>167638.6860351144</v>
      </c>
      <c r="D144" s="167">
        <f>C144-G139</f>
        <v>-113956.71396488562</v>
      </c>
      <c r="E144" s="168">
        <f t="shared" si="12"/>
        <v>8381.9343017557203</v>
      </c>
    </row>
    <row r="145" spans="2:9" x14ac:dyDescent="0.25">
      <c r="B145" t="s">
        <v>167</v>
      </c>
      <c r="C145" s="169">
        <v>263909.94866853231</v>
      </c>
      <c r="D145" s="167">
        <f>C145-F140</f>
        <v>190509.33866853232</v>
      </c>
      <c r="E145" s="168">
        <f t="shared" si="12"/>
        <v>13195.497433426615</v>
      </c>
    </row>
    <row r="146" spans="2:9" x14ac:dyDescent="0.25">
      <c r="B146" t="s">
        <v>121</v>
      </c>
      <c r="C146" s="169">
        <v>219120.43099325581</v>
      </c>
      <c r="D146" s="167">
        <f>C146-F141</f>
        <v>10925.640993255802</v>
      </c>
      <c r="E146" s="168">
        <f t="shared" si="12"/>
        <v>10956.021549662792</v>
      </c>
    </row>
    <row r="147" spans="2:9" x14ac:dyDescent="0.25">
      <c r="B147" t="s">
        <v>169</v>
      </c>
      <c r="C147" s="169">
        <v>4355710.5225400925</v>
      </c>
      <c r="D147" s="167">
        <f t="shared" si="13"/>
        <v>4355710.5225400925</v>
      </c>
      <c r="E147" s="168">
        <f t="shared" si="12"/>
        <v>217785.52612700465</v>
      </c>
    </row>
    <row r="148" spans="2:9" x14ac:dyDescent="0.25">
      <c r="B148" t="s">
        <v>78</v>
      </c>
      <c r="C148" s="169">
        <v>9350050.1650970932</v>
      </c>
      <c r="D148" s="167">
        <f>C148-G148</f>
        <v>8609547.045097094</v>
      </c>
      <c r="E148" s="168">
        <f t="shared" si="12"/>
        <v>467502.50825485471</v>
      </c>
      <c r="G148" s="168">
        <f>F149+F150+F151</f>
        <v>740503.12</v>
      </c>
    </row>
    <row r="149" spans="2:9" x14ac:dyDescent="0.25">
      <c r="B149" s="134" t="s">
        <v>436</v>
      </c>
      <c r="C149" s="169"/>
      <c r="D149" s="167"/>
      <c r="E149" s="168"/>
      <c r="F149" s="168">
        <v>129189.91</v>
      </c>
      <c r="G149" s="168">
        <f>F149</f>
        <v>129189.91</v>
      </c>
      <c r="I149" t="s">
        <v>479</v>
      </c>
    </row>
    <row r="150" spans="2:9" x14ac:dyDescent="0.25">
      <c r="B150" s="134" t="s">
        <v>437</v>
      </c>
      <c r="C150" s="169"/>
      <c r="D150" s="167"/>
      <c r="E150" s="168"/>
      <c r="F150" s="168">
        <v>546189.23</v>
      </c>
      <c r="G150" s="168">
        <f>F150</f>
        <v>546189.23</v>
      </c>
      <c r="I150" t="s">
        <v>479</v>
      </c>
    </row>
    <row r="151" spans="2:9" x14ac:dyDescent="0.25">
      <c r="B151" s="134" t="s">
        <v>438</v>
      </c>
      <c r="C151" s="169"/>
      <c r="D151" s="167"/>
      <c r="E151" s="168"/>
      <c r="F151" s="168">
        <v>65123.98</v>
      </c>
      <c r="G151" s="168">
        <f>F151</f>
        <v>65123.98</v>
      </c>
      <c r="I151" t="s">
        <v>479</v>
      </c>
    </row>
    <row r="152" spans="2:9" x14ac:dyDescent="0.25">
      <c r="B152" t="s">
        <v>93</v>
      </c>
      <c r="C152" s="169">
        <v>1226216.6052616548</v>
      </c>
      <c r="D152" s="167">
        <f>C152-G148</f>
        <v>485713.48526165483</v>
      </c>
      <c r="E152" s="168">
        <f t="shared" si="12"/>
        <v>61310.830263082746</v>
      </c>
    </row>
    <row r="153" spans="2:9" x14ac:dyDescent="0.25">
      <c r="B153" t="s">
        <v>96</v>
      </c>
      <c r="C153" s="169">
        <v>130218.06815252043</v>
      </c>
      <c r="D153" s="167">
        <f>C153-F149</f>
        <v>1028.1581525204238</v>
      </c>
      <c r="E153" s="168">
        <f t="shared" si="12"/>
        <v>6510.9034076260214</v>
      </c>
    </row>
    <row r="154" spans="2:9" x14ac:dyDescent="0.25">
      <c r="B154" t="s">
        <v>193</v>
      </c>
      <c r="C154" s="169">
        <v>1781996.7732565338</v>
      </c>
      <c r="D154" s="167">
        <f>C154-G154</f>
        <v>1610358.9232565337</v>
      </c>
      <c r="E154" s="168">
        <f t="shared" si="12"/>
        <v>89099.838662826689</v>
      </c>
      <c r="G154" s="168">
        <f>F155+F156</f>
        <v>171637.85</v>
      </c>
    </row>
    <row r="155" spans="2:9" x14ac:dyDescent="0.25">
      <c r="B155" s="134" t="s">
        <v>439</v>
      </c>
      <c r="C155" s="169"/>
      <c r="D155" s="167"/>
      <c r="E155" s="168"/>
      <c r="F155" s="168">
        <v>120436.61</v>
      </c>
      <c r="G155" s="168">
        <f>F155</f>
        <v>120436.61</v>
      </c>
      <c r="I155" t="s">
        <v>479</v>
      </c>
    </row>
    <row r="156" spans="2:9" x14ac:dyDescent="0.25">
      <c r="B156" s="134" t="s">
        <v>440</v>
      </c>
      <c r="C156" s="169"/>
      <c r="D156" s="167"/>
      <c r="E156" s="168"/>
      <c r="F156" s="168">
        <v>51201.24</v>
      </c>
      <c r="G156" s="168">
        <f>F156</f>
        <v>51201.24</v>
      </c>
      <c r="I156" t="s">
        <v>479</v>
      </c>
    </row>
    <row r="157" spans="2:9" x14ac:dyDescent="0.25">
      <c r="B157" t="s">
        <v>172</v>
      </c>
      <c r="C157" s="169">
        <v>291906.0290992349</v>
      </c>
      <c r="D157" s="167">
        <f t="shared" ref="D157:D166" si="14">C157-F157</f>
        <v>291906.0290992349</v>
      </c>
      <c r="E157" s="168">
        <f t="shared" si="12"/>
        <v>14595.301454961746</v>
      </c>
    </row>
    <row r="158" spans="2:9" x14ac:dyDescent="0.25">
      <c r="B158" t="s">
        <v>173</v>
      </c>
      <c r="C158" s="169">
        <v>76878.412823388251</v>
      </c>
      <c r="D158" s="167">
        <f>C158-G154</f>
        <v>-94759.437176611755</v>
      </c>
      <c r="E158" s="168">
        <f t="shared" si="12"/>
        <v>3843.9206411694126</v>
      </c>
    </row>
    <row r="159" spans="2:9" x14ac:dyDescent="0.25">
      <c r="B159" t="s">
        <v>55</v>
      </c>
      <c r="C159" s="169">
        <v>1730080.8953827717</v>
      </c>
      <c r="D159" s="167">
        <f>C159-F155</f>
        <v>1609644.2853827716</v>
      </c>
      <c r="E159" s="168">
        <f t="shared" si="12"/>
        <v>86504.044769138593</v>
      </c>
    </row>
    <row r="160" spans="2:9" x14ac:dyDescent="0.25">
      <c r="B160" t="s">
        <v>174</v>
      </c>
      <c r="C160" s="169">
        <v>525527.91032542451</v>
      </c>
      <c r="D160" s="167">
        <f>C160-F156</f>
        <v>474326.67032542452</v>
      </c>
      <c r="E160" s="168">
        <f t="shared" si="12"/>
        <v>26276.395516271226</v>
      </c>
    </row>
    <row r="161" spans="2:9" x14ac:dyDescent="0.25">
      <c r="B161" t="s">
        <v>71</v>
      </c>
      <c r="C161" s="169">
        <v>391376.10066176194</v>
      </c>
      <c r="D161" s="167">
        <f t="shared" si="14"/>
        <v>391376.10066176194</v>
      </c>
      <c r="E161" s="168">
        <f t="shared" si="12"/>
        <v>19568.805033088098</v>
      </c>
    </row>
    <row r="162" spans="2:9" x14ac:dyDescent="0.25">
      <c r="B162" t="s">
        <v>175</v>
      </c>
      <c r="C162" s="169">
        <v>574707.00611402257</v>
      </c>
      <c r="D162" s="167">
        <f t="shared" si="14"/>
        <v>574707.00611402257</v>
      </c>
      <c r="E162" s="168">
        <f t="shared" si="12"/>
        <v>28735.350305701129</v>
      </c>
    </row>
    <row r="163" spans="2:9" x14ac:dyDescent="0.25">
      <c r="B163" t="s">
        <v>199</v>
      </c>
      <c r="C163" s="169">
        <v>382057.8592678454</v>
      </c>
      <c r="D163" s="167">
        <f t="shared" si="14"/>
        <v>382057.8592678454</v>
      </c>
      <c r="E163" s="168">
        <f t="shared" si="12"/>
        <v>19102.892963392271</v>
      </c>
    </row>
    <row r="164" spans="2:9" x14ac:dyDescent="0.25">
      <c r="B164" t="s">
        <v>177</v>
      </c>
      <c r="C164" s="169">
        <v>3151853.8625549218</v>
      </c>
      <c r="D164" s="167">
        <f t="shared" si="14"/>
        <v>3151853.8625549218</v>
      </c>
      <c r="E164" s="168">
        <f t="shared" si="12"/>
        <v>157592.69312774611</v>
      </c>
    </row>
    <row r="165" spans="2:9" x14ac:dyDescent="0.25">
      <c r="B165" t="s">
        <v>326</v>
      </c>
      <c r="C165" s="169">
        <v>50439.28</v>
      </c>
      <c r="D165" s="167">
        <f t="shared" si="14"/>
        <v>50439.28</v>
      </c>
      <c r="E165" s="168">
        <f t="shared" si="12"/>
        <v>2521.9639999999999</v>
      </c>
    </row>
    <row r="166" spans="2:9" x14ac:dyDescent="0.25">
      <c r="B166" t="s">
        <v>86</v>
      </c>
      <c r="C166" s="169">
        <v>1606451.5791086748</v>
      </c>
      <c r="D166" s="167">
        <f t="shared" si="14"/>
        <v>1606451.5791086748</v>
      </c>
      <c r="E166" s="168">
        <f t="shared" si="12"/>
        <v>80322.578955433739</v>
      </c>
    </row>
    <row r="167" spans="2:9" x14ac:dyDescent="0.25">
      <c r="B167" t="s">
        <v>46</v>
      </c>
      <c r="C167" s="169">
        <v>10972066.070528004</v>
      </c>
      <c r="D167" s="167">
        <f>C167-G167</f>
        <v>10524128.890528005</v>
      </c>
      <c r="E167" s="168">
        <f t="shared" si="12"/>
        <v>500000</v>
      </c>
      <c r="G167" s="168">
        <f>F168+F169+F170</f>
        <v>447937.18</v>
      </c>
    </row>
    <row r="168" spans="2:9" x14ac:dyDescent="0.25">
      <c r="B168" s="134" t="s">
        <v>441</v>
      </c>
      <c r="C168" s="169"/>
      <c r="D168" s="167"/>
      <c r="E168" s="168"/>
      <c r="F168" s="168">
        <v>160597.41</v>
      </c>
      <c r="G168" s="168">
        <f>F168</f>
        <v>160597.41</v>
      </c>
      <c r="I168" t="s">
        <v>479</v>
      </c>
    </row>
    <row r="169" spans="2:9" x14ac:dyDescent="0.25">
      <c r="B169" s="134" t="s">
        <v>442</v>
      </c>
      <c r="C169" s="169"/>
      <c r="D169" s="167"/>
      <c r="E169" s="168"/>
      <c r="F169" s="168">
        <v>162397.32</v>
      </c>
      <c r="G169" s="168">
        <f>F169</f>
        <v>162397.32</v>
      </c>
      <c r="I169" t="s">
        <v>479</v>
      </c>
    </row>
    <row r="170" spans="2:9" x14ac:dyDescent="0.25">
      <c r="B170" s="134" t="s">
        <v>443</v>
      </c>
      <c r="C170" s="169"/>
      <c r="D170" s="167"/>
      <c r="E170" s="168"/>
      <c r="F170" s="168">
        <v>124942.45</v>
      </c>
      <c r="G170" s="168">
        <f>F170</f>
        <v>124942.45</v>
      </c>
      <c r="I170" t="s">
        <v>479</v>
      </c>
    </row>
    <row r="171" spans="2:9" x14ac:dyDescent="0.25">
      <c r="B171" t="s">
        <v>178</v>
      </c>
      <c r="C171" s="169">
        <v>246585.39595054879</v>
      </c>
      <c r="D171" s="167">
        <f>C171-G167</f>
        <v>-201351.78404945121</v>
      </c>
      <c r="E171" s="168">
        <f t="shared" si="12"/>
        <v>12329.26979752744</v>
      </c>
    </row>
    <row r="172" spans="2:9" x14ac:dyDescent="0.25">
      <c r="B172" t="s">
        <v>200</v>
      </c>
      <c r="C172" s="169">
        <v>220431.98411814516</v>
      </c>
      <c r="D172" s="167">
        <f>C172-F168</f>
        <v>59834.574118145159</v>
      </c>
      <c r="E172" s="168">
        <f t="shared" si="12"/>
        <v>11021.59920590726</v>
      </c>
    </row>
    <row r="173" spans="2:9" x14ac:dyDescent="0.25">
      <c r="B173" t="s">
        <v>180</v>
      </c>
      <c r="C173" s="169">
        <v>1278220.2036166312</v>
      </c>
      <c r="D173" s="167">
        <f>C173-F169</f>
        <v>1115822.8836166312</v>
      </c>
      <c r="E173" s="168">
        <f t="shared" si="12"/>
        <v>63911.010180831567</v>
      </c>
    </row>
    <row r="174" spans="2:9" x14ac:dyDescent="0.25">
      <c r="B174" t="s">
        <v>181</v>
      </c>
      <c r="C174" s="169">
        <v>245822.62086375055</v>
      </c>
      <c r="D174" s="167">
        <f>C174-F170</f>
        <v>120880.17086375055</v>
      </c>
      <c r="E174" s="168">
        <f t="shared" si="12"/>
        <v>12291.131043187528</v>
      </c>
    </row>
    <row r="175" spans="2:9" x14ac:dyDescent="0.25">
      <c r="B175" t="s">
        <v>182</v>
      </c>
      <c r="C175" s="169">
        <v>1473991.8549586134</v>
      </c>
      <c r="D175" s="167">
        <f t="shared" ref="D175:D180" si="15">C175-F175</f>
        <v>1473991.8549586134</v>
      </c>
      <c r="E175" s="168">
        <f t="shared" si="12"/>
        <v>73699.59274793067</v>
      </c>
    </row>
    <row r="176" spans="2:9" x14ac:dyDescent="0.25">
      <c r="B176" t="s">
        <v>66</v>
      </c>
      <c r="C176" s="169">
        <v>2020092.2374767824</v>
      </c>
      <c r="D176" s="167">
        <f>C176-F177</f>
        <v>1878259.9574767824</v>
      </c>
      <c r="E176" s="168">
        <f t="shared" si="12"/>
        <v>101004.61187383912</v>
      </c>
      <c r="G176" s="168">
        <f>F177</f>
        <v>141832.28</v>
      </c>
    </row>
    <row r="177" spans="2:9" x14ac:dyDescent="0.25">
      <c r="B177" s="134" t="s">
        <v>444</v>
      </c>
      <c r="C177" s="169"/>
      <c r="D177" s="167"/>
      <c r="E177" s="168"/>
      <c r="F177" s="168">
        <v>141832.28</v>
      </c>
      <c r="G177" s="168">
        <f>F177</f>
        <v>141832.28</v>
      </c>
      <c r="I177" t="s">
        <v>479</v>
      </c>
    </row>
    <row r="178" spans="2:9" x14ac:dyDescent="0.25">
      <c r="B178" t="s">
        <v>183</v>
      </c>
      <c r="C178" s="169">
        <v>900277.12957346009</v>
      </c>
      <c r="D178" s="167">
        <f t="shared" si="15"/>
        <v>900277.12957346009</v>
      </c>
      <c r="E178" s="168">
        <f t="shared" si="12"/>
        <v>45013.856478673006</v>
      </c>
    </row>
    <row r="179" spans="2:9" x14ac:dyDescent="0.25">
      <c r="B179" t="s">
        <v>184</v>
      </c>
      <c r="C179" s="169">
        <v>458261.64827990934</v>
      </c>
      <c r="D179" s="167">
        <f t="shared" si="15"/>
        <v>458261.64827990934</v>
      </c>
      <c r="E179" s="168">
        <f t="shared" si="12"/>
        <v>22913.082413995468</v>
      </c>
    </row>
    <row r="180" spans="2:9" x14ac:dyDescent="0.25">
      <c r="B180" t="s">
        <v>80</v>
      </c>
      <c r="C180" s="169">
        <v>470516.99108993867</v>
      </c>
      <c r="D180" s="167">
        <f t="shared" si="15"/>
        <v>470516.99108993867</v>
      </c>
      <c r="E180" s="168">
        <f t="shared" si="12"/>
        <v>23525.849554496934</v>
      </c>
    </row>
    <row r="181" spans="2:9" x14ac:dyDescent="0.25">
      <c r="B181" t="s">
        <v>186</v>
      </c>
      <c r="C181" s="169">
        <v>1721248.966859231</v>
      </c>
      <c r="D181" s="167">
        <f>C181-F177</f>
        <v>1579416.686859231</v>
      </c>
      <c r="E181" s="168">
        <f t="shared" si="12"/>
        <v>86062.44834296155</v>
      </c>
    </row>
    <row r="182" spans="2:9" x14ac:dyDescent="0.25">
      <c r="B182" t="s">
        <v>53</v>
      </c>
      <c r="C182" s="169">
        <v>5076933.8336234605</v>
      </c>
      <c r="D182" s="167">
        <f>C182-G182</f>
        <v>4616531.8936234601</v>
      </c>
      <c r="E182" s="168">
        <f t="shared" si="12"/>
        <v>253846.69168117305</v>
      </c>
      <c r="G182" s="168">
        <f>F183+F184+F185</f>
        <v>460401.93999999994</v>
      </c>
    </row>
    <row r="183" spans="2:9" x14ac:dyDescent="0.25">
      <c r="B183" s="134" t="s">
        <v>445</v>
      </c>
      <c r="C183" s="169"/>
      <c r="D183" s="167"/>
      <c r="E183" s="168"/>
      <c r="F183" s="168">
        <v>107621.83</v>
      </c>
      <c r="G183" s="168">
        <f>F183</f>
        <v>107621.83</v>
      </c>
      <c r="I183" t="s">
        <v>479</v>
      </c>
    </row>
    <row r="184" spans="2:9" x14ac:dyDescent="0.25">
      <c r="B184" s="134" t="s">
        <v>446</v>
      </c>
      <c r="C184" s="169"/>
      <c r="D184" s="167"/>
      <c r="E184" s="168"/>
      <c r="F184" s="168">
        <v>209456.21</v>
      </c>
      <c r="G184" s="168">
        <f>F184</f>
        <v>209456.21</v>
      </c>
      <c r="I184" t="s">
        <v>479</v>
      </c>
    </row>
    <row r="185" spans="2:9" x14ac:dyDescent="0.25">
      <c r="B185" s="134" t="s">
        <v>447</v>
      </c>
      <c r="C185" s="169"/>
      <c r="D185" s="167"/>
      <c r="E185" s="168"/>
      <c r="F185" s="168">
        <v>143323.9</v>
      </c>
      <c r="G185" s="168">
        <f>F185</f>
        <v>143323.9</v>
      </c>
      <c r="I185" t="s">
        <v>479</v>
      </c>
    </row>
    <row r="186" spans="2:9" x14ac:dyDescent="0.25">
      <c r="B186" s="1" t="s">
        <v>481</v>
      </c>
      <c r="C186" s="169">
        <v>89611.94</v>
      </c>
      <c r="D186" s="167">
        <f>C186-F186</f>
        <v>89611.94</v>
      </c>
      <c r="E186" s="168">
        <f t="shared" si="12"/>
        <v>4480.5970000000007</v>
      </c>
    </row>
    <row r="187" spans="2:9" x14ac:dyDescent="0.25">
      <c r="B187" t="s">
        <v>188</v>
      </c>
      <c r="C187" s="169">
        <v>2843861.4911398273</v>
      </c>
      <c r="D187" s="167">
        <f>C187-F188</f>
        <v>2656235.7811398273</v>
      </c>
      <c r="E187" s="168">
        <f t="shared" si="12"/>
        <v>142193.07455699137</v>
      </c>
      <c r="G187" s="168">
        <f>F188</f>
        <v>187625.71</v>
      </c>
    </row>
    <row r="188" spans="2:9" x14ac:dyDescent="0.25">
      <c r="B188" s="134" t="s">
        <v>448</v>
      </c>
      <c r="C188" s="169"/>
      <c r="D188" s="167"/>
      <c r="E188" s="168"/>
      <c r="F188" s="168">
        <v>187625.71</v>
      </c>
      <c r="G188" s="168">
        <f>F188</f>
        <v>187625.71</v>
      </c>
      <c r="I188" t="s">
        <v>479</v>
      </c>
    </row>
    <row r="189" spans="2:9" x14ac:dyDescent="0.25">
      <c r="B189" t="s">
        <v>189</v>
      </c>
      <c r="C189" s="169">
        <v>75484.869381603014</v>
      </c>
      <c r="D189" s="167">
        <f>C189-F184</f>
        <v>-133971.34061839699</v>
      </c>
      <c r="E189" s="168">
        <f t="shared" si="12"/>
        <v>3774.243469080151</v>
      </c>
    </row>
    <row r="190" spans="2:9" x14ac:dyDescent="0.25">
      <c r="B190" t="s">
        <v>203</v>
      </c>
      <c r="C190" s="169">
        <v>2170835.2264798651</v>
      </c>
      <c r="D190" s="167">
        <f>C190-F185</f>
        <v>2027511.3264798652</v>
      </c>
      <c r="E190" s="168">
        <f t="shared" si="12"/>
        <v>108541.76132399327</v>
      </c>
    </row>
    <row r="191" spans="2:9" x14ac:dyDescent="0.25">
      <c r="B191" t="s">
        <v>76</v>
      </c>
      <c r="C191" s="169">
        <v>1968395.4723335663</v>
      </c>
      <c r="D191" s="167">
        <f t="shared" ref="D191:D202" si="16">C191-F191</f>
        <v>1968395.4723335663</v>
      </c>
      <c r="E191" s="168">
        <f t="shared" si="12"/>
        <v>98419.773616678314</v>
      </c>
    </row>
    <row r="192" spans="2:9" x14ac:dyDescent="0.25">
      <c r="B192" t="s">
        <v>191</v>
      </c>
      <c r="C192" s="169">
        <v>251139.10667698769</v>
      </c>
      <c r="D192" s="167">
        <f>C192-F188</f>
        <v>63513.396676987701</v>
      </c>
      <c r="E192" s="168">
        <f t="shared" si="12"/>
        <v>12556.955333849386</v>
      </c>
    </row>
    <row r="193" spans="2:9" x14ac:dyDescent="0.25">
      <c r="B193" t="s">
        <v>192</v>
      </c>
      <c r="C193" s="169">
        <v>1063158.5007449535</v>
      </c>
      <c r="D193" s="167">
        <f>C193-F194</f>
        <v>913367.30074495357</v>
      </c>
      <c r="E193" s="168">
        <f t="shared" si="12"/>
        <v>53157.925037247682</v>
      </c>
      <c r="G193" s="168">
        <f>F194</f>
        <v>149791.20000000001</v>
      </c>
    </row>
    <row r="194" spans="2:9" x14ac:dyDescent="0.25">
      <c r="B194" s="134" t="s">
        <v>449</v>
      </c>
      <c r="C194" s="169"/>
      <c r="D194" s="167"/>
      <c r="E194" s="168"/>
      <c r="F194" s="168">
        <v>149791.20000000001</v>
      </c>
      <c r="G194" s="168">
        <f>F194</f>
        <v>149791.20000000001</v>
      </c>
      <c r="I194" t="s">
        <v>479</v>
      </c>
    </row>
    <row r="195" spans="2:9" x14ac:dyDescent="0.25">
      <c r="B195" t="s">
        <v>316</v>
      </c>
      <c r="C195" s="169">
        <v>105408.62</v>
      </c>
      <c r="D195" s="167">
        <f t="shared" si="16"/>
        <v>105408.62</v>
      </c>
      <c r="E195" s="168">
        <f t="shared" si="12"/>
        <v>5270.4310000000005</v>
      </c>
    </row>
    <row r="196" spans="2:9" x14ac:dyDescent="0.25">
      <c r="B196" t="s">
        <v>49</v>
      </c>
      <c r="C196" s="169">
        <v>1813220.9566260672</v>
      </c>
      <c r="D196" s="167">
        <f>C196-F196</f>
        <v>1813220.9566260672</v>
      </c>
      <c r="E196" s="168">
        <f t="shared" si="12"/>
        <v>90661.047831303367</v>
      </c>
    </row>
    <row r="197" spans="2:9" x14ac:dyDescent="0.25">
      <c r="B197" t="s">
        <v>214</v>
      </c>
      <c r="C197" s="169">
        <v>259718.32051769432</v>
      </c>
      <c r="D197" s="167">
        <f>C197-F194</f>
        <v>109927.1205176943</v>
      </c>
      <c r="E197" s="168">
        <f t="shared" si="12"/>
        <v>12985.916025884717</v>
      </c>
    </row>
    <row r="198" spans="2:9" x14ac:dyDescent="0.25">
      <c r="B198" t="s">
        <v>195</v>
      </c>
      <c r="C198" s="169">
        <v>207540.41203522345</v>
      </c>
      <c r="D198" s="167">
        <f t="shared" si="16"/>
        <v>207540.41203522345</v>
      </c>
      <c r="E198" s="168">
        <f t="shared" si="12"/>
        <v>10377.020601761173</v>
      </c>
    </row>
    <row r="199" spans="2:9" x14ac:dyDescent="0.25">
      <c r="B199" t="s">
        <v>196</v>
      </c>
      <c r="C199" s="169">
        <v>27080.642627996942</v>
      </c>
      <c r="D199" s="167">
        <f t="shared" si="16"/>
        <v>27080.642627996942</v>
      </c>
      <c r="E199" s="168">
        <f t="shared" si="12"/>
        <v>1354.0321313998472</v>
      </c>
    </row>
    <row r="200" spans="2:9" x14ac:dyDescent="0.25">
      <c r="B200" t="s">
        <v>197</v>
      </c>
      <c r="C200" s="169">
        <v>674250.09730363742</v>
      </c>
      <c r="D200" s="167">
        <f>C200-F200</f>
        <v>674250.09730363742</v>
      </c>
      <c r="E200" s="168">
        <f t="shared" si="12"/>
        <v>33712.504865181872</v>
      </c>
    </row>
    <row r="201" spans="2:9" x14ac:dyDescent="0.25">
      <c r="B201" t="s">
        <v>198</v>
      </c>
      <c r="C201" s="169">
        <v>31050.33</v>
      </c>
      <c r="D201" s="167">
        <f t="shared" si="16"/>
        <v>31050.33</v>
      </c>
      <c r="E201" s="168">
        <f t="shared" si="12"/>
        <v>1552.5165000000002</v>
      </c>
    </row>
    <row r="202" spans="2:9" x14ac:dyDescent="0.25">
      <c r="B202" t="s">
        <v>220</v>
      </c>
      <c r="C202" s="169">
        <v>222987.50951836994</v>
      </c>
      <c r="D202" s="167">
        <f t="shared" si="16"/>
        <v>222987.50951836994</v>
      </c>
      <c r="E202" s="168">
        <f t="shared" si="12"/>
        <v>11149.375475918498</v>
      </c>
    </row>
    <row r="203" spans="2:9" x14ac:dyDescent="0.25">
      <c r="B203" t="s">
        <v>33</v>
      </c>
      <c r="C203" s="169">
        <v>31525892.929760594</v>
      </c>
      <c r="D203" s="167">
        <f>C203-G203</f>
        <v>30607508.229760595</v>
      </c>
      <c r="E203" s="168">
        <f t="shared" si="12"/>
        <v>500000</v>
      </c>
      <c r="G203" s="168">
        <f>F204+F205+F206+F207+F208+F46+F266</f>
        <v>918384.70000000007</v>
      </c>
    </row>
    <row r="204" spans="2:9" x14ac:dyDescent="0.25">
      <c r="B204" s="134" t="s">
        <v>450</v>
      </c>
      <c r="C204" s="169"/>
      <c r="D204" s="167"/>
      <c r="E204" s="168"/>
      <c r="F204" s="168">
        <v>49037.85</v>
      </c>
      <c r="G204" s="168">
        <f>F204</f>
        <v>49037.85</v>
      </c>
      <c r="I204" t="s">
        <v>479</v>
      </c>
    </row>
    <row r="205" spans="2:9" x14ac:dyDescent="0.25">
      <c r="B205" s="134" t="s">
        <v>451</v>
      </c>
      <c r="C205" s="169"/>
      <c r="D205" s="167"/>
      <c r="E205" s="168"/>
      <c r="F205" s="168">
        <v>78520.33</v>
      </c>
      <c r="G205" s="168">
        <f t="shared" ref="G205:G208" si="17">F205</f>
        <v>78520.33</v>
      </c>
      <c r="I205" t="s">
        <v>479</v>
      </c>
    </row>
    <row r="206" spans="2:9" x14ac:dyDescent="0.25">
      <c r="B206" s="134" t="s">
        <v>452</v>
      </c>
      <c r="C206" s="169"/>
      <c r="D206" s="167"/>
      <c r="E206" s="168"/>
      <c r="F206" s="168">
        <v>97537.21</v>
      </c>
      <c r="G206" s="168">
        <f t="shared" si="17"/>
        <v>97537.21</v>
      </c>
      <c r="I206" t="s">
        <v>479</v>
      </c>
    </row>
    <row r="207" spans="2:9" x14ac:dyDescent="0.25">
      <c r="B207" s="134" t="s">
        <v>453</v>
      </c>
      <c r="C207" s="169"/>
      <c r="D207" s="167"/>
      <c r="E207" s="168"/>
      <c r="F207" s="168">
        <v>216812.02</v>
      </c>
      <c r="G207" s="168">
        <f t="shared" si="17"/>
        <v>216812.02</v>
      </c>
      <c r="I207" t="s">
        <v>479</v>
      </c>
    </row>
    <row r="208" spans="2:9" x14ac:dyDescent="0.25">
      <c r="B208" s="134" t="s">
        <v>454</v>
      </c>
      <c r="C208" s="169"/>
      <c r="D208" s="167"/>
      <c r="E208" s="168"/>
      <c r="F208" s="168">
        <v>201615.75</v>
      </c>
      <c r="G208" s="168">
        <f t="shared" si="17"/>
        <v>201615.75</v>
      </c>
      <c r="I208" t="s">
        <v>479</v>
      </c>
    </row>
    <row r="209" spans="2:9" x14ac:dyDescent="0.25">
      <c r="B209" t="s">
        <v>126</v>
      </c>
      <c r="C209" s="169">
        <v>128141.1527495488</v>
      </c>
      <c r="D209" s="167">
        <f>C209-F204</f>
        <v>79103.302749548806</v>
      </c>
      <c r="E209" s="168">
        <f t="shared" ref="E209:E267" si="18">MIN((C209*0.05),500000)</f>
        <v>6407.05763747744</v>
      </c>
    </row>
    <row r="210" spans="2:9" x14ac:dyDescent="0.25">
      <c r="B210" t="s">
        <v>201</v>
      </c>
      <c r="C210" s="169">
        <v>175606.54897144967</v>
      </c>
      <c r="D210" s="167">
        <f>C210-F205</f>
        <v>97086.218971449664</v>
      </c>
      <c r="E210" s="168">
        <f t="shared" si="18"/>
        <v>8780.3274485724833</v>
      </c>
    </row>
    <row r="211" spans="2:9" x14ac:dyDescent="0.25">
      <c r="B211" t="s">
        <v>202</v>
      </c>
      <c r="C211" s="169">
        <v>200965.52233893736</v>
      </c>
      <c r="D211" s="167">
        <f>C211-F206</f>
        <v>103428.31233893735</v>
      </c>
      <c r="E211" s="168">
        <f t="shared" si="18"/>
        <v>10048.276116946869</v>
      </c>
    </row>
    <row r="212" spans="2:9" x14ac:dyDescent="0.25">
      <c r="B212" t="s">
        <v>153</v>
      </c>
      <c r="C212" s="169">
        <v>584610.10456531413</v>
      </c>
      <c r="D212" s="167">
        <f>C212-F207</f>
        <v>367798.08456531412</v>
      </c>
      <c r="E212" s="168">
        <f t="shared" si="18"/>
        <v>29230.505228265709</v>
      </c>
    </row>
    <row r="213" spans="2:9" x14ac:dyDescent="0.25">
      <c r="B213" t="s">
        <v>77</v>
      </c>
      <c r="C213" s="169">
        <v>4728999.94158848</v>
      </c>
      <c r="D213" s="167">
        <f>C213-F214</f>
        <v>4236244.0015884796</v>
      </c>
      <c r="E213" s="168">
        <f t="shared" si="18"/>
        <v>236449.99707942401</v>
      </c>
      <c r="G213" s="168">
        <f>F214</f>
        <v>492755.94</v>
      </c>
    </row>
    <row r="214" spans="2:9" x14ac:dyDescent="0.25">
      <c r="B214" s="134" t="s">
        <v>455</v>
      </c>
      <c r="C214" s="169"/>
      <c r="D214" s="167"/>
      <c r="E214" s="168"/>
      <c r="F214" s="168">
        <v>492755.94</v>
      </c>
      <c r="G214" s="168">
        <f>F214</f>
        <v>492755.94</v>
      </c>
      <c r="I214" t="s">
        <v>479</v>
      </c>
    </row>
    <row r="215" spans="2:9" x14ac:dyDescent="0.25">
      <c r="B215" s="1" t="s">
        <v>495</v>
      </c>
      <c r="C215" s="169">
        <v>193449.51</v>
      </c>
      <c r="D215" s="167">
        <f>C215-F215</f>
        <v>193449.51</v>
      </c>
      <c r="E215" s="168">
        <f t="shared" si="18"/>
        <v>9672.4755000000005</v>
      </c>
    </row>
    <row r="216" spans="2:9" x14ac:dyDescent="0.25">
      <c r="B216" t="s">
        <v>67</v>
      </c>
      <c r="C216" s="169">
        <v>506787.4445730584</v>
      </c>
      <c r="D216" s="167">
        <f>C216-F216</f>
        <v>506787.4445730584</v>
      </c>
      <c r="E216" s="168">
        <f t="shared" si="18"/>
        <v>25339.372228652923</v>
      </c>
    </row>
    <row r="217" spans="2:9" x14ac:dyDescent="0.25">
      <c r="B217" t="s">
        <v>496</v>
      </c>
      <c r="C217" s="169">
        <v>37539.68</v>
      </c>
      <c r="D217" s="167">
        <f>C217-F217</f>
        <v>37539.68</v>
      </c>
      <c r="E217" s="168">
        <f t="shared" si="18"/>
        <v>1876.9840000000002</v>
      </c>
    </row>
    <row r="218" spans="2:9" x14ac:dyDescent="0.25">
      <c r="B218" t="s">
        <v>35</v>
      </c>
      <c r="C218" s="169">
        <v>8038059.2993901651</v>
      </c>
      <c r="D218" s="167">
        <f>C218-G218</f>
        <v>7614793.1693901652</v>
      </c>
      <c r="E218" s="168">
        <f t="shared" si="18"/>
        <v>401902.96496950829</v>
      </c>
      <c r="G218" s="168">
        <f>F219+F220</f>
        <v>423266.13</v>
      </c>
    </row>
    <row r="219" spans="2:9" x14ac:dyDescent="0.25">
      <c r="B219" s="134" t="s">
        <v>456</v>
      </c>
      <c r="C219" s="169"/>
      <c r="D219" s="167"/>
      <c r="E219" s="168"/>
      <c r="F219" s="168">
        <v>319001.8</v>
      </c>
      <c r="G219" s="168">
        <f>F219</f>
        <v>319001.8</v>
      </c>
      <c r="I219" t="s">
        <v>479</v>
      </c>
    </row>
    <row r="220" spans="2:9" x14ac:dyDescent="0.25">
      <c r="B220" s="134" t="s">
        <v>457</v>
      </c>
      <c r="C220" s="169"/>
      <c r="D220" s="167"/>
      <c r="E220" s="168"/>
      <c r="F220" s="168">
        <v>104264.33</v>
      </c>
      <c r="G220" s="168">
        <f>F220</f>
        <v>104264.33</v>
      </c>
      <c r="I220" t="s">
        <v>479</v>
      </c>
    </row>
    <row r="221" spans="2:9" x14ac:dyDescent="0.25">
      <c r="B221" t="s">
        <v>204</v>
      </c>
      <c r="C221" s="169">
        <v>303530.4737153406</v>
      </c>
      <c r="D221" s="167">
        <f>C221-F221</f>
        <v>303530.4737153406</v>
      </c>
      <c r="E221" s="168">
        <f t="shared" si="18"/>
        <v>15176.523685767032</v>
      </c>
    </row>
    <row r="222" spans="2:9" x14ac:dyDescent="0.25">
      <c r="B222" t="s">
        <v>458</v>
      </c>
      <c r="C222" s="169">
        <v>19536.52</v>
      </c>
      <c r="D222" s="167">
        <f>C222</f>
        <v>19536.52</v>
      </c>
      <c r="E222" s="168">
        <f t="shared" si="18"/>
        <v>976.82600000000002</v>
      </c>
    </row>
    <row r="223" spans="2:9" x14ac:dyDescent="0.25">
      <c r="B223" t="s">
        <v>205</v>
      </c>
      <c r="C223" s="169">
        <v>395603.75398258393</v>
      </c>
      <c r="D223" s="167">
        <f>C223-F219</f>
        <v>76601.953982583946</v>
      </c>
      <c r="E223" s="168">
        <f t="shared" si="18"/>
        <v>19780.187699129197</v>
      </c>
    </row>
    <row r="224" spans="2:9" x14ac:dyDescent="0.25">
      <c r="B224" t="s">
        <v>489</v>
      </c>
      <c r="C224" s="169">
        <v>197377.81</v>
      </c>
      <c r="D224" s="167">
        <f>C224-F224</f>
        <v>197377.81</v>
      </c>
      <c r="E224" s="168">
        <f t="shared" si="18"/>
        <v>9868.8905000000013</v>
      </c>
    </row>
    <row r="225" spans="2:9" x14ac:dyDescent="0.25">
      <c r="B225" t="s">
        <v>127</v>
      </c>
      <c r="C225" s="169">
        <v>756964.69536579691</v>
      </c>
      <c r="D225" s="167">
        <f>C225-F226</f>
        <v>652616.90536579688</v>
      </c>
      <c r="E225" s="168">
        <f t="shared" si="18"/>
        <v>37848.234768289847</v>
      </c>
      <c r="G225" s="168">
        <f>F226</f>
        <v>104347.79</v>
      </c>
    </row>
    <row r="226" spans="2:9" x14ac:dyDescent="0.25">
      <c r="B226" s="134" t="s">
        <v>459</v>
      </c>
      <c r="C226" s="169"/>
      <c r="D226" s="167"/>
      <c r="E226" s="168"/>
      <c r="F226" s="168">
        <v>104347.79</v>
      </c>
      <c r="G226" s="168">
        <f>F226</f>
        <v>104347.79</v>
      </c>
      <c r="I226" t="s">
        <v>479</v>
      </c>
    </row>
    <row r="227" spans="2:9" x14ac:dyDescent="0.25">
      <c r="B227" t="s">
        <v>34</v>
      </c>
      <c r="C227" s="169">
        <v>29070666.503104053</v>
      </c>
      <c r="D227" s="167">
        <f>C227-G227</f>
        <v>28666038.963104054</v>
      </c>
      <c r="E227" s="168">
        <f t="shared" si="18"/>
        <v>500000</v>
      </c>
      <c r="G227" s="168">
        <f>F229+F230+F231+F232+F228</f>
        <v>404627.54</v>
      </c>
    </row>
    <row r="228" spans="2:9" x14ac:dyDescent="0.25">
      <c r="B228" s="134" t="s">
        <v>460</v>
      </c>
      <c r="C228" s="169"/>
      <c r="D228" s="167"/>
      <c r="E228" s="168"/>
      <c r="F228" s="168">
        <v>74330.86</v>
      </c>
      <c r="G228" s="168">
        <f>F228</f>
        <v>74330.86</v>
      </c>
      <c r="I228" t="s">
        <v>479</v>
      </c>
    </row>
    <row r="229" spans="2:9" x14ac:dyDescent="0.25">
      <c r="B229" s="134" t="s">
        <v>461</v>
      </c>
      <c r="C229" s="169"/>
      <c r="D229" s="167"/>
      <c r="E229" s="168"/>
      <c r="F229" s="168">
        <v>54810.49</v>
      </c>
      <c r="G229" s="168">
        <f t="shared" ref="G229:G232" si="19">F229</f>
        <v>54810.49</v>
      </c>
      <c r="I229" t="s">
        <v>479</v>
      </c>
    </row>
    <row r="230" spans="2:9" x14ac:dyDescent="0.25">
      <c r="B230" s="134" t="s">
        <v>462</v>
      </c>
      <c r="C230" s="169"/>
      <c r="D230" s="167"/>
      <c r="E230" s="168"/>
      <c r="F230" s="168">
        <v>93468.89</v>
      </c>
      <c r="G230" s="168">
        <f t="shared" si="19"/>
        <v>93468.89</v>
      </c>
      <c r="I230" t="s">
        <v>479</v>
      </c>
    </row>
    <row r="231" spans="2:9" x14ac:dyDescent="0.25">
      <c r="B231" s="134" t="s">
        <v>463</v>
      </c>
      <c r="C231" s="169"/>
      <c r="D231" s="167"/>
      <c r="E231" s="168"/>
      <c r="F231" s="168">
        <v>80209.850000000006</v>
      </c>
      <c r="G231" s="168">
        <f t="shared" si="19"/>
        <v>80209.850000000006</v>
      </c>
      <c r="I231" t="s">
        <v>479</v>
      </c>
    </row>
    <row r="232" spans="2:9" x14ac:dyDescent="0.25">
      <c r="B232" s="134" t="s">
        <v>464</v>
      </c>
      <c r="C232" s="169"/>
      <c r="D232" s="167"/>
      <c r="E232" s="168"/>
      <c r="F232" s="168">
        <v>101807.45</v>
      </c>
      <c r="G232" s="168">
        <f t="shared" si="19"/>
        <v>101807.45</v>
      </c>
      <c r="I232" t="s">
        <v>479</v>
      </c>
    </row>
    <row r="233" spans="2:9" x14ac:dyDescent="0.25">
      <c r="B233" t="s">
        <v>57</v>
      </c>
      <c r="C233" s="169">
        <v>859123.91477213951</v>
      </c>
      <c r="D233" s="167">
        <f>C233-F228</f>
        <v>784793.05477213953</v>
      </c>
      <c r="E233" s="168">
        <f t="shared" si="18"/>
        <v>42956.195738606977</v>
      </c>
    </row>
    <row r="234" spans="2:9" x14ac:dyDescent="0.25">
      <c r="B234" t="s">
        <v>206</v>
      </c>
      <c r="C234" s="169">
        <v>1531613.0104653575</v>
      </c>
      <c r="D234" s="167">
        <f>C234-G234</f>
        <v>1353571.1304653576</v>
      </c>
      <c r="E234" s="168">
        <f t="shared" si="18"/>
        <v>76580.650523267876</v>
      </c>
      <c r="G234" s="168">
        <f>F235+F236</f>
        <v>178041.88</v>
      </c>
    </row>
    <row r="235" spans="2:9" x14ac:dyDescent="0.25">
      <c r="B235" s="134" t="s">
        <v>465</v>
      </c>
      <c r="C235" s="169"/>
      <c r="D235" s="167"/>
      <c r="E235" s="168"/>
      <c r="F235" s="168">
        <v>39056.879999999997</v>
      </c>
      <c r="G235" s="168">
        <f>F235</f>
        <v>39056.879999999997</v>
      </c>
      <c r="I235" t="s">
        <v>479</v>
      </c>
    </row>
    <row r="236" spans="2:9" x14ac:dyDescent="0.25">
      <c r="B236" s="134" t="s">
        <v>466</v>
      </c>
      <c r="C236" s="169"/>
      <c r="D236" s="167"/>
      <c r="E236" s="168"/>
      <c r="F236" s="168">
        <v>138985</v>
      </c>
      <c r="G236" s="168">
        <f>F236</f>
        <v>138985</v>
      </c>
      <c r="I236" t="s">
        <v>479</v>
      </c>
    </row>
    <row r="237" spans="2:9" x14ac:dyDescent="0.25">
      <c r="B237" t="s">
        <v>160</v>
      </c>
      <c r="C237" s="169">
        <v>532224.34134471579</v>
      </c>
      <c r="D237" s="167">
        <f>C237-F238</f>
        <v>505147.57134471578</v>
      </c>
      <c r="E237" s="168">
        <f t="shared" si="18"/>
        <v>26611.21706723579</v>
      </c>
      <c r="G237" s="168">
        <f>F238</f>
        <v>27076.77</v>
      </c>
    </row>
    <row r="238" spans="2:9" x14ac:dyDescent="0.25">
      <c r="B238" s="134" t="s">
        <v>467</v>
      </c>
      <c r="C238" s="169"/>
      <c r="D238" s="167"/>
      <c r="E238" s="168"/>
      <c r="F238" s="168">
        <v>27076.77</v>
      </c>
      <c r="G238" s="168">
        <f>F238</f>
        <v>27076.77</v>
      </c>
      <c r="I238" t="s">
        <v>479</v>
      </c>
    </row>
    <row r="239" spans="2:9" x14ac:dyDescent="0.25">
      <c r="B239" t="s">
        <v>207</v>
      </c>
      <c r="C239" s="169">
        <v>1102386.1414265635</v>
      </c>
      <c r="D239" s="167">
        <f>C239-F239</f>
        <v>1102386.1414265635</v>
      </c>
      <c r="E239" s="168">
        <f t="shared" si="18"/>
        <v>55119.307071328178</v>
      </c>
    </row>
    <row r="240" spans="2:9" x14ac:dyDescent="0.25">
      <c r="B240" t="s">
        <v>68</v>
      </c>
      <c r="C240" s="169">
        <v>592268.51842356287</v>
      </c>
      <c r="D240" s="167">
        <f>C240-F241</f>
        <v>544691.32842356293</v>
      </c>
      <c r="E240" s="168">
        <f t="shared" si="18"/>
        <v>29613.425921178146</v>
      </c>
      <c r="G240" s="168">
        <f>F241</f>
        <v>47577.19</v>
      </c>
    </row>
    <row r="241" spans="2:9" x14ac:dyDescent="0.25">
      <c r="B241" s="134" t="s">
        <v>468</v>
      </c>
      <c r="C241" s="169"/>
      <c r="D241" s="167"/>
      <c r="E241" s="168"/>
      <c r="F241" s="168">
        <v>47577.19</v>
      </c>
      <c r="G241" s="168">
        <f>F241</f>
        <v>47577.19</v>
      </c>
      <c r="I241" t="s">
        <v>479</v>
      </c>
    </row>
    <row r="242" spans="2:9" x14ac:dyDescent="0.25">
      <c r="B242" t="s">
        <v>208</v>
      </c>
      <c r="C242" s="169">
        <v>235762.87484962842</v>
      </c>
      <c r="D242" s="167">
        <f>C242-F238</f>
        <v>208686.10484962843</v>
      </c>
      <c r="E242" s="168">
        <f t="shared" si="18"/>
        <v>11788.143742481421</v>
      </c>
    </row>
    <row r="243" spans="2:9" x14ac:dyDescent="0.25">
      <c r="B243" t="s">
        <v>209</v>
      </c>
      <c r="C243" s="169">
        <v>3249093.3891371903</v>
      </c>
      <c r="D243" s="167">
        <f>C243-F244</f>
        <v>3127797.8791371905</v>
      </c>
      <c r="E243" s="168">
        <f t="shared" si="18"/>
        <v>162454.66945685953</v>
      </c>
      <c r="G243" s="168">
        <f>F244</f>
        <v>121295.51</v>
      </c>
    </row>
    <row r="244" spans="2:9" x14ac:dyDescent="0.25">
      <c r="B244" s="134" t="s">
        <v>498</v>
      </c>
      <c r="C244" s="169"/>
      <c r="D244" s="167"/>
      <c r="E244" s="168"/>
      <c r="F244" s="168">
        <v>121295.51</v>
      </c>
      <c r="G244" s="168">
        <f>F244</f>
        <v>121295.51</v>
      </c>
    </row>
    <row r="245" spans="2:9" x14ac:dyDescent="0.25">
      <c r="B245" t="s">
        <v>322</v>
      </c>
      <c r="C245" s="169">
        <v>167132.01999999999</v>
      </c>
      <c r="D245" s="167">
        <f>C245-F245</f>
        <v>167132.01999999999</v>
      </c>
      <c r="E245" s="168">
        <f t="shared" si="18"/>
        <v>8356.6010000000006</v>
      </c>
    </row>
    <row r="246" spans="2:9" x14ac:dyDescent="0.25">
      <c r="B246" t="s">
        <v>210</v>
      </c>
      <c r="C246" s="169">
        <v>2518873.7476707688</v>
      </c>
      <c r="D246" s="167">
        <f>C246-G246</f>
        <v>2376252.5776707688</v>
      </c>
      <c r="E246" s="168">
        <f t="shared" si="18"/>
        <v>125943.68738353845</v>
      </c>
      <c r="G246" s="168">
        <f>F247+F248</f>
        <v>142621.16999999998</v>
      </c>
    </row>
    <row r="247" spans="2:9" x14ac:dyDescent="0.25">
      <c r="B247" s="134" t="s">
        <v>469</v>
      </c>
      <c r="C247" s="169"/>
      <c r="D247" s="167"/>
      <c r="E247" s="168"/>
      <c r="F247" s="168">
        <v>73789.67</v>
      </c>
      <c r="G247" s="168">
        <f>F247</f>
        <v>73789.67</v>
      </c>
      <c r="I247" t="s">
        <v>479</v>
      </c>
    </row>
    <row r="248" spans="2:9" x14ac:dyDescent="0.25">
      <c r="B248" s="134" t="s">
        <v>487</v>
      </c>
      <c r="C248" s="169"/>
      <c r="D248" s="167"/>
      <c r="E248" s="168"/>
      <c r="F248" s="167">
        <v>68831.5</v>
      </c>
      <c r="G248" s="168">
        <f>F248</f>
        <v>68831.5</v>
      </c>
    </row>
    <row r="249" spans="2:9" x14ac:dyDescent="0.25">
      <c r="B249" t="s">
        <v>211</v>
      </c>
      <c r="C249" s="169">
        <v>676780.47508892871</v>
      </c>
      <c r="D249" s="167">
        <f t="shared" ref="D249:D250" si="20">C249-F249</f>
        <v>676780.47508892871</v>
      </c>
      <c r="E249" s="168">
        <f t="shared" si="18"/>
        <v>33839.02375444644</v>
      </c>
    </row>
    <row r="250" spans="2:9" x14ac:dyDescent="0.25">
      <c r="B250" t="s">
        <v>212</v>
      </c>
      <c r="C250" s="169">
        <v>948399.27164489089</v>
      </c>
      <c r="D250" s="167">
        <f t="shared" si="20"/>
        <v>948399.27164489089</v>
      </c>
      <c r="E250" s="168">
        <f t="shared" si="18"/>
        <v>47419.963582244549</v>
      </c>
    </row>
    <row r="251" spans="2:9" x14ac:dyDescent="0.25">
      <c r="B251" t="s">
        <v>74</v>
      </c>
      <c r="C251" s="169">
        <v>1910394.7332343876</v>
      </c>
      <c r="D251" s="167">
        <f>C251-G251</f>
        <v>1828510.1632343875</v>
      </c>
      <c r="E251" s="168">
        <f t="shared" si="18"/>
        <v>95519.736661719391</v>
      </c>
      <c r="G251" s="168">
        <f>F252</f>
        <v>81884.570000000007</v>
      </c>
    </row>
    <row r="252" spans="2:9" x14ac:dyDescent="0.25">
      <c r="B252" s="134" t="s">
        <v>470</v>
      </c>
      <c r="C252" s="169"/>
      <c r="D252" s="167"/>
      <c r="E252" s="168"/>
      <c r="F252" s="168">
        <v>81884.570000000007</v>
      </c>
      <c r="G252" s="168">
        <f>F252</f>
        <v>81884.570000000007</v>
      </c>
      <c r="I252" t="s">
        <v>479</v>
      </c>
    </row>
    <row r="253" spans="2:9" x14ac:dyDescent="0.25">
      <c r="B253" t="s">
        <v>115</v>
      </c>
      <c r="C253" s="169">
        <v>1003171.5308602785</v>
      </c>
      <c r="D253" s="167">
        <f t="shared" ref="D253:D255" si="21">C253-F253</f>
        <v>1003171.5308602785</v>
      </c>
      <c r="E253" s="168">
        <f t="shared" si="18"/>
        <v>50158.576543013929</v>
      </c>
    </row>
    <row r="254" spans="2:9" x14ac:dyDescent="0.25">
      <c r="B254" t="s">
        <v>224</v>
      </c>
      <c r="C254" s="169">
        <v>224227.28154966937</v>
      </c>
      <c r="D254" s="167">
        <f t="shared" si="21"/>
        <v>224227.28154966937</v>
      </c>
      <c r="E254" s="168">
        <f t="shared" si="18"/>
        <v>11211.364077483469</v>
      </c>
    </row>
    <row r="255" spans="2:9" x14ac:dyDescent="0.25">
      <c r="B255" t="s">
        <v>215</v>
      </c>
      <c r="C255" s="169">
        <v>83665.630240623519</v>
      </c>
      <c r="D255" s="167">
        <f t="shared" si="21"/>
        <v>83665.630240623519</v>
      </c>
      <c r="E255" s="168">
        <f t="shared" si="18"/>
        <v>4183.2815120311761</v>
      </c>
    </row>
    <row r="256" spans="2:9" x14ac:dyDescent="0.25">
      <c r="B256" t="s">
        <v>41</v>
      </c>
      <c r="C256" s="169">
        <v>6972570.417095175</v>
      </c>
      <c r="D256" s="167">
        <f>C256-G251</f>
        <v>6890685.8470951747</v>
      </c>
      <c r="E256" s="168">
        <f t="shared" si="18"/>
        <v>348628.5208547588</v>
      </c>
    </row>
    <row r="257" spans="2:9" x14ac:dyDescent="0.25">
      <c r="B257" t="s">
        <v>79</v>
      </c>
      <c r="C257" s="169">
        <v>1847757.7324586771</v>
      </c>
      <c r="D257" s="167">
        <f>C257-F258</f>
        <v>1740316.3024586772</v>
      </c>
      <c r="E257" s="168">
        <f t="shared" si="18"/>
        <v>92387.88662293386</v>
      </c>
      <c r="G257" s="168">
        <f>F258</f>
        <v>107441.43</v>
      </c>
    </row>
    <row r="258" spans="2:9" x14ac:dyDescent="0.25">
      <c r="B258" s="134" t="s">
        <v>471</v>
      </c>
      <c r="C258" s="169">
        <f>F258</f>
        <v>107441.43</v>
      </c>
      <c r="D258" s="167"/>
      <c r="E258" s="168">
        <f t="shared" si="18"/>
        <v>5372.0715</v>
      </c>
      <c r="F258" s="168">
        <v>107441.43</v>
      </c>
      <c r="G258" s="168">
        <f>F258</f>
        <v>107441.43</v>
      </c>
      <c r="I258" t="s">
        <v>479</v>
      </c>
    </row>
    <row r="259" spans="2:9" x14ac:dyDescent="0.25">
      <c r="B259" t="s">
        <v>216</v>
      </c>
      <c r="C259" s="169">
        <v>219153.11750774123</v>
      </c>
      <c r="D259" s="167">
        <f t="shared" ref="D259:D263" si="22">C259-F259</f>
        <v>219153.11750774123</v>
      </c>
      <c r="E259" s="168">
        <f t="shared" si="18"/>
        <v>10957.655875387063</v>
      </c>
    </row>
    <row r="260" spans="2:9" x14ac:dyDescent="0.25">
      <c r="B260" t="s">
        <v>217</v>
      </c>
      <c r="C260" s="169">
        <v>398798.25496910937</v>
      </c>
      <c r="D260" s="167">
        <f t="shared" si="22"/>
        <v>398798.25496910937</v>
      </c>
      <c r="E260" s="168">
        <f t="shared" si="18"/>
        <v>19939.91274845547</v>
      </c>
    </row>
    <row r="261" spans="2:9" x14ac:dyDescent="0.25">
      <c r="B261" t="s">
        <v>318</v>
      </c>
      <c r="C261" s="169">
        <v>88308.78</v>
      </c>
      <c r="D261" s="167">
        <f t="shared" si="22"/>
        <v>88308.78</v>
      </c>
      <c r="E261" s="168">
        <f t="shared" si="18"/>
        <v>4415.4390000000003</v>
      </c>
    </row>
    <row r="262" spans="2:9" x14ac:dyDescent="0.25">
      <c r="B262" t="s">
        <v>219</v>
      </c>
      <c r="C262" s="169">
        <v>901876.83020907722</v>
      </c>
      <c r="D262" s="167">
        <f t="shared" si="22"/>
        <v>901876.83020907722</v>
      </c>
      <c r="E262" s="168">
        <f t="shared" si="18"/>
        <v>45093.841510453865</v>
      </c>
    </row>
    <row r="263" spans="2:9" x14ac:dyDescent="0.25">
      <c r="B263" t="s">
        <v>323</v>
      </c>
      <c r="C263" s="169">
        <v>78574.179999999993</v>
      </c>
      <c r="D263" s="167">
        <f t="shared" si="22"/>
        <v>78574.179999999993</v>
      </c>
      <c r="E263" s="168">
        <f t="shared" si="18"/>
        <v>3928.7089999999998</v>
      </c>
    </row>
    <row r="264" spans="2:9" x14ac:dyDescent="0.25">
      <c r="B264" t="s">
        <v>89</v>
      </c>
      <c r="C264" s="169">
        <v>1520332.285819533</v>
      </c>
      <c r="D264" s="167">
        <f>C264-F264</f>
        <v>1520332.285819533</v>
      </c>
      <c r="E264" s="168">
        <f t="shared" si="18"/>
        <v>76016.614290976649</v>
      </c>
    </row>
    <row r="265" spans="2:9" x14ac:dyDescent="0.25">
      <c r="B265" t="s">
        <v>497</v>
      </c>
      <c r="C265" s="169">
        <v>13615.54</v>
      </c>
      <c r="D265" s="167">
        <f>C265-F265</f>
        <v>13615.54</v>
      </c>
      <c r="E265" s="168">
        <f t="shared" si="18"/>
        <v>680.77700000000004</v>
      </c>
    </row>
    <row r="266" spans="2:9" s="217" customFormat="1" x14ac:dyDescent="0.25">
      <c r="B266" s="213" t="s">
        <v>472</v>
      </c>
      <c r="C266" s="218"/>
      <c r="D266" s="219"/>
      <c r="E266" s="168"/>
      <c r="F266" s="220">
        <v>161920.75</v>
      </c>
      <c r="G266" s="220">
        <f>F266</f>
        <v>161920.75</v>
      </c>
      <c r="I266" s="217" t="s">
        <v>479</v>
      </c>
    </row>
    <row r="267" spans="2:9" x14ac:dyDescent="0.25">
      <c r="B267" t="s">
        <v>40</v>
      </c>
      <c r="C267" s="169">
        <v>3182354.8500603037</v>
      </c>
      <c r="D267" s="167">
        <f>C267-F268</f>
        <v>3089149.8200603039</v>
      </c>
      <c r="E267" s="168">
        <f t="shared" si="18"/>
        <v>159117.74250301521</v>
      </c>
      <c r="G267" s="168">
        <f>F268</f>
        <v>93205.03</v>
      </c>
    </row>
    <row r="268" spans="2:9" x14ac:dyDescent="0.25">
      <c r="B268" s="134" t="s">
        <v>473</v>
      </c>
      <c r="C268" s="169"/>
      <c r="D268" s="167"/>
      <c r="E268" s="168"/>
      <c r="F268" s="168">
        <v>93205.03</v>
      </c>
      <c r="G268" s="168">
        <f>F268</f>
        <v>93205.03</v>
      </c>
      <c r="I268" t="s">
        <v>479</v>
      </c>
    </row>
    <row r="269" spans="2:9" x14ac:dyDescent="0.25">
      <c r="B269" t="s">
        <v>136</v>
      </c>
      <c r="C269" s="169">
        <v>8068053.3497499693</v>
      </c>
      <c r="D269" s="167">
        <f>C269-F270</f>
        <v>7943478.4197499696</v>
      </c>
      <c r="E269" s="168">
        <f t="shared" ref="E269:E289" si="23">MIN((C269*0.05),500000)</f>
        <v>403402.66748749849</v>
      </c>
      <c r="G269" s="168">
        <f>F270</f>
        <v>124574.93</v>
      </c>
    </row>
    <row r="270" spans="2:9" x14ac:dyDescent="0.25">
      <c r="B270" s="134" t="s">
        <v>474</v>
      </c>
      <c r="C270" s="169"/>
      <c r="D270" s="167"/>
      <c r="E270" s="168"/>
      <c r="F270" s="168">
        <v>124574.93</v>
      </c>
      <c r="G270" s="168">
        <f>F270</f>
        <v>124574.93</v>
      </c>
      <c r="I270" t="s">
        <v>479</v>
      </c>
    </row>
    <row r="271" spans="2:9" x14ac:dyDescent="0.25">
      <c r="B271" t="s">
        <v>221</v>
      </c>
      <c r="C271" s="169">
        <v>1491352.755942276</v>
      </c>
      <c r="D271" s="167">
        <f t="shared" ref="D271:D288" si="24">C271-F271</f>
        <v>1491352.755942276</v>
      </c>
      <c r="E271" s="168">
        <f t="shared" si="23"/>
        <v>74567.637797113799</v>
      </c>
    </row>
    <row r="272" spans="2:9" x14ac:dyDescent="0.25">
      <c r="B272" t="s">
        <v>222</v>
      </c>
      <c r="C272" s="169">
        <v>26924.641256556453</v>
      </c>
      <c r="D272" s="167">
        <f>C272-F272</f>
        <v>26924.641256556453</v>
      </c>
      <c r="E272" s="168">
        <f t="shared" si="23"/>
        <v>1346.2320628278228</v>
      </c>
    </row>
    <row r="273" spans="2:9" x14ac:dyDescent="0.25">
      <c r="B273" t="s">
        <v>223</v>
      </c>
      <c r="C273" s="169">
        <v>62201.952422286879</v>
      </c>
      <c r="D273" s="167">
        <f>C273-F266</f>
        <v>-99718.797577713121</v>
      </c>
      <c r="E273" s="168">
        <f t="shared" si="23"/>
        <v>3110.0976211143443</v>
      </c>
    </row>
    <row r="274" spans="2:9" x14ac:dyDescent="0.25">
      <c r="B274" t="s">
        <v>90</v>
      </c>
      <c r="C274" s="169">
        <v>1021922.0664284745</v>
      </c>
      <c r="D274" s="167">
        <f t="shared" si="24"/>
        <v>1021922.0664284745</v>
      </c>
      <c r="E274" s="168">
        <f t="shared" si="23"/>
        <v>51096.103321423725</v>
      </c>
    </row>
    <row r="275" spans="2:9" x14ac:dyDescent="0.25">
      <c r="B275" t="s">
        <v>117</v>
      </c>
      <c r="C275" s="169">
        <v>274262.47323166102</v>
      </c>
      <c r="D275" s="167">
        <f>C275-F268</f>
        <v>181057.44323166102</v>
      </c>
      <c r="E275" s="168">
        <f t="shared" si="23"/>
        <v>13713.123661583051</v>
      </c>
    </row>
    <row r="276" spans="2:9" x14ac:dyDescent="0.25">
      <c r="B276" t="s">
        <v>225</v>
      </c>
      <c r="C276" s="169">
        <v>690897.33374615386</v>
      </c>
      <c r="D276" s="167">
        <f>C276-F269</f>
        <v>690897.33374615386</v>
      </c>
      <c r="E276" s="168">
        <f t="shared" si="23"/>
        <v>34544.866687307695</v>
      </c>
    </row>
    <row r="277" spans="2:9" x14ac:dyDescent="0.25">
      <c r="B277" t="s">
        <v>123</v>
      </c>
      <c r="C277" s="169">
        <v>434903.87579845643</v>
      </c>
      <c r="D277" s="167">
        <f>C277-F270</f>
        <v>310328.94579845644</v>
      </c>
      <c r="E277" s="168">
        <f t="shared" si="23"/>
        <v>21745.193789922821</v>
      </c>
    </row>
    <row r="278" spans="2:9" x14ac:dyDescent="0.25">
      <c r="B278" t="s">
        <v>319</v>
      </c>
      <c r="C278" s="169">
        <v>122559.62</v>
      </c>
      <c r="D278" s="167">
        <f t="shared" si="24"/>
        <v>122559.62</v>
      </c>
      <c r="E278" s="168">
        <f t="shared" si="23"/>
        <v>6127.9809999999998</v>
      </c>
    </row>
    <row r="279" spans="2:9" x14ac:dyDescent="0.25">
      <c r="B279" t="s">
        <v>226</v>
      </c>
      <c r="C279" s="169">
        <v>181811.54794615312</v>
      </c>
      <c r="D279" s="167">
        <f t="shared" si="24"/>
        <v>181811.54794615312</v>
      </c>
      <c r="E279" s="168">
        <f t="shared" si="23"/>
        <v>9090.5773973076557</v>
      </c>
    </row>
    <row r="280" spans="2:9" x14ac:dyDescent="0.25">
      <c r="B280" t="s">
        <v>227</v>
      </c>
      <c r="C280" s="169">
        <v>690309.03033469804</v>
      </c>
      <c r="D280" s="167">
        <f t="shared" si="24"/>
        <v>690309.03033469804</v>
      </c>
      <c r="E280" s="168">
        <f t="shared" si="23"/>
        <v>34515.451516734902</v>
      </c>
    </row>
    <row r="281" spans="2:9" x14ac:dyDescent="0.25">
      <c r="B281" t="s">
        <v>141</v>
      </c>
      <c r="C281" s="169">
        <v>6130831.3347618096</v>
      </c>
      <c r="D281" s="167">
        <f>C281-F282</f>
        <v>6072009.0747618098</v>
      </c>
      <c r="E281" s="168">
        <f t="shared" si="23"/>
        <v>306541.56673809048</v>
      </c>
      <c r="G281" s="168">
        <f>F282</f>
        <v>58822.26</v>
      </c>
    </row>
    <row r="282" spans="2:9" x14ac:dyDescent="0.25">
      <c r="B282" s="134" t="s">
        <v>475</v>
      </c>
      <c r="C282" s="169"/>
      <c r="D282" s="167"/>
      <c r="E282" s="168"/>
      <c r="F282" s="168">
        <v>58822.26</v>
      </c>
      <c r="G282" s="168">
        <f>F282</f>
        <v>58822.26</v>
      </c>
      <c r="I282" t="s">
        <v>479</v>
      </c>
    </row>
    <row r="283" spans="2:9" x14ac:dyDescent="0.25">
      <c r="B283" t="s">
        <v>320</v>
      </c>
      <c r="C283" s="169">
        <v>174654.76</v>
      </c>
      <c r="D283" s="167">
        <f t="shared" si="24"/>
        <v>174654.76</v>
      </c>
      <c r="E283" s="168">
        <f t="shared" si="23"/>
        <v>8732.7380000000012</v>
      </c>
    </row>
    <row r="284" spans="2:9" x14ac:dyDescent="0.25">
      <c r="B284" t="s">
        <v>58</v>
      </c>
      <c r="C284" s="169">
        <v>603507.97177046596</v>
      </c>
      <c r="D284" s="167">
        <f t="shared" si="24"/>
        <v>603507.97177046596</v>
      </c>
      <c r="E284" s="168">
        <f t="shared" si="23"/>
        <v>30175.398588523298</v>
      </c>
    </row>
    <row r="285" spans="2:9" x14ac:dyDescent="0.25">
      <c r="B285" t="s">
        <v>56</v>
      </c>
      <c r="C285" s="169">
        <v>916129.01211325766</v>
      </c>
      <c r="D285" s="167">
        <f t="shared" si="24"/>
        <v>916129.01211325766</v>
      </c>
      <c r="E285" s="168">
        <f t="shared" si="23"/>
        <v>45806.450605662889</v>
      </c>
    </row>
    <row r="286" spans="2:9" x14ac:dyDescent="0.25">
      <c r="B286" t="s">
        <v>488</v>
      </c>
      <c r="C286" s="169">
        <v>106538.11</v>
      </c>
      <c r="D286" s="167">
        <f>C286-F286</f>
        <v>106538.11</v>
      </c>
      <c r="E286" s="168">
        <f t="shared" si="23"/>
        <v>5326.9055000000008</v>
      </c>
    </row>
    <row r="287" spans="2:9" x14ac:dyDescent="0.25">
      <c r="B287" t="s">
        <v>39</v>
      </c>
      <c r="C287" s="169">
        <v>4266743.6458331821</v>
      </c>
      <c r="D287" s="167">
        <f>C287-F287</f>
        <v>4266743.6458331821</v>
      </c>
      <c r="E287" s="168">
        <f t="shared" si="23"/>
        <v>213337.18229165912</v>
      </c>
    </row>
    <row r="288" spans="2:9" x14ac:dyDescent="0.25">
      <c r="B288" t="s">
        <v>97</v>
      </c>
      <c r="C288" s="169">
        <v>643729.83175511542</v>
      </c>
      <c r="D288" s="167">
        <f t="shared" si="24"/>
        <v>643729.83175511542</v>
      </c>
      <c r="E288" s="168">
        <f t="shared" si="23"/>
        <v>32186.491587755772</v>
      </c>
    </row>
    <row r="289" spans="2:5" x14ac:dyDescent="0.25">
      <c r="B289" t="s">
        <v>228</v>
      </c>
      <c r="C289" s="169">
        <v>248661.12424358178</v>
      </c>
      <c r="D289" s="167">
        <f>C289-F282</f>
        <v>189838.86424358177</v>
      </c>
      <c r="E289" s="168">
        <f t="shared" si="23"/>
        <v>12433.05621217909</v>
      </c>
    </row>
    <row r="290" spans="2:5" x14ac:dyDescent="0.25">
      <c r="B290" s="166"/>
      <c r="C290" s="221"/>
      <c r="D290" s="221"/>
      <c r="E290" s="168"/>
    </row>
    <row r="291" spans="2:5" x14ac:dyDescent="0.25">
      <c r="B291" s="222" t="s">
        <v>476</v>
      </c>
      <c r="C291" s="165">
        <f>SUM(C2:C290)</f>
        <v>383582666.21705109</v>
      </c>
    </row>
  </sheetData>
  <sheetProtection algorithmName="SHA-512" hashValue="5dcVwhxU/aw64y8U2uWEPyks9jPoyFxtwPIvYXT8xjH9Y7isP4KnmjlOvfWSAF26bszMVhVGlq/JNQuNDhcJhQ==" saltValue="VVRaoLoUOdMbMEuUSHVW+w==" spinCount="100000" sheet="1" objects="1" selectLockedCells="1" selectUnlockedCells="1"/>
  <autoFilter ref="B1:I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workbookViewId="0">
      <pane ySplit="1" topLeftCell="A180" activePane="bottomLeft" state="frozen"/>
      <selection activeCell="C228" sqref="C228"/>
      <selection pane="bottomLeft" activeCell="C206" sqref="C206"/>
    </sheetView>
  </sheetViews>
  <sheetFormatPr defaultColWidth="10.625" defaultRowHeight="15.75" x14ac:dyDescent="0.25"/>
  <cols>
    <col min="2" max="2" width="53.625" customWidth="1"/>
    <col min="3" max="5" width="33.875" style="165" customWidth="1"/>
    <col min="6" max="7" width="33.875" style="168" customWidth="1"/>
    <col min="8" max="30" width="33.875" customWidth="1"/>
  </cols>
  <sheetData>
    <row r="1" spans="2:10" x14ac:dyDescent="0.25">
      <c r="B1" s="211" t="s">
        <v>409</v>
      </c>
      <c r="C1" s="212" t="s">
        <v>382</v>
      </c>
      <c r="D1" s="212" t="s">
        <v>377</v>
      </c>
      <c r="E1" s="212" t="s">
        <v>343</v>
      </c>
      <c r="F1" s="212" t="s">
        <v>376</v>
      </c>
      <c r="G1" s="212" t="s">
        <v>502</v>
      </c>
      <c r="H1" s="212" t="s">
        <v>410</v>
      </c>
      <c r="J1" s="212" t="s">
        <v>478</v>
      </c>
    </row>
    <row r="2" spans="2:10" x14ac:dyDescent="0.25">
      <c r="B2" t="s">
        <v>70</v>
      </c>
      <c r="C2" s="169">
        <v>28023.606205803651</v>
      </c>
      <c r="D2" s="167">
        <f>C2-F2</f>
        <v>28023.606205803651</v>
      </c>
      <c r="E2" s="168">
        <f t="shared" ref="E2:E80" si="0">MIN((C2*0.05),500000)</f>
        <v>1401.1803102901827</v>
      </c>
    </row>
    <row r="3" spans="2:10" x14ac:dyDescent="0.25">
      <c r="B3" t="s">
        <v>73</v>
      </c>
      <c r="C3" s="169">
        <v>265496.76613803202</v>
      </c>
      <c r="D3" s="167">
        <f>C3-F3</f>
        <v>265496.76613803202</v>
      </c>
      <c r="E3" s="168">
        <f t="shared" si="0"/>
        <v>13274.838306901602</v>
      </c>
    </row>
    <row r="4" spans="2:10" x14ac:dyDescent="0.25">
      <c r="B4" t="s">
        <v>131</v>
      </c>
      <c r="C4" s="169">
        <v>263629.38511490211</v>
      </c>
      <c r="D4" s="167">
        <f t="shared" ref="D4:D18" si="1">C4-F4</f>
        <v>263629.38511490211</v>
      </c>
      <c r="E4" s="168">
        <f t="shared" si="0"/>
        <v>13181.469255745105</v>
      </c>
    </row>
    <row r="5" spans="2:10" x14ac:dyDescent="0.25">
      <c r="B5" t="s">
        <v>168</v>
      </c>
      <c r="C5" s="169">
        <v>576799.01337484864</v>
      </c>
      <c r="D5" s="167">
        <f t="shared" si="1"/>
        <v>576799.01337484864</v>
      </c>
      <c r="E5" s="168">
        <f t="shared" si="0"/>
        <v>28839.950668742433</v>
      </c>
    </row>
    <row r="6" spans="2:10" x14ac:dyDescent="0.25">
      <c r="B6" t="s">
        <v>75</v>
      </c>
      <c r="C6" s="169">
        <v>106010.49991593463</v>
      </c>
      <c r="D6" s="167">
        <f t="shared" si="1"/>
        <v>106010.49991593463</v>
      </c>
      <c r="E6" s="168">
        <f t="shared" si="0"/>
        <v>5300.5249957967317</v>
      </c>
    </row>
    <row r="7" spans="2:10" x14ac:dyDescent="0.25">
      <c r="B7" t="s">
        <v>492</v>
      </c>
      <c r="C7" s="169">
        <v>253046.16</v>
      </c>
      <c r="D7" s="167">
        <f t="shared" si="1"/>
        <v>253046.16</v>
      </c>
      <c r="E7" s="168">
        <f t="shared" si="0"/>
        <v>12652.308000000001</v>
      </c>
    </row>
    <row r="8" spans="2:10" x14ac:dyDescent="0.25">
      <c r="B8" t="s">
        <v>81</v>
      </c>
      <c r="C8" s="169">
        <v>183904.46734788714</v>
      </c>
      <c r="D8" s="167">
        <f t="shared" si="1"/>
        <v>183904.46734788714</v>
      </c>
      <c r="E8" s="168">
        <f t="shared" si="0"/>
        <v>9195.2233673943574</v>
      </c>
    </row>
    <row r="9" spans="2:10" x14ac:dyDescent="0.25">
      <c r="B9" t="s">
        <v>484</v>
      </c>
      <c r="C9" s="169">
        <v>52521.84</v>
      </c>
      <c r="D9" s="167">
        <f t="shared" si="1"/>
        <v>52521.84</v>
      </c>
      <c r="E9" s="168">
        <f t="shared" si="0"/>
        <v>2626.0920000000001</v>
      </c>
    </row>
    <row r="10" spans="2:10" x14ac:dyDescent="0.25">
      <c r="B10" t="s">
        <v>82</v>
      </c>
      <c r="C10" s="169">
        <v>28023.606205803651</v>
      </c>
      <c r="D10" s="167">
        <f t="shared" si="1"/>
        <v>28023.606205803651</v>
      </c>
      <c r="E10" s="168">
        <f t="shared" si="0"/>
        <v>1401.1803102901827</v>
      </c>
    </row>
    <row r="11" spans="2:10" x14ac:dyDescent="0.25">
      <c r="B11" t="s">
        <v>84</v>
      </c>
      <c r="C11" s="169">
        <v>1934672.3712483437</v>
      </c>
      <c r="D11" s="167">
        <f t="shared" si="1"/>
        <v>1934672.3712483437</v>
      </c>
      <c r="E11" s="168">
        <f t="shared" si="0"/>
        <v>96733.618562417192</v>
      </c>
    </row>
    <row r="12" spans="2:10" x14ac:dyDescent="0.25">
      <c r="B12" t="s">
        <v>87</v>
      </c>
      <c r="C12" s="169">
        <v>28023.606205803651</v>
      </c>
      <c r="D12" s="167">
        <f t="shared" si="1"/>
        <v>28023.606205803651</v>
      </c>
      <c r="E12" s="168">
        <f t="shared" si="0"/>
        <v>1401.1803102901827</v>
      </c>
    </row>
    <row r="13" spans="2:10" x14ac:dyDescent="0.25">
      <c r="B13" t="s">
        <v>88</v>
      </c>
      <c r="C13" s="169">
        <v>1272520.403224956</v>
      </c>
      <c r="D13" s="167">
        <f t="shared" si="1"/>
        <v>1272520.403224956</v>
      </c>
      <c r="E13" s="168">
        <f t="shared" si="0"/>
        <v>63626.020161247805</v>
      </c>
    </row>
    <row r="14" spans="2:10" x14ac:dyDescent="0.25">
      <c r="B14" t="s">
        <v>91</v>
      </c>
      <c r="C14" s="169">
        <v>432983.0993653374</v>
      </c>
      <c r="D14" s="167">
        <f t="shared" si="1"/>
        <v>432983.0993653374</v>
      </c>
      <c r="E14" s="168">
        <f t="shared" si="0"/>
        <v>21649.15496826687</v>
      </c>
    </row>
    <row r="15" spans="2:10" x14ac:dyDescent="0.25">
      <c r="B15" t="s">
        <v>63</v>
      </c>
      <c r="C15" s="169">
        <v>1539541.2789836598</v>
      </c>
      <c r="D15" s="167">
        <f>C15-F16</f>
        <v>1358222.9389836597</v>
      </c>
      <c r="E15" s="168">
        <f t="shared" si="0"/>
        <v>76977.063949182993</v>
      </c>
      <c r="G15" s="168">
        <f>F16</f>
        <v>181318.34</v>
      </c>
    </row>
    <row r="16" spans="2:10" x14ac:dyDescent="0.25">
      <c r="B16" s="134" t="s">
        <v>411</v>
      </c>
      <c r="C16" s="169"/>
      <c r="D16" s="167"/>
      <c r="E16" s="168"/>
      <c r="F16" s="168">
        <v>181318.34</v>
      </c>
      <c r="G16" s="168">
        <f>F16</f>
        <v>181318.34</v>
      </c>
      <c r="J16" t="s">
        <v>479</v>
      </c>
    </row>
    <row r="17" spans="2:10" x14ac:dyDescent="0.25">
      <c r="B17" t="s">
        <v>92</v>
      </c>
      <c r="C17" s="169">
        <v>523217.26179001556</v>
      </c>
      <c r="D17" s="167">
        <f t="shared" si="1"/>
        <v>523217.26179001556</v>
      </c>
      <c r="E17" s="168">
        <f t="shared" si="0"/>
        <v>26160.863089500781</v>
      </c>
    </row>
    <row r="18" spans="2:10" x14ac:dyDescent="0.25">
      <c r="B18" t="s">
        <v>170</v>
      </c>
      <c r="C18" s="169">
        <v>735949.27655853843</v>
      </c>
      <c r="D18" s="167">
        <f t="shared" si="1"/>
        <v>735949.27655853843</v>
      </c>
      <c r="E18" s="168">
        <f t="shared" si="0"/>
        <v>36797.46382792692</v>
      </c>
    </row>
    <row r="19" spans="2:10" x14ac:dyDescent="0.25">
      <c r="B19" t="s">
        <v>118</v>
      </c>
      <c r="C19" s="169">
        <v>27884373.272353038</v>
      </c>
      <c r="D19" s="167">
        <f>C19-F19</f>
        <v>27884373.272353038</v>
      </c>
      <c r="E19" s="168">
        <f t="shared" si="0"/>
        <v>500000</v>
      </c>
    </row>
    <row r="20" spans="2:10" x14ac:dyDescent="0.25">
      <c r="B20" t="s">
        <v>315</v>
      </c>
      <c r="C20" s="169">
        <v>115963.08</v>
      </c>
      <c r="D20" s="167">
        <f t="shared" ref="D20" si="2">C20-F20</f>
        <v>115963.08</v>
      </c>
      <c r="E20" s="168">
        <f t="shared" si="0"/>
        <v>5798.1540000000005</v>
      </c>
    </row>
    <row r="21" spans="2:10" x14ac:dyDescent="0.25">
      <c r="B21" t="s">
        <v>38</v>
      </c>
      <c r="C21" s="169">
        <v>11981841.727188611</v>
      </c>
      <c r="D21" s="167">
        <f>C21-F22</f>
        <v>11893071.347188611</v>
      </c>
      <c r="E21" s="168">
        <f t="shared" si="0"/>
        <v>500000</v>
      </c>
      <c r="G21" s="168">
        <f>F22</f>
        <v>88770.38</v>
      </c>
    </row>
    <row r="22" spans="2:10" x14ac:dyDescent="0.25">
      <c r="B22" s="134" t="s">
        <v>412</v>
      </c>
      <c r="C22" s="169"/>
      <c r="D22" s="167"/>
      <c r="E22" s="168"/>
      <c r="F22" s="168">
        <v>88770.38</v>
      </c>
      <c r="G22" s="168">
        <f>F22</f>
        <v>88770.38</v>
      </c>
      <c r="J22" t="s">
        <v>479</v>
      </c>
    </row>
    <row r="23" spans="2:10" x14ac:dyDescent="0.25">
      <c r="B23" t="s">
        <v>139</v>
      </c>
      <c r="C23" s="169">
        <v>3913282.7304779175</v>
      </c>
      <c r="D23" s="167">
        <f t="shared" ref="D23:D40" si="3">C23-F23</f>
        <v>3913282.7304779175</v>
      </c>
      <c r="E23" s="168">
        <f t="shared" si="0"/>
        <v>195664.1365238959</v>
      </c>
    </row>
    <row r="24" spans="2:10" x14ac:dyDescent="0.25">
      <c r="B24" t="s">
        <v>171</v>
      </c>
      <c r="C24" s="169">
        <v>217739.49691422554</v>
      </c>
      <c r="D24" s="167">
        <f t="shared" si="3"/>
        <v>217739.49691422554</v>
      </c>
      <c r="E24" s="168">
        <f t="shared" si="0"/>
        <v>10886.974845711278</v>
      </c>
    </row>
    <row r="25" spans="2:10" x14ac:dyDescent="0.25">
      <c r="B25" t="s">
        <v>98</v>
      </c>
      <c r="C25" s="169">
        <v>34798.313006056684</v>
      </c>
      <c r="D25" s="167">
        <f t="shared" si="3"/>
        <v>34798.313006056684</v>
      </c>
      <c r="E25" s="168">
        <f t="shared" si="0"/>
        <v>1739.9156503028344</v>
      </c>
    </row>
    <row r="26" spans="2:10" x14ac:dyDescent="0.25">
      <c r="B26" t="s">
        <v>100</v>
      </c>
      <c r="C26" s="169">
        <v>1059766.6981852299</v>
      </c>
      <c r="D26" s="167">
        <f t="shared" ref="D26:D39" si="4">C26-F26-E26</f>
        <v>1006778.3632759685</v>
      </c>
      <c r="E26" s="168">
        <f t="shared" si="0"/>
        <v>52988.334909261495</v>
      </c>
    </row>
    <row r="27" spans="2:10" x14ac:dyDescent="0.25">
      <c r="B27" t="s">
        <v>101</v>
      </c>
      <c r="C27" s="169">
        <v>81066.463843299149</v>
      </c>
      <c r="D27" s="167">
        <f t="shared" si="3"/>
        <v>81066.463843299149</v>
      </c>
      <c r="E27" s="168">
        <f t="shared" si="0"/>
        <v>4053.3231921649576</v>
      </c>
    </row>
    <row r="28" spans="2:10" x14ac:dyDescent="0.25">
      <c r="B28" t="s">
        <v>102</v>
      </c>
      <c r="C28" s="169">
        <v>226153.41653588088</v>
      </c>
      <c r="D28" s="167">
        <f t="shared" si="3"/>
        <v>226153.41653588088</v>
      </c>
      <c r="E28" s="168">
        <f t="shared" si="0"/>
        <v>11307.670826794045</v>
      </c>
    </row>
    <row r="29" spans="2:10" x14ac:dyDescent="0.25">
      <c r="B29" t="s">
        <v>103</v>
      </c>
      <c r="C29" s="169">
        <v>205840.61767202892</v>
      </c>
      <c r="D29" s="167">
        <f t="shared" si="3"/>
        <v>205840.61767202892</v>
      </c>
      <c r="E29" s="168">
        <f t="shared" si="0"/>
        <v>10292.030883601446</v>
      </c>
    </row>
    <row r="30" spans="2:10" x14ac:dyDescent="0.25">
      <c r="B30" t="s">
        <v>62</v>
      </c>
      <c r="C30" s="169">
        <v>3194163.8152872478</v>
      </c>
      <c r="D30" s="167">
        <f t="shared" si="4"/>
        <v>3034455.6245228853</v>
      </c>
      <c r="E30" s="168">
        <f t="shared" si="0"/>
        <v>159708.1907643624</v>
      </c>
    </row>
    <row r="31" spans="2:10" x14ac:dyDescent="0.25">
      <c r="B31" t="s">
        <v>104</v>
      </c>
      <c r="C31" s="169">
        <v>1724231.9028064818</v>
      </c>
      <c r="D31" s="167">
        <f t="shared" si="3"/>
        <v>1724231.9028064818</v>
      </c>
      <c r="E31" s="168">
        <f t="shared" si="0"/>
        <v>86211.595140324091</v>
      </c>
    </row>
    <row r="32" spans="2:10" x14ac:dyDescent="0.25">
      <c r="B32" t="s">
        <v>47</v>
      </c>
      <c r="C32" s="169">
        <v>4471439.1519187791</v>
      </c>
      <c r="D32" s="167">
        <f t="shared" si="3"/>
        <v>4471439.1519187791</v>
      </c>
      <c r="E32" s="168">
        <f t="shared" si="0"/>
        <v>223571.95759593896</v>
      </c>
    </row>
    <row r="33" spans="2:10" x14ac:dyDescent="0.25">
      <c r="B33" t="s">
        <v>129</v>
      </c>
      <c r="C33" s="169">
        <v>361293.78253619949</v>
      </c>
      <c r="D33" s="167">
        <f t="shared" si="3"/>
        <v>361293.78253619949</v>
      </c>
      <c r="E33" s="168">
        <f t="shared" si="0"/>
        <v>18064.689126809975</v>
      </c>
    </row>
    <row r="34" spans="2:10" x14ac:dyDescent="0.25">
      <c r="B34" t="s">
        <v>105</v>
      </c>
      <c r="C34" s="169">
        <v>486854.27875506406</v>
      </c>
      <c r="D34" s="167">
        <f t="shared" si="4"/>
        <v>462511.56481731083</v>
      </c>
      <c r="E34" s="168">
        <f t="shared" si="0"/>
        <v>24342.713937753204</v>
      </c>
    </row>
    <row r="35" spans="2:10" x14ac:dyDescent="0.25">
      <c r="B35" t="s">
        <v>59</v>
      </c>
      <c r="C35" s="169">
        <v>3240347.5029753861</v>
      </c>
      <c r="D35" s="167">
        <f t="shared" si="3"/>
        <v>3240347.5029753861</v>
      </c>
      <c r="E35" s="168">
        <f t="shared" si="0"/>
        <v>162017.37514876932</v>
      </c>
    </row>
    <row r="36" spans="2:10" x14ac:dyDescent="0.25">
      <c r="B36" t="s">
        <v>106</v>
      </c>
      <c r="C36" s="169">
        <v>2285535.2631298313</v>
      </c>
      <c r="D36" s="167">
        <f t="shared" si="3"/>
        <v>2285535.2631298313</v>
      </c>
      <c r="E36" s="168">
        <f t="shared" si="0"/>
        <v>114276.76315649156</v>
      </c>
    </row>
    <row r="37" spans="2:10" x14ac:dyDescent="0.25">
      <c r="B37" t="s">
        <v>486</v>
      </c>
      <c r="C37" s="169">
        <v>25874.2</v>
      </c>
      <c r="D37" s="167">
        <f t="shared" si="3"/>
        <v>25874.2</v>
      </c>
      <c r="E37" s="168">
        <f t="shared" si="0"/>
        <v>1293.71</v>
      </c>
    </row>
    <row r="38" spans="2:10" x14ac:dyDescent="0.25">
      <c r="B38" t="s">
        <v>95</v>
      </c>
      <c r="C38" s="169">
        <v>542173.77416071901</v>
      </c>
      <c r="D38" s="167">
        <f t="shared" si="3"/>
        <v>542173.77416071901</v>
      </c>
      <c r="E38" s="168">
        <f t="shared" si="0"/>
        <v>27108.688708035952</v>
      </c>
    </row>
    <row r="39" spans="2:10" x14ac:dyDescent="0.25">
      <c r="B39" t="s">
        <v>120</v>
      </c>
      <c r="C39" s="169">
        <v>442576.75676104467</v>
      </c>
      <c r="D39" s="167">
        <f t="shared" si="4"/>
        <v>420447.91892299242</v>
      </c>
      <c r="E39" s="168">
        <f t="shared" si="0"/>
        <v>22128.837838052234</v>
      </c>
    </row>
    <row r="40" spans="2:10" x14ac:dyDescent="0.25">
      <c r="B40" t="s">
        <v>109</v>
      </c>
      <c r="C40" s="169">
        <v>158855.84717689164</v>
      </c>
      <c r="D40" s="167">
        <f t="shared" si="3"/>
        <v>158855.84717689164</v>
      </c>
      <c r="E40" s="168">
        <f t="shared" si="0"/>
        <v>7942.7923588445819</v>
      </c>
    </row>
    <row r="41" spans="2:10" x14ac:dyDescent="0.25">
      <c r="B41" t="s">
        <v>42</v>
      </c>
      <c r="C41" s="169">
        <v>2284487.5725882207</v>
      </c>
      <c r="D41" s="167">
        <f>C41-F41</f>
        <v>2284487.5725882207</v>
      </c>
      <c r="E41" s="168">
        <f t="shared" si="0"/>
        <v>114224.37862941105</v>
      </c>
    </row>
    <row r="42" spans="2:10" x14ac:dyDescent="0.25">
      <c r="B42" t="s">
        <v>114</v>
      </c>
      <c r="C42" s="169">
        <v>898778.59085935098</v>
      </c>
      <c r="D42" s="167">
        <f t="shared" ref="D42:D43" si="5">C42-F42</f>
        <v>898778.59085935098</v>
      </c>
      <c r="E42" s="168">
        <f t="shared" si="0"/>
        <v>44938.929542967555</v>
      </c>
    </row>
    <row r="43" spans="2:10" x14ac:dyDescent="0.25">
      <c r="B43" t="s">
        <v>111</v>
      </c>
      <c r="C43" s="169">
        <v>777152.4968573564</v>
      </c>
      <c r="D43" s="167">
        <f t="shared" si="5"/>
        <v>777152.4968573564</v>
      </c>
      <c r="E43" s="168">
        <f t="shared" si="0"/>
        <v>38857.624842867823</v>
      </c>
    </row>
    <row r="44" spans="2:10" x14ac:dyDescent="0.25">
      <c r="B44" t="s">
        <v>51</v>
      </c>
      <c r="C44" s="169">
        <v>4499087.6901791245</v>
      </c>
      <c r="D44" s="167">
        <f>C44-F45</f>
        <v>4424141.3601791244</v>
      </c>
      <c r="E44" s="168">
        <f t="shared" si="0"/>
        <v>224954.38450895622</v>
      </c>
      <c r="G44" s="168">
        <f>F45</f>
        <v>74946.33</v>
      </c>
    </row>
    <row r="45" spans="2:10" x14ac:dyDescent="0.25">
      <c r="B45" s="134" t="s">
        <v>413</v>
      </c>
      <c r="C45" s="169"/>
      <c r="D45" s="167"/>
      <c r="E45" s="168"/>
      <c r="F45" s="168">
        <v>74946.33</v>
      </c>
      <c r="G45" s="168">
        <f>F45</f>
        <v>74946.33</v>
      </c>
      <c r="J45" t="s">
        <v>479</v>
      </c>
    </row>
    <row r="46" spans="2:10" x14ac:dyDescent="0.25">
      <c r="B46" s="213" t="s">
        <v>414</v>
      </c>
      <c r="C46" s="169"/>
      <c r="D46" s="167"/>
      <c r="E46" s="168"/>
      <c r="F46" s="168">
        <v>117550.62</v>
      </c>
      <c r="G46" s="168">
        <f>F46</f>
        <v>117550.62</v>
      </c>
      <c r="J46" s="213" t="s">
        <v>479</v>
      </c>
    </row>
    <row r="47" spans="2:10" x14ac:dyDescent="0.25">
      <c r="B47" t="s">
        <v>112</v>
      </c>
      <c r="C47" s="169">
        <v>262441.80073111254</v>
      </c>
      <c r="D47" s="167">
        <f t="shared" ref="D47:D48" si="6">C47-F47</f>
        <v>262441.80073111254</v>
      </c>
      <c r="E47" s="168">
        <f t="shared" si="0"/>
        <v>13122.090036555628</v>
      </c>
    </row>
    <row r="48" spans="2:10" x14ac:dyDescent="0.25">
      <c r="B48" t="s">
        <v>113</v>
      </c>
      <c r="C48" s="169">
        <v>899696.47605701606</v>
      </c>
      <c r="D48" s="167">
        <f t="shared" si="6"/>
        <v>899696.47605701606</v>
      </c>
      <c r="E48" s="168">
        <f t="shared" si="0"/>
        <v>44984.823802850806</v>
      </c>
    </row>
    <row r="49" spans="2:10" x14ac:dyDescent="0.25">
      <c r="B49" t="s">
        <v>147</v>
      </c>
      <c r="C49" s="169">
        <v>2101794.6778310356</v>
      </c>
      <c r="D49" s="167">
        <f>C49-F50</f>
        <v>1965613.9678310356</v>
      </c>
      <c r="E49" s="168">
        <f t="shared" si="0"/>
        <v>105089.73389155179</v>
      </c>
      <c r="G49" s="168">
        <f>F50</f>
        <v>136180.71</v>
      </c>
    </row>
    <row r="50" spans="2:10" x14ac:dyDescent="0.25">
      <c r="B50" s="134" t="s">
        <v>415</v>
      </c>
      <c r="C50" s="169"/>
      <c r="D50" s="167"/>
      <c r="E50" s="168"/>
      <c r="F50" s="168">
        <v>136180.71</v>
      </c>
      <c r="G50" s="168">
        <f>F50</f>
        <v>136180.71</v>
      </c>
      <c r="J50" t="s">
        <v>479</v>
      </c>
    </row>
    <row r="51" spans="2:10" x14ac:dyDescent="0.25">
      <c r="B51" t="s">
        <v>124</v>
      </c>
      <c r="C51" s="169">
        <v>240025.15765496608</v>
      </c>
      <c r="D51" s="167">
        <f t="shared" ref="D51:D52" si="7">C51-F51</f>
        <v>240025.15765496608</v>
      </c>
      <c r="E51" s="168">
        <f t="shared" si="0"/>
        <v>12001.257882748305</v>
      </c>
    </row>
    <row r="52" spans="2:10" x14ac:dyDescent="0.25">
      <c r="B52" t="s">
        <v>176</v>
      </c>
      <c r="C52" s="169">
        <v>528689.15113776084</v>
      </c>
      <c r="D52" s="167">
        <f t="shared" si="7"/>
        <v>528689.15113776084</v>
      </c>
      <c r="E52" s="168">
        <f t="shared" si="0"/>
        <v>26434.457556888043</v>
      </c>
    </row>
    <row r="53" spans="2:10" x14ac:dyDescent="0.25">
      <c r="B53" t="s">
        <v>116</v>
      </c>
      <c r="C53" s="169">
        <v>2214962.0704886583</v>
      </c>
      <c r="D53" s="167">
        <f>C53-F53</f>
        <v>2100365.1404886581</v>
      </c>
      <c r="E53" s="168">
        <f t="shared" si="0"/>
        <v>110748.10352443293</v>
      </c>
      <c r="F53" s="168">
        <f>F54</f>
        <v>114596.93</v>
      </c>
      <c r="G53" s="168">
        <f>F54</f>
        <v>114596.93</v>
      </c>
    </row>
    <row r="54" spans="2:10" x14ac:dyDescent="0.25">
      <c r="B54" s="134" t="s">
        <v>416</v>
      </c>
      <c r="C54" s="169"/>
      <c r="D54" s="167"/>
      <c r="E54" s="168"/>
      <c r="F54" s="168">
        <v>114596.93</v>
      </c>
      <c r="G54" s="168">
        <f>F54</f>
        <v>114596.93</v>
      </c>
      <c r="J54" t="s">
        <v>479</v>
      </c>
    </row>
    <row r="55" spans="2:10" x14ac:dyDescent="0.25">
      <c r="B55" t="s">
        <v>61</v>
      </c>
      <c r="C55" s="169">
        <v>7425335.5734990183</v>
      </c>
      <c r="D55" s="167">
        <f>C55-F56</f>
        <v>7324404.3534990186</v>
      </c>
      <c r="E55" s="168">
        <f t="shared" si="0"/>
        <v>371266.77867495094</v>
      </c>
      <c r="G55" s="168">
        <f>F56</f>
        <v>100931.22</v>
      </c>
    </row>
    <row r="56" spans="2:10" x14ac:dyDescent="0.25">
      <c r="B56" s="134" t="s">
        <v>417</v>
      </c>
      <c r="C56" s="169"/>
      <c r="D56" s="167"/>
      <c r="E56" s="168"/>
      <c r="F56" s="168">
        <v>100931.22</v>
      </c>
      <c r="G56" s="168">
        <f>F56</f>
        <v>100931.22</v>
      </c>
      <c r="J56" t="s">
        <v>479</v>
      </c>
    </row>
    <row r="57" spans="2:10" x14ac:dyDescent="0.25">
      <c r="B57" t="s">
        <v>110</v>
      </c>
      <c r="C57" s="169">
        <v>707623.23959456186</v>
      </c>
      <c r="D57" s="167">
        <f t="shared" ref="D57:D72" si="8">C57-F57</f>
        <v>707623.23959456186</v>
      </c>
      <c r="E57" s="168">
        <f t="shared" si="0"/>
        <v>35381.161979728095</v>
      </c>
    </row>
    <row r="58" spans="2:10" x14ac:dyDescent="0.25">
      <c r="B58" t="s">
        <v>122</v>
      </c>
      <c r="C58" s="169">
        <v>80112.708429690843</v>
      </c>
      <c r="D58" s="167">
        <f t="shared" si="8"/>
        <v>80112.708429690843</v>
      </c>
      <c r="E58" s="168">
        <f t="shared" si="0"/>
        <v>4005.6354214845423</v>
      </c>
    </row>
    <row r="59" spans="2:10" x14ac:dyDescent="0.25">
      <c r="B59" t="s">
        <v>125</v>
      </c>
      <c r="C59" s="169">
        <v>28023.606205803651</v>
      </c>
      <c r="D59" s="167">
        <f t="shared" si="8"/>
        <v>28023.606205803651</v>
      </c>
      <c r="E59" s="168">
        <f t="shared" si="0"/>
        <v>1401.1803102901827</v>
      </c>
    </row>
    <row r="60" spans="2:10" x14ac:dyDescent="0.25">
      <c r="B60" t="s">
        <v>128</v>
      </c>
      <c r="C60" s="169">
        <v>28023.606205803651</v>
      </c>
      <c r="D60" s="167">
        <f t="shared" si="8"/>
        <v>28023.606205803651</v>
      </c>
      <c r="E60" s="168">
        <f t="shared" si="0"/>
        <v>1401.1803102901827</v>
      </c>
    </row>
    <row r="61" spans="2:10" x14ac:dyDescent="0.25">
      <c r="B61" t="s">
        <v>179</v>
      </c>
      <c r="C61" s="169">
        <v>209553.85758872272</v>
      </c>
      <c r="D61" s="167">
        <f t="shared" si="8"/>
        <v>209553.85758872272</v>
      </c>
      <c r="E61" s="168">
        <f t="shared" si="0"/>
        <v>10477.692879436137</v>
      </c>
    </row>
    <row r="62" spans="2:10" x14ac:dyDescent="0.25">
      <c r="B62" t="s">
        <v>54</v>
      </c>
      <c r="C62" s="169">
        <v>3896936.6730724964</v>
      </c>
      <c r="D62" s="167">
        <f t="shared" si="8"/>
        <v>3896936.6730724964</v>
      </c>
      <c r="E62" s="168">
        <f t="shared" si="0"/>
        <v>194846.83365362484</v>
      </c>
    </row>
    <row r="63" spans="2:10" x14ac:dyDescent="0.25">
      <c r="B63" t="s">
        <v>130</v>
      </c>
      <c r="C63" s="169">
        <v>28023.606205803651</v>
      </c>
      <c r="D63" s="167">
        <f t="shared" si="8"/>
        <v>28023.606205803651</v>
      </c>
      <c r="E63" s="168">
        <f t="shared" si="0"/>
        <v>1401.1803102901827</v>
      </c>
    </row>
    <row r="64" spans="2:10" x14ac:dyDescent="0.25">
      <c r="B64" t="s">
        <v>99</v>
      </c>
      <c r="C64" s="169">
        <v>281598.96212224953</v>
      </c>
      <c r="D64" s="167">
        <f t="shared" si="8"/>
        <v>281598.96212224953</v>
      </c>
      <c r="E64" s="168">
        <f t="shared" si="0"/>
        <v>14079.948106112477</v>
      </c>
    </row>
    <row r="65" spans="2:10" x14ac:dyDescent="0.25">
      <c r="B65" t="s">
        <v>44</v>
      </c>
      <c r="C65" s="169">
        <v>2704426.2461129827</v>
      </c>
      <c r="D65" s="167">
        <f t="shared" si="8"/>
        <v>2704426.2461129827</v>
      </c>
      <c r="E65" s="168">
        <f t="shared" si="0"/>
        <v>135221.31230564913</v>
      </c>
    </row>
    <row r="66" spans="2:10" x14ac:dyDescent="0.25">
      <c r="B66" t="s">
        <v>485</v>
      </c>
      <c r="C66" s="169">
        <v>108138.89</v>
      </c>
      <c r="D66" s="167">
        <f t="shared" si="8"/>
        <v>108138.89</v>
      </c>
      <c r="E66" s="168">
        <f t="shared" si="0"/>
        <v>5406.9445000000005</v>
      </c>
    </row>
    <row r="67" spans="2:10" x14ac:dyDescent="0.25">
      <c r="B67" t="s">
        <v>132</v>
      </c>
      <c r="C67" s="169">
        <v>244265.7457932407</v>
      </c>
      <c r="D67" s="167">
        <f t="shared" si="8"/>
        <v>244265.7457932407</v>
      </c>
      <c r="E67" s="168">
        <f t="shared" si="0"/>
        <v>12213.287289662036</v>
      </c>
    </row>
    <row r="68" spans="2:10" x14ac:dyDescent="0.25">
      <c r="B68" t="s">
        <v>133</v>
      </c>
      <c r="C68" s="169">
        <v>318338.24614133261</v>
      </c>
      <c r="D68" s="167">
        <f t="shared" si="8"/>
        <v>318338.24614133261</v>
      </c>
      <c r="E68" s="168">
        <f t="shared" si="0"/>
        <v>15916.912307066632</v>
      </c>
    </row>
    <row r="69" spans="2:10" x14ac:dyDescent="0.25">
      <c r="B69" t="s">
        <v>134</v>
      </c>
      <c r="C69" s="169">
        <v>232825.72507905791</v>
      </c>
      <c r="D69" s="167">
        <f t="shared" si="8"/>
        <v>232825.72507905791</v>
      </c>
      <c r="E69" s="168">
        <f t="shared" si="0"/>
        <v>11641.286253952896</v>
      </c>
    </row>
    <row r="70" spans="2:10" x14ac:dyDescent="0.25">
      <c r="B70" t="s">
        <v>135</v>
      </c>
      <c r="C70" s="169">
        <v>333494.19703840499</v>
      </c>
      <c r="D70" s="167">
        <f t="shared" si="8"/>
        <v>333494.19703840499</v>
      </c>
      <c r="E70" s="168">
        <f t="shared" si="0"/>
        <v>16674.709851920252</v>
      </c>
    </row>
    <row r="71" spans="2:10" x14ac:dyDescent="0.25">
      <c r="B71" t="s">
        <v>328</v>
      </c>
      <c r="C71" s="169">
        <v>18803.84</v>
      </c>
      <c r="D71" s="167">
        <f t="shared" si="8"/>
        <v>18803.84</v>
      </c>
      <c r="E71" s="168">
        <f t="shared" si="0"/>
        <v>940.19200000000001</v>
      </c>
      <c r="J71" t="s">
        <v>479</v>
      </c>
    </row>
    <row r="72" spans="2:10" x14ac:dyDescent="0.25">
      <c r="B72" t="s">
        <v>69</v>
      </c>
      <c r="C72" s="169">
        <v>1278938.6261394157</v>
      </c>
      <c r="D72" s="167">
        <f t="shared" si="8"/>
        <v>1278938.6261394157</v>
      </c>
      <c r="E72" s="168">
        <f t="shared" si="0"/>
        <v>63946.931306970786</v>
      </c>
      <c r="J72" t="s">
        <v>479</v>
      </c>
    </row>
    <row r="73" spans="2:10" x14ac:dyDescent="0.25">
      <c r="B73" t="s">
        <v>37</v>
      </c>
      <c r="C73" s="169">
        <v>11510600.744583901</v>
      </c>
      <c r="D73" s="167">
        <f>C73-F73</f>
        <v>11213268.874583902</v>
      </c>
      <c r="E73" s="168">
        <f t="shared" si="0"/>
        <v>500000</v>
      </c>
      <c r="F73" s="168">
        <f>F74+F75+F76</f>
        <v>297331.87</v>
      </c>
      <c r="G73" s="168">
        <f>F74+F75+F76+F77</f>
        <v>357689.11</v>
      </c>
      <c r="J73" t="s">
        <v>479</v>
      </c>
    </row>
    <row r="74" spans="2:10" x14ac:dyDescent="0.25">
      <c r="B74" s="134" t="s">
        <v>418</v>
      </c>
      <c r="C74" s="169"/>
      <c r="D74" s="167"/>
      <c r="E74" s="168"/>
      <c r="F74" s="168">
        <v>129474.67</v>
      </c>
      <c r="G74" s="168">
        <f>F74</f>
        <v>129474.67</v>
      </c>
      <c r="J74" t="s">
        <v>479</v>
      </c>
    </row>
    <row r="75" spans="2:10" x14ac:dyDescent="0.25">
      <c r="B75" s="134" t="s">
        <v>419</v>
      </c>
      <c r="C75" s="169"/>
      <c r="D75" s="167"/>
      <c r="E75" s="168"/>
      <c r="F75" s="168">
        <v>23887.32</v>
      </c>
      <c r="G75" s="168">
        <f>F75</f>
        <v>23887.32</v>
      </c>
    </row>
    <row r="76" spans="2:10" x14ac:dyDescent="0.25">
      <c r="B76" s="134" t="s">
        <v>420</v>
      </c>
      <c r="C76" s="169"/>
      <c r="D76" s="167"/>
      <c r="E76" s="168"/>
      <c r="F76" s="168">
        <v>143969.88</v>
      </c>
      <c r="G76" s="168">
        <f>F76</f>
        <v>143969.88</v>
      </c>
    </row>
    <row r="77" spans="2:10" x14ac:dyDescent="0.25">
      <c r="B77" s="134" t="s">
        <v>506</v>
      </c>
      <c r="C77" s="169">
        <v>60357.24</v>
      </c>
      <c r="D77" s="167">
        <f t="shared" ref="D77" si="9">C77-F77</f>
        <v>0</v>
      </c>
      <c r="E77" s="168">
        <f t="shared" ref="E77" si="10">MIN((C77*0.05),500000)</f>
        <v>3017.8620000000001</v>
      </c>
      <c r="F77" s="169">
        <v>60357.24</v>
      </c>
      <c r="G77" s="168">
        <f>F77</f>
        <v>60357.24</v>
      </c>
    </row>
    <row r="78" spans="2:10" x14ac:dyDescent="0.25">
      <c r="B78" t="s">
        <v>85</v>
      </c>
      <c r="C78" s="169">
        <v>216356.70008960637</v>
      </c>
      <c r="D78" s="167">
        <f t="shared" ref="D78:D79" si="11">C78-F78</f>
        <v>216356.70008960637</v>
      </c>
      <c r="E78" s="168">
        <f t="shared" si="0"/>
        <v>10817.835004480319</v>
      </c>
      <c r="J78" t="s">
        <v>479</v>
      </c>
    </row>
    <row r="79" spans="2:10" x14ac:dyDescent="0.25">
      <c r="B79" t="s">
        <v>142</v>
      </c>
      <c r="C79" s="169">
        <v>995183.8823129806</v>
      </c>
      <c r="D79" s="167">
        <f t="shared" si="11"/>
        <v>995183.8823129806</v>
      </c>
      <c r="E79" s="168">
        <f t="shared" si="0"/>
        <v>49759.194115649036</v>
      </c>
    </row>
    <row r="80" spans="2:10" x14ac:dyDescent="0.25">
      <c r="B80" t="s">
        <v>107</v>
      </c>
      <c r="C80" s="169">
        <v>4318720.4184537465</v>
      </c>
      <c r="D80" s="167">
        <f>C80-F81</f>
        <v>4200855.9284537463</v>
      </c>
      <c r="E80" s="168">
        <f t="shared" si="0"/>
        <v>215936.02092268734</v>
      </c>
      <c r="G80" s="168">
        <f>F81</f>
        <v>117864.49</v>
      </c>
    </row>
    <row r="81" spans="2:10" x14ac:dyDescent="0.25">
      <c r="B81" s="134" t="s">
        <v>421</v>
      </c>
      <c r="C81" s="169"/>
      <c r="D81" s="167"/>
      <c r="E81" s="168"/>
      <c r="F81" s="168">
        <v>117864.49</v>
      </c>
      <c r="G81" s="168">
        <f>F81</f>
        <v>117864.49</v>
      </c>
    </row>
    <row r="82" spans="2:10" x14ac:dyDescent="0.25">
      <c r="B82" t="s">
        <v>137</v>
      </c>
      <c r="C82" s="169">
        <v>70181.818149918268</v>
      </c>
      <c r="D82" s="167">
        <f t="shared" ref="D82:D92" si="12">C82-F82</f>
        <v>70181.818149918268</v>
      </c>
      <c r="E82" s="168">
        <f t="shared" ref="E82:E171" si="13">MIN((C82*0.05),500000)</f>
        <v>3509.0909074959136</v>
      </c>
    </row>
    <row r="83" spans="2:10" x14ac:dyDescent="0.25">
      <c r="B83" t="s">
        <v>324</v>
      </c>
      <c r="C83" s="169">
        <v>235398.29</v>
      </c>
      <c r="D83" s="167">
        <f t="shared" si="12"/>
        <v>235398.29</v>
      </c>
      <c r="E83" s="168">
        <f t="shared" si="13"/>
        <v>11769.914500000001</v>
      </c>
    </row>
    <row r="84" spans="2:10" x14ac:dyDescent="0.25">
      <c r="B84" t="s">
        <v>119</v>
      </c>
      <c r="C84" s="169">
        <v>30301.925390335487</v>
      </c>
      <c r="D84" s="167">
        <f t="shared" si="12"/>
        <v>30301.925390335487</v>
      </c>
      <c r="E84" s="168">
        <f t="shared" si="13"/>
        <v>1515.0962695167746</v>
      </c>
    </row>
    <row r="85" spans="2:10" x14ac:dyDescent="0.25">
      <c r="B85" t="s">
        <v>138</v>
      </c>
      <c r="C85" s="169">
        <v>426025.34236934804</v>
      </c>
      <c r="D85" s="167">
        <f t="shared" si="12"/>
        <v>426025.34236934804</v>
      </c>
      <c r="E85" s="168">
        <f t="shared" si="13"/>
        <v>21301.267118467404</v>
      </c>
    </row>
    <row r="86" spans="2:10" x14ac:dyDescent="0.25">
      <c r="B86" t="s">
        <v>60</v>
      </c>
      <c r="C86" s="169">
        <v>801222.35048117221</v>
      </c>
      <c r="D86" s="167">
        <f t="shared" si="12"/>
        <v>801222.35048117221</v>
      </c>
      <c r="E86" s="168">
        <f t="shared" si="13"/>
        <v>40061.117524058616</v>
      </c>
    </row>
    <row r="87" spans="2:10" x14ac:dyDescent="0.25">
      <c r="B87" t="s">
        <v>94</v>
      </c>
      <c r="C87" s="169">
        <v>1346708.1366417662</v>
      </c>
      <c r="D87" s="167">
        <f t="shared" si="12"/>
        <v>1346708.1366417662</v>
      </c>
      <c r="E87" s="168">
        <f t="shared" si="13"/>
        <v>67335.406832088309</v>
      </c>
    </row>
    <row r="88" spans="2:10" x14ac:dyDescent="0.25">
      <c r="B88" t="s">
        <v>72</v>
      </c>
      <c r="C88" s="169">
        <v>272615.99515297922</v>
      </c>
      <c r="D88" s="167">
        <f>C88-F89</f>
        <v>177101.73515297921</v>
      </c>
      <c r="E88" s="168">
        <f t="shared" si="13"/>
        <v>13630.799757648962</v>
      </c>
      <c r="G88" s="168">
        <f>F89</f>
        <v>95514.26</v>
      </c>
    </row>
    <row r="89" spans="2:10" x14ac:dyDescent="0.25">
      <c r="B89" s="134" t="s">
        <v>500</v>
      </c>
      <c r="C89" s="169"/>
      <c r="D89" s="167"/>
      <c r="E89" s="168"/>
      <c r="F89" s="168">
        <v>95514.26</v>
      </c>
      <c r="G89" s="168">
        <f>F89</f>
        <v>95514.26</v>
      </c>
    </row>
    <row r="90" spans="2:10" x14ac:dyDescent="0.25">
      <c r="B90" t="s">
        <v>140</v>
      </c>
      <c r="C90" s="169">
        <v>560300.00312675699</v>
      </c>
      <c r="D90" s="167">
        <f t="shared" si="12"/>
        <v>560300.00312675699</v>
      </c>
      <c r="E90" s="168">
        <f t="shared" si="13"/>
        <v>28015.00015633785</v>
      </c>
      <c r="J90" t="s">
        <v>479</v>
      </c>
    </row>
    <row r="91" spans="2:10" x14ac:dyDescent="0.25">
      <c r="B91" t="s">
        <v>185</v>
      </c>
      <c r="C91" s="169">
        <v>4176983.7999774939</v>
      </c>
      <c r="D91" s="167">
        <f t="shared" si="12"/>
        <v>4176983.7999774939</v>
      </c>
      <c r="E91" s="168">
        <f t="shared" si="13"/>
        <v>208849.1899988747</v>
      </c>
      <c r="J91" t="s">
        <v>479</v>
      </c>
    </row>
    <row r="92" spans="2:10" x14ac:dyDescent="0.25">
      <c r="B92" t="s">
        <v>50</v>
      </c>
      <c r="C92" s="169">
        <v>6347030.3630532511</v>
      </c>
      <c r="D92" s="167">
        <f t="shared" si="12"/>
        <v>6347030.3630532511</v>
      </c>
      <c r="E92" s="168">
        <f t="shared" si="13"/>
        <v>317351.51815266255</v>
      </c>
    </row>
    <row r="93" spans="2:10" x14ac:dyDescent="0.25">
      <c r="B93" t="s">
        <v>48</v>
      </c>
      <c r="C93" s="169">
        <v>7884197.8527627792</v>
      </c>
      <c r="D93" s="167">
        <f>C93-F93</f>
        <v>7569239.1327627795</v>
      </c>
      <c r="E93" s="168">
        <f t="shared" si="13"/>
        <v>394209.89263813896</v>
      </c>
      <c r="F93" s="168">
        <f>F94+F95</f>
        <v>314958.71999999997</v>
      </c>
      <c r="G93" s="168">
        <f>F94+F95</f>
        <v>314958.71999999997</v>
      </c>
    </row>
    <row r="94" spans="2:10" x14ac:dyDescent="0.25">
      <c r="B94" s="134" t="s">
        <v>423</v>
      </c>
      <c r="C94" s="169"/>
      <c r="D94" s="167"/>
      <c r="E94" s="168"/>
      <c r="F94" s="168">
        <v>102811.61</v>
      </c>
      <c r="G94" s="168">
        <f>F94</f>
        <v>102811.61</v>
      </c>
    </row>
    <row r="95" spans="2:10" x14ac:dyDescent="0.25">
      <c r="B95" s="134" t="s">
        <v>422</v>
      </c>
      <c r="C95" s="169"/>
      <c r="D95" s="167"/>
      <c r="E95" s="168"/>
      <c r="F95" s="168">
        <v>212147.11</v>
      </c>
      <c r="G95" s="168">
        <f>F95</f>
        <v>212147.11</v>
      </c>
    </row>
    <row r="96" spans="2:10" x14ac:dyDescent="0.25">
      <c r="B96" s="1" t="s">
        <v>480</v>
      </c>
      <c r="C96" s="169">
        <v>4748.53</v>
      </c>
      <c r="D96" s="167">
        <f>C96-F96</f>
        <v>4748.53</v>
      </c>
      <c r="E96" s="168">
        <f>MIN((C96*0.05),500000)</f>
        <v>237.4265</v>
      </c>
    </row>
    <row r="97" spans="2:10" x14ac:dyDescent="0.25">
      <c r="B97" s="213" t="s">
        <v>424</v>
      </c>
      <c r="C97" s="169">
        <f>SUM(H98:H104)</f>
        <v>190661.4621300532</v>
      </c>
      <c r="D97" s="167">
        <f t="shared" ref="D97" si="14">C97-F97</f>
        <v>190661.4621300532</v>
      </c>
      <c r="E97" s="168">
        <f t="shared" ref="E97" si="15">MIN((C97*0.05),500000)</f>
        <v>9533.0731065026612</v>
      </c>
    </row>
    <row r="98" spans="2:10" x14ac:dyDescent="0.25">
      <c r="B98" s="134" t="s">
        <v>425</v>
      </c>
      <c r="D98" s="167"/>
      <c r="E98" s="168"/>
      <c r="H98" s="168">
        <v>26924.641256556453</v>
      </c>
    </row>
    <row r="99" spans="2:10" x14ac:dyDescent="0.25">
      <c r="B99" s="134" t="s">
        <v>426</v>
      </c>
      <c r="D99" s="167"/>
      <c r="E99" s="168"/>
      <c r="H99" s="168">
        <v>26924.641256556453</v>
      </c>
    </row>
    <row r="100" spans="2:10" x14ac:dyDescent="0.25">
      <c r="B100" s="134" t="s">
        <v>427</v>
      </c>
      <c r="D100" s="167"/>
      <c r="E100" s="168"/>
      <c r="H100" s="168">
        <v>26924.641256556453</v>
      </c>
    </row>
    <row r="101" spans="2:10" x14ac:dyDescent="0.25">
      <c r="B101" s="134" t="s">
        <v>428</v>
      </c>
      <c r="D101" s="167"/>
      <c r="E101" s="168"/>
      <c r="H101" s="168">
        <v>29113.614590714493</v>
      </c>
    </row>
    <row r="102" spans="2:10" x14ac:dyDescent="0.25">
      <c r="B102" s="134" t="s">
        <v>429</v>
      </c>
      <c r="D102" s="167"/>
      <c r="E102" s="168"/>
      <c r="H102" s="168">
        <v>26924.641256556453</v>
      </c>
    </row>
    <row r="103" spans="2:10" x14ac:dyDescent="0.25">
      <c r="B103" s="134" t="s">
        <v>430</v>
      </c>
      <c r="D103" s="167"/>
      <c r="E103" s="168"/>
      <c r="H103" s="168">
        <v>26924.641256556453</v>
      </c>
    </row>
    <row r="104" spans="2:10" x14ac:dyDescent="0.25">
      <c r="B104" s="134" t="s">
        <v>431</v>
      </c>
      <c r="D104" s="167"/>
      <c r="E104" s="168"/>
      <c r="H104" s="168">
        <v>26924.641256556453</v>
      </c>
    </row>
    <row r="105" spans="2:10" x14ac:dyDescent="0.25">
      <c r="B105" t="s">
        <v>187</v>
      </c>
      <c r="C105" s="169">
        <v>632970.6505980097</v>
      </c>
      <c r="D105" s="167">
        <f t="shared" ref="D105:D142" si="16">C105-F105</f>
        <v>632970.6505980097</v>
      </c>
      <c r="E105" s="168">
        <f t="shared" si="13"/>
        <v>31648.532529900487</v>
      </c>
    </row>
    <row r="106" spans="2:10" x14ac:dyDescent="0.25">
      <c r="B106" t="s">
        <v>143</v>
      </c>
      <c r="C106" s="169">
        <v>143857.69885482476</v>
      </c>
      <c r="D106" s="167">
        <f t="shared" si="16"/>
        <v>143857.69885482476</v>
      </c>
      <c r="E106" s="168">
        <f t="shared" si="13"/>
        <v>7192.8849427412388</v>
      </c>
    </row>
    <row r="107" spans="2:10" x14ac:dyDescent="0.25">
      <c r="B107" t="s">
        <v>144</v>
      </c>
      <c r="C107" s="169">
        <v>104043.93389247527</v>
      </c>
      <c r="D107" s="167">
        <f t="shared" si="16"/>
        <v>104043.93389247527</v>
      </c>
      <c r="E107" s="168">
        <f t="shared" si="13"/>
        <v>5202.1966946237635</v>
      </c>
    </row>
    <row r="108" spans="2:10" x14ac:dyDescent="0.25">
      <c r="B108" t="s">
        <v>145</v>
      </c>
      <c r="C108" s="169">
        <v>138602.79464147045</v>
      </c>
      <c r="D108" s="167">
        <f t="shared" si="16"/>
        <v>138602.79464147045</v>
      </c>
      <c r="E108" s="168">
        <f t="shared" si="13"/>
        <v>6930.1397320735232</v>
      </c>
    </row>
    <row r="109" spans="2:10" x14ac:dyDescent="0.25">
      <c r="B109" t="s">
        <v>146</v>
      </c>
      <c r="C109" s="169">
        <v>594877.88244639884</v>
      </c>
      <c r="D109" s="167">
        <f t="shared" si="16"/>
        <v>594877.88244639884</v>
      </c>
      <c r="E109" s="168">
        <f t="shared" si="13"/>
        <v>29743.894122319944</v>
      </c>
      <c r="J109" t="s">
        <v>479</v>
      </c>
    </row>
    <row r="110" spans="2:10" x14ac:dyDescent="0.25">
      <c r="B110" t="s">
        <v>190</v>
      </c>
      <c r="C110" s="169">
        <v>184823.64163143752</v>
      </c>
      <c r="D110" s="167">
        <f t="shared" si="16"/>
        <v>184823.64163143752</v>
      </c>
      <c r="E110" s="168">
        <f t="shared" si="13"/>
        <v>9241.1820815718766</v>
      </c>
    </row>
    <row r="111" spans="2:10" x14ac:dyDescent="0.25">
      <c r="B111" t="s">
        <v>148</v>
      </c>
      <c r="C111" s="169">
        <v>4108477.9648133353</v>
      </c>
      <c r="D111" s="167">
        <f t="shared" si="16"/>
        <v>4108477.9648133353</v>
      </c>
      <c r="E111" s="168">
        <f t="shared" si="13"/>
        <v>205423.89824066678</v>
      </c>
    </row>
    <row r="112" spans="2:10" x14ac:dyDescent="0.25">
      <c r="B112" t="s">
        <v>45</v>
      </c>
      <c r="C112" s="169">
        <v>14181731.805504391</v>
      </c>
      <c r="D112" s="167">
        <f>C112-F113</f>
        <v>14051714.885504391</v>
      </c>
      <c r="E112" s="168">
        <f t="shared" si="13"/>
        <v>500000</v>
      </c>
      <c r="G112" s="168">
        <f>F113</f>
        <v>130016.92</v>
      </c>
    </row>
    <row r="113" spans="2:10" x14ac:dyDescent="0.25">
      <c r="B113" s="134" t="s">
        <v>432</v>
      </c>
      <c r="C113" s="169"/>
      <c r="D113" s="167"/>
      <c r="E113" s="168"/>
      <c r="F113" s="168">
        <v>130016.92</v>
      </c>
      <c r="G113" s="168">
        <f>F113</f>
        <v>130016.92</v>
      </c>
    </row>
    <row r="114" spans="2:10" x14ac:dyDescent="0.25">
      <c r="B114" s="1" t="s">
        <v>493</v>
      </c>
      <c r="C114" s="169">
        <v>181548.13</v>
      </c>
      <c r="D114" s="167">
        <f>C114-F114</f>
        <v>181548.13</v>
      </c>
      <c r="E114" s="168">
        <f>MIN((C114*0.05),500000)</f>
        <v>9077.406500000001</v>
      </c>
    </row>
    <row r="115" spans="2:10" x14ac:dyDescent="0.25">
      <c r="B115" t="s">
        <v>149</v>
      </c>
      <c r="C115" s="169">
        <v>2883312.9162519816</v>
      </c>
      <c r="D115" s="167">
        <f t="shared" si="16"/>
        <v>2883312.9162519816</v>
      </c>
      <c r="E115" s="168">
        <f t="shared" si="13"/>
        <v>144165.64581259908</v>
      </c>
    </row>
    <row r="116" spans="2:10" x14ac:dyDescent="0.25">
      <c r="B116" t="s">
        <v>150</v>
      </c>
      <c r="C116" s="169">
        <v>124004.45746068115</v>
      </c>
      <c r="D116" s="167">
        <f t="shared" si="16"/>
        <v>124004.45746068115</v>
      </c>
      <c r="E116" s="168">
        <f t="shared" si="13"/>
        <v>6200.2228730340576</v>
      </c>
    </row>
    <row r="117" spans="2:10" x14ac:dyDescent="0.25">
      <c r="B117" t="s">
        <v>151</v>
      </c>
      <c r="C117" s="169">
        <v>249234.33117352967</v>
      </c>
      <c r="D117" s="167">
        <f t="shared" si="16"/>
        <v>249234.33117352967</v>
      </c>
      <c r="E117" s="168">
        <f t="shared" si="13"/>
        <v>12461.716558676484</v>
      </c>
    </row>
    <row r="118" spans="2:10" x14ac:dyDescent="0.25">
      <c r="B118" t="s">
        <v>152</v>
      </c>
      <c r="C118" s="169">
        <v>191439.23039565398</v>
      </c>
      <c r="D118" s="167">
        <f t="shared" si="16"/>
        <v>191439.23039565398</v>
      </c>
      <c r="E118" s="168">
        <f t="shared" si="13"/>
        <v>9571.9615197826988</v>
      </c>
    </row>
    <row r="119" spans="2:10" x14ac:dyDescent="0.25">
      <c r="B119" t="s">
        <v>52</v>
      </c>
      <c r="C119" s="169">
        <v>2229185.5078656264</v>
      </c>
      <c r="D119" s="167">
        <f t="shared" si="16"/>
        <v>2229185.5078656264</v>
      </c>
      <c r="E119" s="168">
        <f t="shared" si="13"/>
        <v>111459.27539328132</v>
      </c>
    </row>
    <row r="120" spans="2:10" x14ac:dyDescent="0.25">
      <c r="B120" t="s">
        <v>108</v>
      </c>
      <c r="C120" s="169">
        <v>622508.54164598463</v>
      </c>
      <c r="D120" s="167">
        <f t="shared" si="16"/>
        <v>622508.54164598463</v>
      </c>
      <c r="E120" s="168">
        <f t="shared" si="13"/>
        <v>31125.427082299233</v>
      </c>
    </row>
    <row r="121" spans="2:10" x14ac:dyDescent="0.25">
      <c r="B121" t="s">
        <v>154</v>
      </c>
      <c r="C121" s="169">
        <v>175862.14074452079</v>
      </c>
      <c r="D121" s="167">
        <f t="shared" si="16"/>
        <v>175862.14074452079</v>
      </c>
      <c r="E121" s="168">
        <f t="shared" si="13"/>
        <v>8793.1070372260401</v>
      </c>
      <c r="J121" t="s">
        <v>479</v>
      </c>
    </row>
    <row r="122" spans="2:10" x14ac:dyDescent="0.25">
      <c r="B122" t="s">
        <v>155</v>
      </c>
      <c r="C122" s="169">
        <v>464285.01911952085</v>
      </c>
      <c r="D122" s="167">
        <f t="shared" si="16"/>
        <v>464285.01911952085</v>
      </c>
      <c r="E122" s="168">
        <f t="shared" si="13"/>
        <v>23214.250955976044</v>
      </c>
    </row>
    <row r="123" spans="2:10" x14ac:dyDescent="0.25">
      <c r="B123" t="s">
        <v>156</v>
      </c>
      <c r="C123" s="169">
        <v>97202.680485450546</v>
      </c>
      <c r="D123" s="167">
        <f t="shared" si="16"/>
        <v>97202.680485450546</v>
      </c>
      <c r="E123" s="168">
        <f t="shared" si="13"/>
        <v>4860.1340242725273</v>
      </c>
    </row>
    <row r="124" spans="2:10" x14ac:dyDescent="0.25">
      <c r="B124" t="s">
        <v>491</v>
      </c>
      <c r="C124" s="169">
        <v>208076.68</v>
      </c>
      <c r="D124" s="167">
        <f>C124-F124</f>
        <v>208076.68</v>
      </c>
      <c r="E124" s="168">
        <f>MIN((C124*0.05),500000)</f>
        <v>10403.834000000001</v>
      </c>
    </row>
    <row r="125" spans="2:10" x14ac:dyDescent="0.25">
      <c r="B125" t="s">
        <v>157</v>
      </c>
      <c r="C125" s="169">
        <v>250290.03646651472</v>
      </c>
      <c r="D125" s="167">
        <f>C125-F125</f>
        <v>250290.03646651472</v>
      </c>
      <c r="E125" s="168">
        <f t="shared" si="13"/>
        <v>12514.501823325736</v>
      </c>
    </row>
    <row r="126" spans="2:10" x14ac:dyDescent="0.25">
      <c r="B126" t="s">
        <v>158</v>
      </c>
      <c r="C126" s="169">
        <v>1145122.4551943892</v>
      </c>
      <c r="D126" s="167">
        <f t="shared" si="16"/>
        <v>1145122.4551943892</v>
      </c>
      <c r="E126" s="168">
        <f t="shared" si="13"/>
        <v>57256.122759719467</v>
      </c>
    </row>
    <row r="127" spans="2:10" x14ac:dyDescent="0.25">
      <c r="B127" t="s">
        <v>159</v>
      </c>
      <c r="C127" s="169">
        <v>28023.606205803651</v>
      </c>
      <c r="D127" s="167">
        <f t="shared" si="16"/>
        <v>28023.606205803651</v>
      </c>
      <c r="E127" s="168">
        <f t="shared" si="13"/>
        <v>1401.1803102901827</v>
      </c>
    </row>
    <row r="128" spans="2:10" x14ac:dyDescent="0.25">
      <c r="B128" t="s">
        <v>325</v>
      </c>
      <c r="C128" s="169">
        <v>121820.02</v>
      </c>
      <c r="D128" s="167">
        <f t="shared" si="16"/>
        <v>121820.02</v>
      </c>
      <c r="E128" s="168">
        <f t="shared" si="13"/>
        <v>6091.0010000000002</v>
      </c>
      <c r="J128" t="s">
        <v>479</v>
      </c>
    </row>
    <row r="129" spans="2:10" x14ac:dyDescent="0.25">
      <c r="B129" t="s">
        <v>317</v>
      </c>
      <c r="C129" s="169">
        <v>322925.82</v>
      </c>
      <c r="D129" s="167">
        <f t="shared" si="16"/>
        <v>322925.82</v>
      </c>
      <c r="E129" s="168">
        <f t="shared" si="13"/>
        <v>16146.291000000001</v>
      </c>
    </row>
    <row r="130" spans="2:10" x14ac:dyDescent="0.25">
      <c r="B130" t="s">
        <v>43</v>
      </c>
      <c r="C130" s="169">
        <v>4950485.1011822959</v>
      </c>
      <c r="D130" s="167">
        <f t="shared" si="16"/>
        <v>4950485.1011822959</v>
      </c>
      <c r="E130" s="168">
        <f t="shared" si="13"/>
        <v>247524.2550591148</v>
      </c>
    </row>
    <row r="131" spans="2:10" x14ac:dyDescent="0.25">
      <c r="B131" t="s">
        <v>64</v>
      </c>
      <c r="C131" s="169">
        <v>2100752.3117746045</v>
      </c>
      <c r="D131" s="167">
        <f>C131-F131</f>
        <v>2100752.3117746045</v>
      </c>
      <c r="E131" s="168">
        <f t="shared" si="13"/>
        <v>105037.61558873023</v>
      </c>
    </row>
    <row r="132" spans="2:10" x14ac:dyDescent="0.25">
      <c r="B132" t="s">
        <v>83</v>
      </c>
      <c r="C132" s="169">
        <v>382463.43118340004</v>
      </c>
      <c r="D132" s="167">
        <f t="shared" si="16"/>
        <v>382463.43118340004</v>
      </c>
      <c r="E132" s="168">
        <f t="shared" si="13"/>
        <v>19123.171559170001</v>
      </c>
      <c r="J132" t="s">
        <v>479</v>
      </c>
    </row>
    <row r="133" spans="2:10" x14ac:dyDescent="0.25">
      <c r="B133" t="s">
        <v>65</v>
      </c>
      <c r="C133" s="169">
        <v>1579662.7142621584</v>
      </c>
      <c r="D133" s="167">
        <f t="shared" si="16"/>
        <v>1579662.7142621584</v>
      </c>
      <c r="E133" s="168">
        <f t="shared" si="13"/>
        <v>78983.135713107928</v>
      </c>
    </row>
    <row r="134" spans="2:10" x14ac:dyDescent="0.25">
      <c r="B134" t="s">
        <v>161</v>
      </c>
      <c r="C134" s="169">
        <v>578414.01380048913</v>
      </c>
      <c r="D134" s="167">
        <f t="shared" si="16"/>
        <v>578414.01380048913</v>
      </c>
      <c r="E134" s="168">
        <f t="shared" si="13"/>
        <v>28920.70069002446</v>
      </c>
    </row>
    <row r="135" spans="2:10" x14ac:dyDescent="0.25">
      <c r="B135" t="s">
        <v>162</v>
      </c>
      <c r="C135" s="169">
        <v>4460699.5532181049</v>
      </c>
      <c r="D135" s="167">
        <f>C135-F135</f>
        <v>4460699.5532181049</v>
      </c>
      <c r="E135" s="168">
        <f t="shared" si="13"/>
        <v>223034.97766090525</v>
      </c>
    </row>
    <row r="136" spans="2:10" x14ac:dyDescent="0.25">
      <c r="B136" t="s">
        <v>163</v>
      </c>
      <c r="C136" s="169">
        <v>2857019.6556349616</v>
      </c>
      <c r="D136" s="167">
        <f>C136-F137</f>
        <v>2661075.7956349617</v>
      </c>
      <c r="E136" s="168">
        <f t="shared" si="13"/>
        <v>142850.98278174808</v>
      </c>
      <c r="G136" s="168">
        <f>F137</f>
        <v>195943.86</v>
      </c>
    </row>
    <row r="137" spans="2:10" x14ac:dyDescent="0.25">
      <c r="B137" s="134" t="s">
        <v>503</v>
      </c>
      <c r="C137" s="169"/>
      <c r="D137" s="167"/>
      <c r="E137" s="168"/>
      <c r="F137" s="168">
        <v>195943.86</v>
      </c>
      <c r="G137" s="168">
        <f>F137</f>
        <v>195943.86</v>
      </c>
    </row>
    <row r="138" spans="2:10" x14ac:dyDescent="0.25">
      <c r="B138" t="s">
        <v>482</v>
      </c>
      <c r="C138" s="169">
        <v>129951.07</v>
      </c>
      <c r="D138" s="167">
        <f t="shared" si="16"/>
        <v>129951.07</v>
      </c>
      <c r="E138" s="168">
        <f t="shared" si="13"/>
        <v>6497.5535000000009</v>
      </c>
    </row>
    <row r="139" spans="2:10" x14ac:dyDescent="0.25">
      <c r="B139" t="s">
        <v>321</v>
      </c>
      <c r="C139" s="169">
        <v>27114.240000000002</v>
      </c>
      <c r="D139" s="167">
        <f t="shared" si="16"/>
        <v>27114.240000000002</v>
      </c>
      <c r="E139" s="168">
        <f t="shared" si="13"/>
        <v>1355.7120000000002</v>
      </c>
    </row>
    <row r="140" spans="2:10" x14ac:dyDescent="0.25">
      <c r="B140" t="s">
        <v>36</v>
      </c>
      <c r="C140" s="169">
        <v>3885208.6817809432</v>
      </c>
      <c r="D140" s="167">
        <f>C140-F141</f>
        <v>3694537.461780943</v>
      </c>
      <c r="E140" s="168">
        <f t="shared" si="13"/>
        <v>194260.43408904716</v>
      </c>
      <c r="G140" s="168">
        <f>F141</f>
        <v>190671.22</v>
      </c>
      <c r="J140" t="s">
        <v>479</v>
      </c>
    </row>
    <row r="141" spans="2:10" x14ac:dyDescent="0.25">
      <c r="B141" s="134" t="s">
        <v>433</v>
      </c>
      <c r="C141" s="169"/>
      <c r="D141" s="167"/>
      <c r="E141" s="168"/>
      <c r="F141" s="168">
        <v>190671.22</v>
      </c>
      <c r="G141" s="168">
        <f>F141</f>
        <v>190671.22</v>
      </c>
      <c r="J141" t="s">
        <v>479</v>
      </c>
    </row>
    <row r="142" spans="2:10" x14ac:dyDescent="0.25">
      <c r="B142" t="s">
        <v>164</v>
      </c>
      <c r="C142" s="169">
        <v>71286.44946632332</v>
      </c>
      <c r="D142" s="167">
        <f t="shared" si="16"/>
        <v>71286.44946632332</v>
      </c>
      <c r="E142" s="168">
        <f t="shared" si="13"/>
        <v>3564.322473316166</v>
      </c>
    </row>
    <row r="143" spans="2:10" x14ac:dyDescent="0.25">
      <c r="B143" t="s">
        <v>165</v>
      </c>
      <c r="C143" s="169">
        <v>619044.26344682334</v>
      </c>
      <c r="D143" s="167">
        <f>C143-F143</f>
        <v>325955.18344682333</v>
      </c>
      <c r="E143" s="168">
        <f t="shared" si="13"/>
        <v>30952.213172341169</v>
      </c>
      <c r="F143" s="168">
        <f>F144+F145</f>
        <v>293089.08</v>
      </c>
      <c r="G143" s="168">
        <f>F144+F145</f>
        <v>293089.08</v>
      </c>
    </row>
    <row r="144" spans="2:10" x14ac:dyDescent="0.25">
      <c r="B144" s="134" t="s">
        <v>434</v>
      </c>
      <c r="C144" s="169"/>
      <c r="D144" s="167"/>
      <c r="E144" s="168"/>
      <c r="F144" s="168">
        <v>76396.55</v>
      </c>
      <c r="G144" s="168">
        <f>F144</f>
        <v>76396.55</v>
      </c>
    </row>
    <row r="145" spans="2:10" x14ac:dyDescent="0.25">
      <c r="B145" s="134" t="s">
        <v>435</v>
      </c>
      <c r="C145" s="169"/>
      <c r="D145" s="167"/>
      <c r="E145" s="168"/>
      <c r="F145" s="168">
        <v>216692.53</v>
      </c>
      <c r="G145" s="168">
        <f>F145</f>
        <v>216692.53</v>
      </c>
    </row>
    <row r="146" spans="2:10" x14ac:dyDescent="0.25">
      <c r="B146" s="1" t="s">
        <v>490</v>
      </c>
      <c r="C146" s="169">
        <v>141482.78</v>
      </c>
      <c r="D146" s="167">
        <f>C146-F146</f>
        <v>141482.78</v>
      </c>
      <c r="E146" s="168">
        <f>MIN((C146*0.05),500000)</f>
        <v>7074.1390000000001</v>
      </c>
    </row>
    <row r="147" spans="2:10" x14ac:dyDescent="0.25">
      <c r="B147" t="s">
        <v>298</v>
      </c>
      <c r="C147" s="169">
        <v>28023.606205803651</v>
      </c>
      <c r="D147" s="167">
        <f t="shared" ref="D147:D151" si="17">C147-F147</f>
        <v>28023.606205803651</v>
      </c>
      <c r="E147" s="168">
        <f t="shared" si="13"/>
        <v>1401.1803102901827</v>
      </c>
    </row>
    <row r="148" spans="2:10" x14ac:dyDescent="0.25">
      <c r="B148" t="s">
        <v>166</v>
      </c>
      <c r="C148" s="169">
        <v>174481.08138348639</v>
      </c>
      <c r="D148" s="167">
        <f t="shared" si="17"/>
        <v>174481.08138348639</v>
      </c>
      <c r="E148" s="168">
        <f t="shared" si="13"/>
        <v>8724.0540691743208</v>
      </c>
    </row>
    <row r="149" spans="2:10" x14ac:dyDescent="0.25">
      <c r="B149" t="s">
        <v>167</v>
      </c>
      <c r="C149" s="169">
        <v>274681.78330806416</v>
      </c>
      <c r="D149" s="167">
        <f t="shared" si="17"/>
        <v>274681.78330806416</v>
      </c>
      <c r="E149" s="168">
        <f t="shared" si="13"/>
        <v>13734.089165403209</v>
      </c>
      <c r="J149" t="s">
        <v>479</v>
      </c>
    </row>
    <row r="150" spans="2:10" x14ac:dyDescent="0.25">
      <c r="B150" t="s">
        <v>121</v>
      </c>
      <c r="C150" s="169">
        <v>228064.12205420499</v>
      </c>
      <c r="D150" s="167">
        <f t="shared" si="17"/>
        <v>228064.12205420499</v>
      </c>
      <c r="E150" s="168">
        <f t="shared" si="13"/>
        <v>11403.20610271025</v>
      </c>
      <c r="J150" t="s">
        <v>479</v>
      </c>
    </row>
    <row r="151" spans="2:10" x14ac:dyDescent="0.25">
      <c r="B151" t="s">
        <v>169</v>
      </c>
      <c r="C151" s="169">
        <v>4533494.6255009118</v>
      </c>
      <c r="D151" s="167">
        <f t="shared" si="17"/>
        <v>4533494.6255009118</v>
      </c>
      <c r="E151" s="168">
        <f t="shared" si="13"/>
        <v>226674.7312750456</v>
      </c>
      <c r="J151" t="s">
        <v>479</v>
      </c>
    </row>
    <row r="152" spans="2:10" x14ac:dyDescent="0.25">
      <c r="B152" t="s">
        <v>78</v>
      </c>
      <c r="C152" s="169">
        <v>9731684.8657133002</v>
      </c>
      <c r="D152" s="167">
        <f>C152-F152</f>
        <v>8960957.2257132996</v>
      </c>
      <c r="E152" s="168">
        <f t="shared" si="13"/>
        <v>486584.24328566506</v>
      </c>
      <c r="F152" s="168">
        <f>F153+F154+F155</f>
        <v>770727.64</v>
      </c>
      <c r="G152" s="168">
        <f>F153+F154+F155</f>
        <v>770727.64</v>
      </c>
    </row>
    <row r="153" spans="2:10" x14ac:dyDescent="0.25">
      <c r="B153" s="134" t="s">
        <v>436</v>
      </c>
      <c r="C153" s="169"/>
      <c r="D153" s="167"/>
      <c r="E153" s="168"/>
      <c r="F153" s="168">
        <v>134462.87</v>
      </c>
      <c r="G153" s="168">
        <f>F153</f>
        <v>134462.87</v>
      </c>
    </row>
    <row r="154" spans="2:10" x14ac:dyDescent="0.25">
      <c r="B154" s="134" t="s">
        <v>437</v>
      </c>
      <c r="C154" s="169"/>
      <c r="D154" s="167"/>
      <c r="E154" s="168"/>
      <c r="F154" s="168">
        <v>568482.67000000004</v>
      </c>
      <c r="G154" s="168">
        <f>F154</f>
        <v>568482.67000000004</v>
      </c>
    </row>
    <row r="155" spans="2:10" x14ac:dyDescent="0.25">
      <c r="B155" s="134" t="s">
        <v>438</v>
      </c>
      <c r="C155" s="169"/>
      <c r="D155" s="167"/>
      <c r="E155" s="168"/>
      <c r="F155" s="168">
        <v>67782.100000000006</v>
      </c>
      <c r="G155" s="168">
        <f>F155</f>
        <v>67782.100000000006</v>
      </c>
      <c r="J155" t="s">
        <v>479</v>
      </c>
    </row>
    <row r="156" spans="2:10" x14ac:dyDescent="0.25">
      <c r="B156" t="s">
        <v>93</v>
      </c>
      <c r="C156" s="169">
        <v>1276266.2626192733</v>
      </c>
      <c r="D156" s="167">
        <f t="shared" ref="D156:D157" si="18">C156-F156</f>
        <v>1276266.2626192733</v>
      </c>
      <c r="E156" s="168">
        <f t="shared" si="13"/>
        <v>63813.313130963666</v>
      </c>
      <c r="J156" t="s">
        <v>479</v>
      </c>
    </row>
    <row r="157" spans="2:10" x14ac:dyDescent="0.25">
      <c r="B157" t="s">
        <v>96</v>
      </c>
      <c r="C157" s="169">
        <v>135533.09134241921</v>
      </c>
      <c r="D157" s="167">
        <f t="shared" si="18"/>
        <v>135533.09134241921</v>
      </c>
      <c r="E157" s="168">
        <f t="shared" si="13"/>
        <v>6776.6545671209606</v>
      </c>
    </row>
    <row r="158" spans="2:10" x14ac:dyDescent="0.25">
      <c r="B158" t="s">
        <v>193</v>
      </c>
      <c r="C158" s="169">
        <v>1854731.3354302696</v>
      </c>
      <c r="D158" s="167">
        <f>C158-F158</f>
        <v>1676087.8554302696</v>
      </c>
      <c r="E158" s="168">
        <f t="shared" si="13"/>
        <v>92736.566771513491</v>
      </c>
      <c r="F158" s="168">
        <f>F159+F160</f>
        <v>178643.47999999998</v>
      </c>
      <c r="G158" s="168">
        <f>F159+F160</f>
        <v>178643.47999999998</v>
      </c>
    </row>
    <row r="159" spans="2:10" x14ac:dyDescent="0.25">
      <c r="B159" s="134" t="s">
        <v>439</v>
      </c>
      <c r="C159" s="169"/>
      <c r="D159" s="167"/>
      <c r="E159" s="168"/>
      <c r="F159" s="168">
        <v>125352.39</v>
      </c>
      <c r="G159" s="168">
        <f>F159</f>
        <v>125352.39</v>
      </c>
    </row>
    <row r="160" spans="2:10" x14ac:dyDescent="0.25">
      <c r="B160" s="134" t="s">
        <v>504</v>
      </c>
      <c r="C160" s="169"/>
      <c r="D160" s="167"/>
      <c r="E160" s="168"/>
      <c r="F160" s="168">
        <v>53291.09</v>
      </c>
      <c r="G160" s="168">
        <f>F160</f>
        <v>53291.09</v>
      </c>
    </row>
    <row r="161" spans="2:10" x14ac:dyDescent="0.25">
      <c r="B161" t="s">
        <v>172</v>
      </c>
      <c r="C161" s="169">
        <v>303820.56089920364</v>
      </c>
      <c r="D161" s="167">
        <f t="shared" ref="D161:D170" si="19">C161-F161</f>
        <v>303820.56089920364</v>
      </c>
      <c r="E161" s="168">
        <f t="shared" si="13"/>
        <v>15191.028044960183</v>
      </c>
    </row>
    <row r="162" spans="2:10" x14ac:dyDescent="0.25">
      <c r="B162" t="s">
        <v>173</v>
      </c>
      <c r="C162" s="169">
        <v>80016.307224342861</v>
      </c>
      <c r="D162" s="167">
        <f t="shared" si="19"/>
        <v>80016.307224342861</v>
      </c>
      <c r="E162" s="168">
        <f t="shared" si="13"/>
        <v>4000.8153612171432</v>
      </c>
    </row>
    <row r="163" spans="2:10" x14ac:dyDescent="0.25">
      <c r="B163" t="s">
        <v>55</v>
      </c>
      <c r="C163" s="169">
        <v>1800696.4421330888</v>
      </c>
      <c r="D163" s="167">
        <f t="shared" si="19"/>
        <v>1800696.4421330888</v>
      </c>
      <c r="E163" s="168">
        <f t="shared" si="13"/>
        <v>90034.82210665445</v>
      </c>
    </row>
    <row r="164" spans="2:10" x14ac:dyDescent="0.25">
      <c r="B164" t="s">
        <v>174</v>
      </c>
      <c r="C164" s="169">
        <v>546978.02911421726</v>
      </c>
      <c r="D164" s="167">
        <f t="shared" si="19"/>
        <v>546978.02911421726</v>
      </c>
      <c r="E164" s="168">
        <f t="shared" si="13"/>
        <v>27348.901455710864</v>
      </c>
    </row>
    <row r="165" spans="2:10" x14ac:dyDescent="0.25">
      <c r="B165" t="s">
        <v>71</v>
      </c>
      <c r="C165" s="169">
        <v>407350.63538265013</v>
      </c>
      <c r="D165" s="167">
        <f t="shared" si="19"/>
        <v>407350.63538265013</v>
      </c>
      <c r="E165" s="168">
        <f t="shared" si="13"/>
        <v>20367.531769132507</v>
      </c>
    </row>
    <row r="166" spans="2:10" x14ac:dyDescent="0.25">
      <c r="B166" t="s">
        <v>175</v>
      </c>
      <c r="C166" s="169">
        <v>598164.43493500305</v>
      </c>
      <c r="D166" s="167">
        <f t="shared" si="19"/>
        <v>598164.43493500305</v>
      </c>
      <c r="E166" s="168">
        <f t="shared" si="13"/>
        <v>29908.221746750154</v>
      </c>
    </row>
    <row r="167" spans="2:10" x14ac:dyDescent="0.25">
      <c r="B167" t="s">
        <v>199</v>
      </c>
      <c r="C167" s="169">
        <v>397652.05760530842</v>
      </c>
      <c r="D167" s="167">
        <f t="shared" si="19"/>
        <v>397652.05760530842</v>
      </c>
      <c r="E167" s="168">
        <f t="shared" si="13"/>
        <v>19882.602880265422</v>
      </c>
    </row>
    <row r="168" spans="2:10" x14ac:dyDescent="0.25">
      <c r="B168" t="s">
        <v>177</v>
      </c>
      <c r="C168" s="169">
        <v>3280500.9589857343</v>
      </c>
      <c r="D168" s="167">
        <f t="shared" si="19"/>
        <v>3280500.9589857343</v>
      </c>
      <c r="E168" s="168">
        <f t="shared" si="13"/>
        <v>164025.04794928673</v>
      </c>
      <c r="J168" t="s">
        <v>479</v>
      </c>
    </row>
    <row r="169" spans="2:10" x14ac:dyDescent="0.25">
      <c r="B169" t="s">
        <v>326</v>
      </c>
      <c r="C169" s="169">
        <v>52498.02</v>
      </c>
      <c r="D169" s="167">
        <f t="shared" si="19"/>
        <v>52498.02</v>
      </c>
      <c r="E169" s="168">
        <f t="shared" si="13"/>
        <v>2624.9009999999998</v>
      </c>
      <c r="J169" t="s">
        <v>479</v>
      </c>
    </row>
    <row r="170" spans="2:10" x14ac:dyDescent="0.25">
      <c r="B170" t="s">
        <v>86</v>
      </c>
      <c r="C170" s="169">
        <v>1672021.0313171919</v>
      </c>
      <c r="D170" s="167">
        <f t="shared" si="19"/>
        <v>1672021.0313171919</v>
      </c>
      <c r="E170" s="168">
        <f t="shared" si="13"/>
        <v>83601.051565859598</v>
      </c>
      <c r="J170" t="s">
        <v>479</v>
      </c>
    </row>
    <row r="171" spans="2:10" x14ac:dyDescent="0.25">
      <c r="B171" t="s">
        <v>46</v>
      </c>
      <c r="C171" s="169">
        <v>11419905.501978125</v>
      </c>
      <c r="D171" s="167">
        <f>C171-F171</f>
        <v>10953685.181978125</v>
      </c>
      <c r="E171" s="168">
        <f t="shared" si="13"/>
        <v>500000</v>
      </c>
      <c r="F171" s="168">
        <f>F172+F173+F174</f>
        <v>466220.32</v>
      </c>
      <c r="G171" s="168">
        <f>F172+F173+F174</f>
        <v>466220.32</v>
      </c>
    </row>
    <row r="172" spans="2:10" x14ac:dyDescent="0.25">
      <c r="B172" s="134" t="s">
        <v>441</v>
      </c>
      <c r="C172" s="169"/>
      <c r="D172" s="167"/>
      <c r="E172" s="168"/>
      <c r="F172" s="168">
        <v>167152.4</v>
      </c>
      <c r="G172" s="168">
        <f>F172</f>
        <v>167152.4</v>
      </c>
    </row>
    <row r="173" spans="2:10" x14ac:dyDescent="0.25">
      <c r="B173" s="134" t="s">
        <v>442</v>
      </c>
      <c r="C173" s="169"/>
      <c r="D173" s="167"/>
      <c r="E173" s="168"/>
      <c r="F173" s="168">
        <v>169025.78</v>
      </c>
      <c r="G173" s="168">
        <f>F173</f>
        <v>169025.78</v>
      </c>
    </row>
    <row r="174" spans="2:10" x14ac:dyDescent="0.25">
      <c r="B174" s="134" t="s">
        <v>443</v>
      </c>
      <c r="C174" s="169"/>
      <c r="D174" s="167"/>
      <c r="E174" s="168"/>
      <c r="F174" s="168">
        <v>130042.14</v>
      </c>
      <c r="G174" s="168">
        <f>F174</f>
        <v>130042.14</v>
      </c>
    </row>
    <row r="175" spans="2:10" x14ac:dyDescent="0.25">
      <c r="B175" t="s">
        <v>178</v>
      </c>
      <c r="C175" s="169">
        <v>256650.10598934666</v>
      </c>
      <c r="D175" s="167">
        <f t="shared" ref="D175:D185" si="20">C175-F175</f>
        <v>256650.10598934666</v>
      </c>
      <c r="E175" s="168">
        <f t="shared" ref="E175:E279" si="21">MIN((C175*0.05),500000)</f>
        <v>12832.505299467333</v>
      </c>
    </row>
    <row r="176" spans="2:10" x14ac:dyDescent="0.25">
      <c r="B176" t="s">
        <v>200</v>
      </c>
      <c r="C176" s="169">
        <v>229429.20795970206</v>
      </c>
      <c r="D176" s="167">
        <f t="shared" si="20"/>
        <v>229429.20795970206</v>
      </c>
      <c r="E176" s="168">
        <f t="shared" si="21"/>
        <v>11471.460397985104</v>
      </c>
    </row>
    <row r="177" spans="2:10" x14ac:dyDescent="0.25">
      <c r="B177" t="s">
        <v>180</v>
      </c>
      <c r="C177" s="169">
        <v>1330392.4568254731</v>
      </c>
      <c r="D177" s="167">
        <f t="shared" si="20"/>
        <v>1330392.4568254731</v>
      </c>
      <c r="E177" s="168">
        <f t="shared" si="21"/>
        <v>66519.622841273653</v>
      </c>
      <c r="J177" t="s">
        <v>479</v>
      </c>
    </row>
    <row r="178" spans="2:10" x14ac:dyDescent="0.25">
      <c r="B178" t="s">
        <v>181</v>
      </c>
      <c r="C178" s="169">
        <v>255856.19722553625</v>
      </c>
      <c r="D178" s="167">
        <f t="shared" si="20"/>
        <v>255856.19722553625</v>
      </c>
      <c r="E178" s="168">
        <f t="shared" si="21"/>
        <v>12792.809861276814</v>
      </c>
    </row>
    <row r="179" spans="2:10" x14ac:dyDescent="0.25">
      <c r="B179" t="s">
        <v>182</v>
      </c>
      <c r="C179" s="169">
        <v>1534154.787814067</v>
      </c>
      <c r="D179" s="167">
        <f t="shared" si="20"/>
        <v>1534154.787814067</v>
      </c>
      <c r="E179" s="168">
        <f t="shared" si="21"/>
        <v>76707.739390703355</v>
      </c>
    </row>
    <row r="180" spans="2:10" x14ac:dyDescent="0.25">
      <c r="B180" t="s">
        <v>66</v>
      </c>
      <c r="C180" s="169">
        <v>2102544.9818635895</v>
      </c>
      <c r="D180" s="167">
        <f>C180-F181</f>
        <v>1954923.6318635894</v>
      </c>
      <c r="E180" s="168">
        <f t="shared" si="21"/>
        <v>105127.24909317947</v>
      </c>
      <c r="G180" s="168">
        <f>F181</f>
        <v>147621.35</v>
      </c>
    </row>
    <row r="181" spans="2:10" x14ac:dyDescent="0.25">
      <c r="B181" s="134" t="s">
        <v>444</v>
      </c>
      <c r="C181" s="169"/>
      <c r="D181" s="167"/>
      <c r="E181" s="168"/>
      <c r="F181" s="168">
        <v>147621.35</v>
      </c>
      <c r="G181" s="168">
        <f>F181</f>
        <v>147621.35</v>
      </c>
    </row>
    <row r="182" spans="2:10" x14ac:dyDescent="0.25">
      <c r="B182" t="s">
        <v>183</v>
      </c>
      <c r="C182" s="169">
        <v>937023.13486217265</v>
      </c>
      <c r="D182" s="167">
        <f t="shared" si="20"/>
        <v>937023.13486217265</v>
      </c>
      <c r="E182" s="168">
        <f t="shared" si="21"/>
        <v>46851.156743108637</v>
      </c>
    </row>
    <row r="183" spans="2:10" x14ac:dyDescent="0.25">
      <c r="B183" t="s">
        <v>184</v>
      </c>
      <c r="C183" s="169">
        <v>476966.20535255864</v>
      </c>
      <c r="D183" s="167">
        <f t="shared" si="20"/>
        <v>476966.20535255864</v>
      </c>
      <c r="E183" s="168">
        <f t="shared" si="21"/>
        <v>23848.310267627934</v>
      </c>
      <c r="J183" t="s">
        <v>479</v>
      </c>
    </row>
    <row r="184" spans="2:10" x14ac:dyDescent="0.25">
      <c r="B184" t="s">
        <v>80</v>
      </c>
      <c r="C184" s="169">
        <v>489721.7662364667</v>
      </c>
      <c r="D184" s="167">
        <f t="shared" si="20"/>
        <v>489721.7662364667</v>
      </c>
      <c r="E184" s="168">
        <f t="shared" si="21"/>
        <v>24486.088311823336</v>
      </c>
      <c r="J184" t="s">
        <v>479</v>
      </c>
    </row>
    <row r="185" spans="2:10" x14ac:dyDescent="0.25">
      <c r="B185" t="s">
        <v>186</v>
      </c>
      <c r="C185" s="169">
        <v>1791504.0267310361</v>
      </c>
      <c r="D185" s="167">
        <f t="shared" si="20"/>
        <v>1791504.0267310361</v>
      </c>
      <c r="E185" s="168">
        <f t="shared" si="21"/>
        <v>89575.201336551807</v>
      </c>
      <c r="J185" t="s">
        <v>479</v>
      </c>
    </row>
    <row r="186" spans="2:10" x14ac:dyDescent="0.25">
      <c r="B186" t="s">
        <v>53</v>
      </c>
      <c r="C186" s="169">
        <v>5284155.6227509482</v>
      </c>
      <c r="D186" s="167">
        <f>C186-F186</f>
        <v>4804961.7627509478</v>
      </c>
      <c r="E186" s="168">
        <f t="shared" si="21"/>
        <v>264207.7811375474</v>
      </c>
      <c r="F186" s="168">
        <f>F187+F188+F189</f>
        <v>479193.86</v>
      </c>
      <c r="G186" s="168">
        <f>F187+F188+F189</f>
        <v>479193.86</v>
      </c>
      <c r="J186" t="s">
        <v>479</v>
      </c>
    </row>
    <row r="187" spans="2:10" x14ac:dyDescent="0.25">
      <c r="B187" s="134" t="s">
        <v>445</v>
      </c>
      <c r="C187" s="169"/>
      <c r="D187" s="167"/>
      <c r="E187" s="168"/>
      <c r="F187" s="168">
        <v>112014.56</v>
      </c>
      <c r="G187" s="168">
        <f>F187</f>
        <v>112014.56</v>
      </c>
      <c r="J187" t="s">
        <v>479</v>
      </c>
    </row>
    <row r="188" spans="2:10" x14ac:dyDescent="0.25">
      <c r="B188" s="134" t="s">
        <v>446</v>
      </c>
      <c r="C188" s="169"/>
      <c r="D188" s="167"/>
      <c r="E188" s="168"/>
      <c r="F188" s="168">
        <v>218005.44</v>
      </c>
      <c r="G188" s="168">
        <f>F188</f>
        <v>218005.44</v>
      </c>
    </row>
    <row r="189" spans="2:10" x14ac:dyDescent="0.25">
      <c r="B189" s="134" t="s">
        <v>447</v>
      </c>
      <c r="C189" s="169"/>
      <c r="D189" s="167"/>
      <c r="E189" s="168"/>
      <c r="F189" s="168">
        <v>149173.85999999999</v>
      </c>
      <c r="G189" s="168">
        <f>F189</f>
        <v>149173.85999999999</v>
      </c>
    </row>
    <row r="190" spans="2:10" x14ac:dyDescent="0.25">
      <c r="B190" s="1" t="s">
        <v>481</v>
      </c>
      <c r="C190" s="169">
        <v>93269.57</v>
      </c>
      <c r="D190" s="167">
        <f>C190-F190</f>
        <v>93269.57</v>
      </c>
      <c r="E190" s="168">
        <f>MIN((C1889*0.05),500000)</f>
        <v>0</v>
      </c>
    </row>
    <row r="191" spans="2:10" x14ac:dyDescent="0.25">
      <c r="B191" t="s">
        <v>188</v>
      </c>
      <c r="C191" s="169">
        <v>2959937.470370024</v>
      </c>
      <c r="D191" s="167">
        <f>C191-F192</f>
        <v>2764653.5703700241</v>
      </c>
      <c r="E191" s="168">
        <f t="shared" si="21"/>
        <v>147996.8735185012</v>
      </c>
      <c r="G191" s="168">
        <f>F192</f>
        <v>195283.9</v>
      </c>
    </row>
    <row r="192" spans="2:10" x14ac:dyDescent="0.25">
      <c r="B192" s="134" t="s">
        <v>448</v>
      </c>
      <c r="C192" s="169"/>
      <c r="D192" s="167"/>
      <c r="E192" s="168"/>
      <c r="F192" s="168">
        <v>195283.9</v>
      </c>
      <c r="G192" s="168">
        <f>F192</f>
        <v>195283.9</v>
      </c>
    </row>
    <row r="193" spans="2:10" x14ac:dyDescent="0.25">
      <c r="B193" t="s">
        <v>189</v>
      </c>
      <c r="C193" s="169">
        <v>78565.884458403132</v>
      </c>
      <c r="D193" s="167">
        <f t="shared" ref="D193:D196" si="22">C193-F193</f>
        <v>78565.884458403132</v>
      </c>
      <c r="E193" s="168">
        <f t="shared" si="21"/>
        <v>3928.2942229201567</v>
      </c>
    </row>
    <row r="194" spans="2:10" x14ac:dyDescent="0.25">
      <c r="B194" t="s">
        <v>203</v>
      </c>
      <c r="C194" s="169">
        <v>2259440.7459280225</v>
      </c>
      <c r="D194" s="167">
        <f t="shared" si="22"/>
        <v>2259440.7459280225</v>
      </c>
      <c r="E194" s="168">
        <f t="shared" si="21"/>
        <v>112972.03729640113</v>
      </c>
      <c r="J194" t="s">
        <v>479</v>
      </c>
    </row>
    <row r="195" spans="2:10" x14ac:dyDescent="0.25">
      <c r="B195" t="s">
        <v>76</v>
      </c>
      <c r="C195" s="169">
        <v>2048738.1446737116</v>
      </c>
      <c r="D195" s="167">
        <f t="shared" si="22"/>
        <v>2048738.1446737116</v>
      </c>
      <c r="E195" s="168">
        <f t="shared" si="21"/>
        <v>102436.90723368559</v>
      </c>
    </row>
    <row r="196" spans="2:10" x14ac:dyDescent="0.25">
      <c r="B196" t="s">
        <v>191</v>
      </c>
      <c r="C196" s="169">
        <v>261389.68245972184</v>
      </c>
      <c r="D196" s="167">
        <f t="shared" si="22"/>
        <v>261389.68245972184</v>
      </c>
      <c r="E196" s="168">
        <f t="shared" si="21"/>
        <v>13069.484122986092</v>
      </c>
    </row>
    <row r="197" spans="2:10" x14ac:dyDescent="0.25">
      <c r="B197" t="s">
        <v>192</v>
      </c>
      <c r="C197" s="169">
        <v>1106552.7252651555</v>
      </c>
      <c r="D197" s="167">
        <f>C197-F198</f>
        <v>950647.59526515554</v>
      </c>
      <c r="E197" s="168">
        <f t="shared" si="21"/>
        <v>55327.63626325778</v>
      </c>
      <c r="G197" s="168">
        <f>F198</f>
        <v>155905.13</v>
      </c>
      <c r="J197" t="s">
        <v>479</v>
      </c>
    </row>
    <row r="198" spans="2:10" x14ac:dyDescent="0.25">
      <c r="B198" s="134" t="s">
        <v>449</v>
      </c>
      <c r="C198" s="169"/>
      <c r="D198" s="167"/>
      <c r="E198" s="168"/>
      <c r="F198" s="168">
        <v>155905.13</v>
      </c>
      <c r="G198" s="168">
        <f>F198</f>
        <v>155905.13</v>
      </c>
    </row>
    <row r="199" spans="2:10" x14ac:dyDescent="0.25">
      <c r="B199" t="s">
        <v>316</v>
      </c>
      <c r="C199" s="169">
        <v>109711.02</v>
      </c>
      <c r="D199" s="167">
        <f t="shared" ref="D199" si="23">C199-F199</f>
        <v>109711.02</v>
      </c>
      <c r="E199" s="168">
        <f t="shared" si="21"/>
        <v>5485.5510000000004</v>
      </c>
    </row>
    <row r="200" spans="2:10" x14ac:dyDescent="0.25">
      <c r="B200" t="s">
        <v>49</v>
      </c>
      <c r="C200" s="169">
        <v>1887229.9752638657</v>
      </c>
      <c r="D200" s="167">
        <f>C200-F200</f>
        <v>1887229.9752638657</v>
      </c>
      <c r="E200" s="168">
        <f t="shared" si="21"/>
        <v>94361.498763193289</v>
      </c>
    </row>
    <row r="201" spans="2:10" x14ac:dyDescent="0.25">
      <c r="B201" t="s">
        <v>214</v>
      </c>
      <c r="C201" s="169">
        <v>270319.06829392671</v>
      </c>
      <c r="D201" s="167">
        <f t="shared" ref="D201:D207" si="24">C201-F201</f>
        <v>270319.06829392671</v>
      </c>
      <c r="E201" s="168">
        <f t="shared" si="21"/>
        <v>13515.953414696336</v>
      </c>
    </row>
    <row r="202" spans="2:10" x14ac:dyDescent="0.25">
      <c r="B202" t="s">
        <v>194</v>
      </c>
      <c r="C202" s="169">
        <v>28023.606205803651</v>
      </c>
      <c r="D202" s="167">
        <f t="shared" si="24"/>
        <v>28023.606205803651</v>
      </c>
      <c r="E202" s="168">
        <f t="shared" si="21"/>
        <v>1401.1803102901827</v>
      </c>
    </row>
    <row r="203" spans="2:10" x14ac:dyDescent="0.25">
      <c r="B203" t="s">
        <v>195</v>
      </c>
      <c r="C203" s="169">
        <v>216011.44926115088</v>
      </c>
      <c r="D203" s="167">
        <f t="shared" si="24"/>
        <v>216011.44926115088</v>
      </c>
      <c r="E203" s="168">
        <f t="shared" si="21"/>
        <v>10800.572463057544</v>
      </c>
    </row>
    <row r="204" spans="2:10" x14ac:dyDescent="0.25">
      <c r="B204" t="s">
        <v>196</v>
      </c>
      <c r="C204" s="169">
        <v>28185.974980160077</v>
      </c>
      <c r="D204" s="167">
        <f t="shared" si="24"/>
        <v>28185.974980160077</v>
      </c>
      <c r="E204" s="168">
        <f t="shared" si="21"/>
        <v>1409.2987490080041</v>
      </c>
      <c r="J204" t="s">
        <v>479</v>
      </c>
    </row>
    <row r="205" spans="2:10" x14ac:dyDescent="0.25">
      <c r="B205" t="s">
        <v>197</v>
      </c>
      <c r="C205" s="169">
        <v>701770.50943847967</v>
      </c>
      <c r="D205" s="167">
        <f t="shared" si="24"/>
        <v>701770.50943847967</v>
      </c>
      <c r="E205" s="168">
        <f t="shared" si="21"/>
        <v>35088.525471923982</v>
      </c>
      <c r="J205" t="s">
        <v>479</v>
      </c>
    </row>
    <row r="206" spans="2:10" x14ac:dyDescent="0.25">
      <c r="B206" t="s">
        <v>198</v>
      </c>
      <c r="C206" s="169">
        <v>32355.47</v>
      </c>
      <c r="D206" s="167">
        <f t="shared" si="24"/>
        <v>32355.47</v>
      </c>
      <c r="E206" s="168">
        <f t="shared" si="21"/>
        <v>1617.7735000000002</v>
      </c>
      <c r="J206" t="s">
        <v>479</v>
      </c>
    </row>
    <row r="207" spans="2:10" x14ac:dyDescent="0.25">
      <c r="B207" t="s">
        <v>220</v>
      </c>
      <c r="C207" s="169">
        <v>232089.04051911974</v>
      </c>
      <c r="D207" s="167">
        <f t="shared" si="24"/>
        <v>232089.04051911974</v>
      </c>
      <c r="E207" s="168">
        <f t="shared" si="21"/>
        <v>11604.452025955987</v>
      </c>
      <c r="J207" t="s">
        <v>479</v>
      </c>
    </row>
    <row r="208" spans="2:10" x14ac:dyDescent="0.25">
      <c r="B208" t="s">
        <v>33</v>
      </c>
      <c r="C208" s="169">
        <v>32812664.069750819</v>
      </c>
      <c r="D208" s="167">
        <f>C208-F208</f>
        <v>31856754.27975082</v>
      </c>
      <c r="E208" s="168">
        <f t="shared" si="21"/>
        <v>500000</v>
      </c>
      <c r="F208" s="168">
        <f>F209+F210+F211+F212+F213+F46+F273</f>
        <v>955909.79</v>
      </c>
      <c r="G208" s="168">
        <f>F209+F210+F211+F212+F213+F273+F46</f>
        <v>955909.79</v>
      </c>
      <c r="J208" t="s">
        <v>479</v>
      </c>
    </row>
    <row r="209" spans="2:10" x14ac:dyDescent="0.25">
      <c r="B209" s="134" t="s">
        <v>450</v>
      </c>
      <c r="C209" s="169"/>
      <c r="D209" s="167"/>
      <c r="E209" s="168"/>
      <c r="F209" s="168">
        <v>51039.39</v>
      </c>
      <c r="G209" s="168">
        <f>F209</f>
        <v>51039.39</v>
      </c>
    </row>
    <row r="210" spans="2:10" x14ac:dyDescent="0.25">
      <c r="B210" s="134" t="s">
        <v>451</v>
      </c>
      <c r="C210" s="169"/>
      <c r="D210" s="167"/>
      <c r="E210" s="168"/>
      <c r="F210" s="168">
        <v>81725.240000000005</v>
      </c>
      <c r="G210" s="168">
        <f>F210</f>
        <v>81725.240000000005</v>
      </c>
    </row>
    <row r="211" spans="2:10" x14ac:dyDescent="0.25">
      <c r="B211" s="134" t="s">
        <v>452</v>
      </c>
      <c r="C211" s="169"/>
      <c r="D211" s="167"/>
      <c r="E211" s="168"/>
      <c r="F211" s="168">
        <v>101518.32</v>
      </c>
      <c r="G211" s="168">
        <f>F211</f>
        <v>101518.32</v>
      </c>
    </row>
    <row r="212" spans="2:10" x14ac:dyDescent="0.25">
      <c r="B212" s="134" t="s">
        <v>453</v>
      </c>
      <c r="C212" s="169"/>
      <c r="D212" s="167"/>
      <c r="E212" s="168"/>
      <c r="F212" s="168">
        <v>225661.49</v>
      </c>
      <c r="G212" s="168">
        <f>F212</f>
        <v>225661.49</v>
      </c>
    </row>
    <row r="213" spans="2:10" x14ac:dyDescent="0.25">
      <c r="B213" s="134" t="s">
        <v>454</v>
      </c>
      <c r="C213" s="169"/>
      <c r="D213" s="167"/>
      <c r="E213" s="168"/>
      <c r="F213" s="168">
        <v>209884.97</v>
      </c>
      <c r="G213" s="168">
        <f>F213</f>
        <v>209884.97</v>
      </c>
    </row>
    <row r="214" spans="2:10" x14ac:dyDescent="0.25">
      <c r="B214" t="s">
        <v>126</v>
      </c>
      <c r="C214" s="169">
        <v>133371.40388218343</v>
      </c>
      <c r="D214" s="167">
        <f t="shared" ref="D214:D217" si="25">C214-F214</f>
        <v>133371.40388218343</v>
      </c>
      <c r="E214" s="168">
        <f t="shared" si="21"/>
        <v>6668.570194109172</v>
      </c>
      <c r="J214" t="s">
        <v>479</v>
      </c>
    </row>
    <row r="215" spans="2:10" x14ac:dyDescent="0.25">
      <c r="B215" t="s">
        <v>201</v>
      </c>
      <c r="C215" s="169">
        <v>182774.16321518229</v>
      </c>
      <c r="D215" s="167">
        <f t="shared" si="25"/>
        <v>182774.16321518229</v>
      </c>
      <c r="E215" s="168">
        <f t="shared" si="21"/>
        <v>9138.7081607591153</v>
      </c>
    </row>
    <row r="216" spans="2:10" x14ac:dyDescent="0.25">
      <c r="B216" t="s">
        <v>202</v>
      </c>
      <c r="C216" s="169">
        <v>209168.19672011843</v>
      </c>
      <c r="D216" s="167">
        <f t="shared" si="25"/>
        <v>209168.19672011843</v>
      </c>
      <c r="E216" s="168">
        <f t="shared" si="21"/>
        <v>10458.409836005922</v>
      </c>
      <c r="J216" t="s">
        <v>479</v>
      </c>
    </row>
    <row r="217" spans="2:10" x14ac:dyDescent="0.25">
      <c r="B217" t="s">
        <v>153</v>
      </c>
      <c r="C217" s="169">
        <v>608471.74148634728</v>
      </c>
      <c r="D217" s="167">
        <f t="shared" si="25"/>
        <v>608471.74148634728</v>
      </c>
      <c r="E217" s="168">
        <f t="shared" si="21"/>
        <v>30423.587074317365</v>
      </c>
    </row>
    <row r="218" spans="2:10" x14ac:dyDescent="0.25">
      <c r="B218" t="s">
        <v>77</v>
      </c>
      <c r="C218" s="169">
        <v>4922020.3473676005</v>
      </c>
      <c r="D218" s="167">
        <f>C218-F219</f>
        <v>4409151.9273676006</v>
      </c>
      <c r="E218" s="168">
        <f t="shared" si="21"/>
        <v>246101.01736838004</v>
      </c>
      <c r="G218" s="168">
        <f>F219</f>
        <v>512868.42</v>
      </c>
      <c r="J218" t="s">
        <v>479</v>
      </c>
    </row>
    <row r="219" spans="2:10" x14ac:dyDescent="0.25">
      <c r="B219" s="134" t="s">
        <v>455</v>
      </c>
      <c r="C219" s="169"/>
      <c r="D219" s="167"/>
      <c r="E219" s="168"/>
      <c r="F219" s="168">
        <v>512868.42</v>
      </c>
      <c r="G219" s="168">
        <f>F219</f>
        <v>512868.42</v>
      </c>
      <c r="J219" t="s">
        <v>479</v>
      </c>
    </row>
    <row r="220" spans="2:10" x14ac:dyDescent="0.25">
      <c r="B220" s="1" t="s">
        <v>483</v>
      </c>
      <c r="C220" s="169">
        <v>201345.41</v>
      </c>
      <c r="D220" s="167">
        <f>C220-F220</f>
        <v>201345.41</v>
      </c>
      <c r="E220" s="168">
        <f>MIN((C220*0.05),500000)</f>
        <v>10067.270500000001</v>
      </c>
    </row>
    <row r="221" spans="2:10" x14ac:dyDescent="0.25">
      <c r="B221" t="s">
        <v>67</v>
      </c>
      <c r="C221" s="169">
        <v>527472.64639236685</v>
      </c>
      <c r="D221" s="167">
        <f>C221-F221</f>
        <v>527472.64639236685</v>
      </c>
      <c r="E221" s="168">
        <f t="shared" si="21"/>
        <v>26373.632319618344</v>
      </c>
      <c r="J221" t="s">
        <v>479</v>
      </c>
    </row>
    <row r="222" spans="2:10" x14ac:dyDescent="0.25">
      <c r="B222" s="1" t="s">
        <v>496</v>
      </c>
      <c r="C222" s="169">
        <v>39071.910000000003</v>
      </c>
      <c r="D222" s="167">
        <f>C222-F222</f>
        <v>39071.910000000003</v>
      </c>
      <c r="E222" s="168">
        <f>MIN((C222*0.05),500000)</f>
        <v>1953.5955000000004</v>
      </c>
    </row>
    <row r="223" spans="2:10" x14ac:dyDescent="0.25">
      <c r="B223" t="s">
        <v>35</v>
      </c>
      <c r="C223" s="169">
        <v>8366143.3524264973</v>
      </c>
      <c r="D223" s="167">
        <f>C223-F223</f>
        <v>7925601.0524264975</v>
      </c>
      <c r="E223" s="168">
        <f t="shared" si="21"/>
        <v>418307.16762132489</v>
      </c>
      <c r="F223" s="168">
        <f>F224+F225</f>
        <v>440542.3</v>
      </c>
      <c r="G223" s="168">
        <f>F224+F225</f>
        <v>440542.3</v>
      </c>
    </row>
    <row r="224" spans="2:10" x14ac:dyDescent="0.25">
      <c r="B224" s="134" t="s">
        <v>456</v>
      </c>
      <c r="C224" s="169"/>
      <c r="D224" s="167"/>
      <c r="E224" s="168"/>
      <c r="F224" s="168">
        <v>332022.28999999998</v>
      </c>
      <c r="G224" s="168">
        <f>F224</f>
        <v>332022.28999999998</v>
      </c>
    </row>
    <row r="225" spans="2:10" x14ac:dyDescent="0.25">
      <c r="B225" s="134" t="s">
        <v>457</v>
      </c>
      <c r="C225" s="169"/>
      <c r="D225" s="167"/>
      <c r="E225" s="168"/>
      <c r="F225" s="168">
        <v>108520.01</v>
      </c>
      <c r="G225" s="168">
        <f>F225</f>
        <v>108520.01</v>
      </c>
    </row>
    <row r="226" spans="2:10" x14ac:dyDescent="0.25">
      <c r="B226" t="s">
        <v>204</v>
      </c>
      <c r="C226" s="169">
        <v>315919.47264249728</v>
      </c>
      <c r="D226" s="167">
        <f t="shared" ref="D226:D228" si="26">C226-F226</f>
        <v>315919.47264249728</v>
      </c>
      <c r="E226" s="168">
        <f t="shared" si="21"/>
        <v>15795.973632124864</v>
      </c>
    </row>
    <row r="227" spans="2:10" x14ac:dyDescent="0.25">
      <c r="B227" t="s">
        <v>458</v>
      </c>
      <c r="C227" s="169">
        <v>20333.93</v>
      </c>
      <c r="D227" s="167">
        <f t="shared" si="26"/>
        <v>20333.93</v>
      </c>
      <c r="E227" s="168">
        <f t="shared" si="21"/>
        <v>1016.6965</v>
      </c>
      <c r="J227" t="s">
        <v>479</v>
      </c>
    </row>
    <row r="228" spans="2:10" x14ac:dyDescent="0.25">
      <c r="B228" t="s">
        <v>205</v>
      </c>
      <c r="C228" s="169">
        <v>411750.84598187305</v>
      </c>
      <c r="D228" s="167">
        <f t="shared" si="26"/>
        <v>411750.84598187305</v>
      </c>
      <c r="E228" s="168">
        <f t="shared" si="21"/>
        <v>20587.542299093653</v>
      </c>
      <c r="J228" t="s">
        <v>479</v>
      </c>
    </row>
    <row r="229" spans="2:10" x14ac:dyDescent="0.25">
      <c r="B229" t="s">
        <v>489</v>
      </c>
      <c r="C229" s="169">
        <v>205434.05</v>
      </c>
      <c r="D229" s="167"/>
      <c r="E229" s="168"/>
    </row>
    <row r="230" spans="2:10" x14ac:dyDescent="0.25">
      <c r="B230" t="s">
        <v>127</v>
      </c>
      <c r="C230" s="169">
        <v>787861.21354399261</v>
      </c>
      <c r="D230" s="167">
        <f>C230-F231</f>
        <v>679254.32354399259</v>
      </c>
      <c r="E230" s="168">
        <f t="shared" si="21"/>
        <v>39393.060677199632</v>
      </c>
      <c r="G230" s="168">
        <f>F231</f>
        <v>108606.89</v>
      </c>
      <c r="J230" t="s">
        <v>479</v>
      </c>
    </row>
    <row r="231" spans="2:10" x14ac:dyDescent="0.25">
      <c r="B231" s="134" t="s">
        <v>459</v>
      </c>
      <c r="C231" s="169"/>
      <c r="D231" s="167"/>
      <c r="E231" s="168"/>
      <c r="F231" s="168">
        <v>108606.89</v>
      </c>
      <c r="G231" s="168">
        <f>F231</f>
        <v>108606.89</v>
      </c>
      <c r="J231" t="s">
        <v>479</v>
      </c>
    </row>
    <row r="232" spans="2:10" x14ac:dyDescent="0.25">
      <c r="B232" t="s">
        <v>34</v>
      </c>
      <c r="C232" s="169">
        <v>30257224.319557276</v>
      </c>
      <c r="D232" s="167">
        <f>C232-F232</f>
        <v>30257224.319557276</v>
      </c>
      <c r="E232" s="168">
        <f t="shared" si="21"/>
        <v>500000</v>
      </c>
      <c r="G232" s="168">
        <f>F233+F234+F235+F236+F237</f>
        <v>421142.95</v>
      </c>
      <c r="H232" s="165"/>
      <c r="J232" t="s">
        <v>479</v>
      </c>
    </row>
    <row r="233" spans="2:10" x14ac:dyDescent="0.25">
      <c r="B233" s="134" t="s">
        <v>464</v>
      </c>
      <c r="C233" s="169"/>
      <c r="D233" s="167"/>
      <c r="F233" s="168">
        <v>105962.86</v>
      </c>
      <c r="G233" s="168">
        <f>F234</f>
        <v>77364.77</v>
      </c>
    </row>
    <row r="234" spans="2:10" x14ac:dyDescent="0.25">
      <c r="B234" s="134" t="s">
        <v>460</v>
      </c>
      <c r="C234" s="169"/>
      <c r="D234" s="167"/>
      <c r="F234" s="168">
        <v>77364.77</v>
      </c>
      <c r="G234" s="168">
        <f>F234</f>
        <v>77364.77</v>
      </c>
    </row>
    <row r="235" spans="2:10" x14ac:dyDescent="0.25">
      <c r="B235" s="134" t="s">
        <v>461</v>
      </c>
      <c r="C235" s="169"/>
      <c r="D235" s="167"/>
      <c r="F235" s="168">
        <v>57047.66</v>
      </c>
      <c r="G235" s="168">
        <f>F235</f>
        <v>57047.66</v>
      </c>
      <c r="J235" t="s">
        <v>479</v>
      </c>
    </row>
    <row r="236" spans="2:10" x14ac:dyDescent="0.25">
      <c r="B236" s="134" t="s">
        <v>505</v>
      </c>
      <c r="C236" s="169"/>
      <c r="D236" s="167"/>
      <c r="F236" s="168">
        <v>97283.95</v>
      </c>
      <c r="G236" s="168">
        <f>F236</f>
        <v>97283.95</v>
      </c>
      <c r="J236" t="s">
        <v>479</v>
      </c>
    </row>
    <row r="237" spans="2:10" x14ac:dyDescent="0.25">
      <c r="B237" s="134" t="s">
        <v>463</v>
      </c>
      <c r="C237" s="169"/>
      <c r="D237" s="167"/>
      <c r="F237" s="168">
        <v>83483.710000000006</v>
      </c>
      <c r="G237" s="168">
        <f>F237</f>
        <v>83483.710000000006</v>
      </c>
    </row>
    <row r="238" spans="2:10" x14ac:dyDescent="0.25">
      <c r="B238" t="s">
        <v>57</v>
      </c>
      <c r="C238" s="169">
        <v>894190.19700773701</v>
      </c>
      <c r="D238" s="167">
        <f t="shared" ref="D238" si="27">C238-F238</f>
        <v>894190.19700773701</v>
      </c>
      <c r="E238" s="168">
        <f t="shared" si="21"/>
        <v>44709.50985038685</v>
      </c>
      <c r="J238" t="s">
        <v>479</v>
      </c>
    </row>
    <row r="239" spans="2:10" x14ac:dyDescent="0.25">
      <c r="B239" t="s">
        <v>206</v>
      </c>
      <c r="C239" s="169">
        <v>1594127.8272190453</v>
      </c>
      <c r="D239" s="167">
        <f>C239-F239</f>
        <v>1408818.9272190453</v>
      </c>
      <c r="E239" s="168">
        <f t="shared" si="21"/>
        <v>79706.391360952271</v>
      </c>
      <c r="F239" s="168">
        <f>F240+F241</f>
        <v>185308.9</v>
      </c>
      <c r="G239" s="168">
        <f>F240+F241</f>
        <v>185308.9</v>
      </c>
    </row>
    <row r="240" spans="2:10" x14ac:dyDescent="0.25">
      <c r="B240" s="134" t="s">
        <v>465</v>
      </c>
      <c r="C240" s="169"/>
      <c r="D240" s="167"/>
      <c r="E240" s="168"/>
      <c r="F240" s="168">
        <v>40651.040000000001</v>
      </c>
      <c r="G240" s="168">
        <f>F240</f>
        <v>40651.040000000001</v>
      </c>
      <c r="J240" t="s">
        <v>479</v>
      </c>
    </row>
    <row r="241" spans="2:10" x14ac:dyDescent="0.25">
      <c r="B241" s="134" t="s">
        <v>466</v>
      </c>
      <c r="C241" s="169"/>
      <c r="D241" s="167"/>
      <c r="E241" s="168"/>
      <c r="F241" s="168">
        <v>144657.85999999999</v>
      </c>
      <c r="G241" s="168">
        <f>F241</f>
        <v>144657.85999999999</v>
      </c>
    </row>
    <row r="242" spans="2:10" x14ac:dyDescent="0.25">
      <c r="B242" t="s">
        <v>160</v>
      </c>
      <c r="C242" s="169">
        <v>553947.7838485816</v>
      </c>
      <c r="D242" s="167">
        <f>C242-F243</f>
        <v>525765.84384858166</v>
      </c>
      <c r="E242" s="168">
        <f t="shared" si="21"/>
        <v>27697.38919242908</v>
      </c>
      <c r="G242" s="168">
        <f>F243</f>
        <v>28181.94</v>
      </c>
      <c r="J242" t="s">
        <v>479</v>
      </c>
    </row>
    <row r="243" spans="2:10" x14ac:dyDescent="0.25">
      <c r="B243" s="134" t="s">
        <v>467</v>
      </c>
      <c r="C243" s="169"/>
      <c r="D243" s="167"/>
      <c r="E243" s="168"/>
      <c r="F243" s="168">
        <v>28181.94</v>
      </c>
      <c r="G243" s="168">
        <f>F243</f>
        <v>28181.94</v>
      </c>
    </row>
    <row r="244" spans="2:10" x14ac:dyDescent="0.25">
      <c r="B244" t="s">
        <v>207</v>
      </c>
      <c r="C244" s="169">
        <v>1147381.4941378515</v>
      </c>
      <c r="D244" s="167">
        <f>C244-F244</f>
        <v>1147381.4941378515</v>
      </c>
      <c r="E244" s="168">
        <f t="shared" si="21"/>
        <v>57369.074706892578</v>
      </c>
    </row>
    <row r="245" spans="2:10" x14ac:dyDescent="0.25">
      <c r="B245" t="s">
        <v>68</v>
      </c>
      <c r="C245" s="169">
        <v>616442.74366534094</v>
      </c>
      <c r="D245" s="167">
        <f>C245-F246</f>
        <v>566923.63366534095</v>
      </c>
      <c r="E245" s="168">
        <f t="shared" si="21"/>
        <v>30822.137183267048</v>
      </c>
      <c r="G245" s="168">
        <f>F246</f>
        <v>49519.11</v>
      </c>
    </row>
    <row r="246" spans="2:10" x14ac:dyDescent="0.25">
      <c r="B246" s="134" t="s">
        <v>468</v>
      </c>
      <c r="C246" s="169"/>
      <c r="D246" s="167"/>
      <c r="E246" s="168"/>
      <c r="F246" s="168">
        <v>49519.11</v>
      </c>
      <c r="G246" s="168">
        <f>F246</f>
        <v>49519.11</v>
      </c>
      <c r="J246" t="s">
        <v>479</v>
      </c>
    </row>
    <row r="247" spans="2:10" x14ac:dyDescent="0.25">
      <c r="B247" t="s">
        <v>208</v>
      </c>
      <c r="C247" s="169">
        <v>245385.84933328669</v>
      </c>
      <c r="D247" s="167">
        <f t="shared" ref="D247:D250" si="28">C247-F247</f>
        <v>245385.84933328669</v>
      </c>
      <c r="E247" s="168">
        <f t="shared" si="21"/>
        <v>12269.292466664336</v>
      </c>
      <c r="J247" t="s">
        <v>479</v>
      </c>
    </row>
    <row r="248" spans="2:10" x14ac:dyDescent="0.25">
      <c r="B248" t="s">
        <v>209</v>
      </c>
      <c r="C248" s="169">
        <v>3381709.445836667</v>
      </c>
      <c r="D248" s="167">
        <f>C248-F249</f>
        <v>3255463.0958366669</v>
      </c>
      <c r="E248" s="168">
        <f t="shared" si="21"/>
        <v>169085.47229183337</v>
      </c>
      <c r="G248" s="168">
        <f>F249</f>
        <v>126246.35</v>
      </c>
    </row>
    <row r="249" spans="2:10" x14ac:dyDescent="0.25">
      <c r="B249" s="134" t="s">
        <v>498</v>
      </c>
      <c r="C249" s="169"/>
      <c r="D249" s="167"/>
      <c r="E249" s="168"/>
      <c r="F249" s="168">
        <v>126246.35</v>
      </c>
      <c r="G249" s="168">
        <f>F249</f>
        <v>126246.35</v>
      </c>
    </row>
    <row r="250" spans="2:10" x14ac:dyDescent="0.25">
      <c r="B250" t="s">
        <v>322</v>
      </c>
      <c r="C250" s="169">
        <v>173953.73</v>
      </c>
      <c r="D250" s="167">
        <f t="shared" si="28"/>
        <v>173953.73</v>
      </c>
      <c r="E250" s="168">
        <f t="shared" si="21"/>
        <v>8697.6865000000016</v>
      </c>
    </row>
    <row r="251" spans="2:10" x14ac:dyDescent="0.25">
      <c r="B251" t="s">
        <v>210</v>
      </c>
      <c r="C251" s="169">
        <v>2621684.9210450859</v>
      </c>
      <c r="D251" s="167">
        <f>C251-F251</f>
        <v>2544883.4210450859</v>
      </c>
      <c r="E251" s="168">
        <f t="shared" si="21"/>
        <v>131084.24605225431</v>
      </c>
      <c r="F251" s="168">
        <f>F252</f>
        <v>76801.5</v>
      </c>
      <c r="G251" s="168">
        <f>F252</f>
        <v>76801.5</v>
      </c>
    </row>
    <row r="252" spans="2:10" x14ac:dyDescent="0.25">
      <c r="B252" s="134" t="s">
        <v>469</v>
      </c>
      <c r="C252" s="169"/>
      <c r="D252" s="167"/>
      <c r="E252" s="168"/>
      <c r="F252" s="168">
        <v>76801.5</v>
      </c>
      <c r="G252" s="168">
        <f>F252</f>
        <v>76801.5</v>
      </c>
      <c r="J252" t="s">
        <v>479</v>
      </c>
    </row>
    <row r="253" spans="2:10" x14ac:dyDescent="0.25">
      <c r="B253" t="s">
        <v>211</v>
      </c>
      <c r="C253" s="169">
        <v>704404.16794970119</v>
      </c>
      <c r="D253" s="167">
        <f t="shared" ref="D253:D255" si="29">C253-F253</f>
        <v>704404.16794970119</v>
      </c>
      <c r="E253" s="168">
        <f t="shared" si="21"/>
        <v>35220.208397485061</v>
      </c>
    </row>
    <row r="254" spans="2:10" x14ac:dyDescent="0.25">
      <c r="B254" t="s">
        <v>212</v>
      </c>
      <c r="C254" s="169">
        <v>987109.44599774352</v>
      </c>
      <c r="D254" s="167">
        <f t="shared" si="29"/>
        <v>987109.44599774352</v>
      </c>
      <c r="E254" s="168">
        <f t="shared" si="21"/>
        <v>49355.47229988718</v>
      </c>
    </row>
    <row r="255" spans="2:10" x14ac:dyDescent="0.25">
      <c r="B255" t="s">
        <v>213</v>
      </c>
      <c r="C255" s="169">
        <v>28023.606205803651</v>
      </c>
      <c r="D255" s="167">
        <f t="shared" si="29"/>
        <v>28023.606205803651</v>
      </c>
      <c r="E255" s="168">
        <f t="shared" si="21"/>
        <v>1401.1803102901827</v>
      </c>
    </row>
    <row r="256" spans="2:10" x14ac:dyDescent="0.25">
      <c r="B256" t="s">
        <v>74</v>
      </c>
      <c r="C256" s="169">
        <v>1988370.028468444</v>
      </c>
      <c r="D256" s="167">
        <f>C256-F256</f>
        <v>1903143.238468444</v>
      </c>
      <c r="E256" s="168">
        <f t="shared" si="21"/>
        <v>99418.501423422204</v>
      </c>
      <c r="F256" s="168">
        <f>F257</f>
        <v>85226.79</v>
      </c>
      <c r="G256" s="168">
        <f>F257</f>
        <v>85226.79</v>
      </c>
    </row>
    <row r="257" spans="2:10" x14ac:dyDescent="0.25">
      <c r="B257" s="134" t="s">
        <v>470</v>
      </c>
      <c r="C257" s="169"/>
      <c r="D257" s="167"/>
      <c r="E257" s="168"/>
      <c r="F257" s="168">
        <v>85226.79</v>
      </c>
      <c r="G257" s="168">
        <f>F257</f>
        <v>85226.79</v>
      </c>
      <c r="J257" t="s">
        <v>479</v>
      </c>
    </row>
    <row r="258" spans="2:10" x14ac:dyDescent="0.25">
      <c r="B258" t="s">
        <v>115</v>
      </c>
      <c r="C258" s="169">
        <v>1044117.3076300857</v>
      </c>
      <c r="D258" s="167">
        <f t="shared" ref="D258:D261" si="30">C258-F258</f>
        <v>1044117.3076300857</v>
      </c>
      <c r="E258" s="168">
        <f t="shared" si="21"/>
        <v>52205.865381504293</v>
      </c>
    </row>
    <row r="259" spans="2:10" x14ac:dyDescent="0.25">
      <c r="B259" t="s">
        <v>224</v>
      </c>
      <c r="C259" s="169">
        <v>233379.41549047217</v>
      </c>
      <c r="D259" s="167">
        <f t="shared" si="30"/>
        <v>233379.41549047217</v>
      </c>
      <c r="E259" s="168">
        <f t="shared" si="21"/>
        <v>11668.970774523608</v>
      </c>
    </row>
    <row r="260" spans="2:10" x14ac:dyDescent="0.25">
      <c r="B260" t="s">
        <v>215</v>
      </c>
      <c r="C260" s="169">
        <v>87080.553923914267</v>
      </c>
      <c r="D260" s="167">
        <f t="shared" si="30"/>
        <v>87080.553923914267</v>
      </c>
      <c r="E260" s="168">
        <f t="shared" si="21"/>
        <v>4354.0276961957134</v>
      </c>
    </row>
    <row r="261" spans="2:10" x14ac:dyDescent="0.25">
      <c r="B261" t="s">
        <v>41</v>
      </c>
      <c r="C261" s="169">
        <v>7257165.1279970175</v>
      </c>
      <c r="D261" s="167">
        <f t="shared" si="30"/>
        <v>7257165.1279970175</v>
      </c>
      <c r="E261" s="168">
        <f t="shared" si="21"/>
        <v>362858.25639985088</v>
      </c>
    </row>
    <row r="262" spans="2:10" x14ac:dyDescent="0.25">
      <c r="B262" t="s">
        <v>79</v>
      </c>
      <c r="C262" s="169">
        <v>1923176.4154161741</v>
      </c>
      <c r="D262" s="167">
        <f>C262-F263</f>
        <v>1811349.6154161741</v>
      </c>
      <c r="E262" s="168">
        <f t="shared" si="21"/>
        <v>96158.820770808714</v>
      </c>
      <c r="G262" s="168">
        <f>F263</f>
        <v>111826.8</v>
      </c>
    </row>
    <row r="263" spans="2:10" x14ac:dyDescent="0.25">
      <c r="B263" s="134" t="s">
        <v>471</v>
      </c>
      <c r="C263" s="169"/>
      <c r="D263" s="167"/>
      <c r="E263" s="168"/>
      <c r="F263" s="168">
        <v>111826.8</v>
      </c>
      <c r="G263" s="168">
        <f>F263</f>
        <v>111826.8</v>
      </c>
      <c r="J263" t="s">
        <v>479</v>
      </c>
    </row>
    <row r="264" spans="2:10" x14ac:dyDescent="0.25">
      <c r="B264" t="s">
        <v>216</v>
      </c>
      <c r="C264" s="169">
        <v>228098.1427121388</v>
      </c>
      <c r="D264" s="167">
        <f t="shared" ref="D264:D269" si="31">C264-F264</f>
        <v>228098.1427121388</v>
      </c>
      <c r="E264" s="168">
        <f t="shared" si="21"/>
        <v>11404.90713560694</v>
      </c>
      <c r="J264" s="217" t="s">
        <v>479</v>
      </c>
    </row>
    <row r="265" spans="2:10" x14ac:dyDescent="0.25">
      <c r="B265" t="s">
        <v>217</v>
      </c>
      <c r="C265" s="169">
        <v>415075.73476376681</v>
      </c>
      <c r="D265" s="167">
        <f t="shared" si="31"/>
        <v>415075.73476376681</v>
      </c>
      <c r="E265" s="168">
        <f t="shared" si="21"/>
        <v>20753.786738188341</v>
      </c>
    </row>
    <row r="266" spans="2:10" x14ac:dyDescent="0.25">
      <c r="B266" t="s">
        <v>318</v>
      </c>
      <c r="C266" s="169">
        <v>91913.22</v>
      </c>
      <c r="D266" s="167">
        <f t="shared" si="31"/>
        <v>91913.22</v>
      </c>
      <c r="E266" s="168">
        <f t="shared" si="21"/>
        <v>4595.6610000000001</v>
      </c>
      <c r="J266" t="s">
        <v>479</v>
      </c>
    </row>
    <row r="267" spans="2:10" x14ac:dyDescent="0.25">
      <c r="B267" t="s">
        <v>218</v>
      </c>
      <c r="C267" s="169">
        <v>28023.606205803651</v>
      </c>
      <c r="D267" s="167">
        <f t="shared" si="31"/>
        <v>28023.606205803651</v>
      </c>
      <c r="E267" s="168">
        <f t="shared" si="21"/>
        <v>1401.1803102901827</v>
      </c>
    </row>
    <row r="268" spans="2:10" x14ac:dyDescent="0.25">
      <c r="B268" t="s">
        <v>219</v>
      </c>
      <c r="C268" s="169">
        <v>938688.12940128427</v>
      </c>
      <c r="D268" s="167">
        <f t="shared" si="31"/>
        <v>938688.12940128427</v>
      </c>
      <c r="E268" s="168">
        <f t="shared" si="21"/>
        <v>46934.406470064219</v>
      </c>
      <c r="J268" t="s">
        <v>479</v>
      </c>
    </row>
    <row r="269" spans="2:10" x14ac:dyDescent="0.25">
      <c r="B269" t="s">
        <v>323</v>
      </c>
      <c r="C269" s="169">
        <v>81781.289999999994</v>
      </c>
      <c r="D269" s="167">
        <f t="shared" si="31"/>
        <v>81781.289999999994</v>
      </c>
      <c r="E269" s="168">
        <f t="shared" si="21"/>
        <v>4089.0645</v>
      </c>
    </row>
    <row r="270" spans="2:10" x14ac:dyDescent="0.25">
      <c r="B270" t="s">
        <v>89</v>
      </c>
      <c r="C270" s="169">
        <v>1582386.6648325748</v>
      </c>
      <c r="D270" s="167">
        <f>C270-F270</f>
        <v>1582386.6648325748</v>
      </c>
      <c r="E270" s="168">
        <f t="shared" si="21"/>
        <v>79119.333241628745</v>
      </c>
    </row>
    <row r="271" spans="2:10" x14ac:dyDescent="0.25">
      <c r="B271" s="1" t="s">
        <v>497</v>
      </c>
      <c r="C271" s="169">
        <v>14171.27</v>
      </c>
      <c r="D271" s="167">
        <f>C271-F271</f>
        <v>14171.27</v>
      </c>
      <c r="E271" s="168">
        <f>MIN((C271*0.05),500000)</f>
        <v>708.56350000000009</v>
      </c>
    </row>
    <row r="272" spans="2:10" x14ac:dyDescent="0.25">
      <c r="B272" s="1" t="s">
        <v>487</v>
      </c>
      <c r="C272" s="169">
        <v>36536.879999999997</v>
      </c>
      <c r="D272" s="167">
        <f>C272-F272</f>
        <v>36536.879999999997</v>
      </c>
      <c r="E272" s="168">
        <f>MIN((C272*0.05),500000)</f>
        <v>1826.8440000000001</v>
      </c>
    </row>
    <row r="273" spans="2:10" s="213" customFormat="1" x14ac:dyDescent="0.25">
      <c r="B273" s="213" t="s">
        <v>472</v>
      </c>
      <c r="C273" s="214"/>
      <c r="D273" s="215"/>
      <c r="E273" s="216"/>
      <c r="F273" s="220">
        <v>168529.76</v>
      </c>
      <c r="G273" s="220">
        <f>F273</f>
        <v>168529.76</v>
      </c>
      <c r="J273"/>
    </row>
    <row r="274" spans="2:10" x14ac:dyDescent="0.25">
      <c r="B274" t="s">
        <v>40</v>
      </c>
      <c r="C274" s="169">
        <v>3312246.8847566424</v>
      </c>
      <c r="D274" s="167">
        <f>C274-F275</f>
        <v>3215237.5647566426</v>
      </c>
      <c r="E274" s="168">
        <f t="shared" si="21"/>
        <v>165612.34423783212</v>
      </c>
      <c r="G274" s="168">
        <f>F275</f>
        <v>97009.32</v>
      </c>
    </row>
    <row r="275" spans="2:10" x14ac:dyDescent="0.25">
      <c r="B275" s="134" t="s">
        <v>473</v>
      </c>
      <c r="C275" s="169"/>
      <c r="D275" s="167"/>
      <c r="E275" s="168"/>
      <c r="F275" s="168">
        <v>97009.32</v>
      </c>
      <c r="G275" s="168">
        <f>F275</f>
        <v>97009.32</v>
      </c>
    </row>
    <row r="276" spans="2:10" x14ac:dyDescent="0.25">
      <c r="B276" t="s">
        <v>136</v>
      </c>
      <c r="C276" s="169">
        <v>8397361.6497397628</v>
      </c>
      <c r="D276" s="167">
        <f>C276-F277</f>
        <v>7100802.0297397627</v>
      </c>
      <c r="E276" s="168">
        <f t="shared" si="21"/>
        <v>419868.08248698816</v>
      </c>
      <c r="G276" s="168">
        <f>F277</f>
        <v>1296559.6200000001</v>
      </c>
    </row>
    <row r="277" spans="2:10" x14ac:dyDescent="0.25">
      <c r="B277" s="134" t="s">
        <v>474</v>
      </c>
      <c r="C277" s="169"/>
      <c r="D277" s="167"/>
      <c r="E277" s="168"/>
      <c r="F277" s="168">
        <v>1296559.6200000001</v>
      </c>
      <c r="G277" s="168">
        <f>F277</f>
        <v>1296559.6200000001</v>
      </c>
    </row>
    <row r="278" spans="2:10" x14ac:dyDescent="0.25">
      <c r="B278" t="s">
        <v>221</v>
      </c>
      <c r="C278" s="169">
        <v>1552224.2970011442</v>
      </c>
      <c r="D278" s="167">
        <f t="shared" ref="D278:D296" si="32">C278-F278</f>
        <v>1552224.2970011442</v>
      </c>
      <c r="E278" s="168">
        <f t="shared" si="21"/>
        <v>77611.214850057208</v>
      </c>
    </row>
    <row r="279" spans="2:10" x14ac:dyDescent="0.25">
      <c r="B279" t="s">
        <v>222</v>
      </c>
      <c r="C279" s="169">
        <v>28023.606205803651</v>
      </c>
      <c r="D279" s="167">
        <f t="shared" si="32"/>
        <v>28023.606205803651</v>
      </c>
      <c r="E279" s="168">
        <f t="shared" si="21"/>
        <v>1401.1803102901827</v>
      </c>
    </row>
    <row r="280" spans="2:10" x14ac:dyDescent="0.25">
      <c r="B280" t="s">
        <v>223</v>
      </c>
      <c r="C280" s="169">
        <v>64740.807623196531</v>
      </c>
      <c r="D280" s="167">
        <f t="shared" si="32"/>
        <v>64740.807623196531</v>
      </c>
      <c r="E280" s="168">
        <f t="shared" ref="E280:E296" si="33">MIN((C280*0.05),500000)</f>
        <v>3237.0403811598267</v>
      </c>
    </row>
    <row r="281" spans="2:10" x14ac:dyDescent="0.25">
      <c r="B281" t="s">
        <v>90</v>
      </c>
      <c r="C281" s="169">
        <v>1063633.1711806569</v>
      </c>
      <c r="D281" s="167">
        <f t="shared" si="32"/>
        <v>1063633.1711806569</v>
      </c>
      <c r="E281" s="168">
        <f t="shared" si="33"/>
        <v>53181.658559032847</v>
      </c>
    </row>
    <row r="282" spans="2:10" x14ac:dyDescent="0.25">
      <c r="B282" t="s">
        <v>117</v>
      </c>
      <c r="C282" s="169">
        <v>285456.8598941777</v>
      </c>
      <c r="D282" s="167">
        <f t="shared" si="32"/>
        <v>285456.8598941777</v>
      </c>
      <c r="E282" s="168">
        <f t="shared" si="33"/>
        <v>14272.842994708886</v>
      </c>
      <c r="J282" t="s">
        <v>479</v>
      </c>
    </row>
    <row r="283" spans="2:10" x14ac:dyDescent="0.25">
      <c r="B283" t="s">
        <v>225</v>
      </c>
      <c r="C283" s="169">
        <v>719097.22491946607</v>
      </c>
      <c r="D283" s="167">
        <f t="shared" si="32"/>
        <v>719097.22491946607</v>
      </c>
      <c r="E283" s="168">
        <f t="shared" si="33"/>
        <v>35954.861245973305</v>
      </c>
    </row>
    <row r="284" spans="2:10" x14ac:dyDescent="0.25">
      <c r="B284" t="s">
        <v>123</v>
      </c>
      <c r="C284" s="169">
        <v>452655.05440247501</v>
      </c>
      <c r="D284" s="167">
        <f t="shared" si="32"/>
        <v>452655.05440247501</v>
      </c>
      <c r="E284" s="168">
        <f t="shared" si="33"/>
        <v>22632.752720123754</v>
      </c>
    </row>
    <row r="285" spans="2:10" x14ac:dyDescent="0.25">
      <c r="B285" t="s">
        <v>319</v>
      </c>
      <c r="C285" s="169">
        <v>127562.05</v>
      </c>
      <c r="D285" s="167">
        <f t="shared" si="32"/>
        <v>127562.05</v>
      </c>
      <c r="E285" s="168">
        <f t="shared" si="33"/>
        <v>6378.1025000000009</v>
      </c>
    </row>
    <row r="286" spans="2:10" x14ac:dyDescent="0.25">
      <c r="B286" t="s">
        <v>226</v>
      </c>
      <c r="C286" s="169">
        <v>189232.42745415936</v>
      </c>
      <c r="D286" s="167">
        <f t="shared" si="32"/>
        <v>189232.42745415936</v>
      </c>
      <c r="E286" s="168">
        <f t="shared" si="33"/>
        <v>9461.6213727079685</v>
      </c>
    </row>
    <row r="287" spans="2:10" x14ac:dyDescent="0.25">
      <c r="B287" t="s">
        <v>227</v>
      </c>
      <c r="C287" s="169">
        <v>718484.90912386926</v>
      </c>
      <c r="D287" s="167">
        <f t="shared" si="32"/>
        <v>718484.90912386926</v>
      </c>
      <c r="E287" s="168">
        <f t="shared" si="33"/>
        <v>35924.245456193465</v>
      </c>
      <c r="J287" t="s">
        <v>479</v>
      </c>
    </row>
    <row r="288" spans="2:10" x14ac:dyDescent="0.25">
      <c r="B288" t="s">
        <v>141</v>
      </c>
      <c r="C288" s="169">
        <v>6381069.348425556</v>
      </c>
      <c r="D288" s="167">
        <f>C288-F289</f>
        <v>6319846.178425556</v>
      </c>
      <c r="E288" s="168">
        <f t="shared" si="33"/>
        <v>319053.46742127783</v>
      </c>
      <c r="G288" s="168">
        <f>F289</f>
        <v>61223.17</v>
      </c>
    </row>
    <row r="289" spans="2:7" x14ac:dyDescent="0.25">
      <c r="B289" s="134" t="s">
        <v>475</v>
      </c>
      <c r="C289" s="169"/>
      <c r="D289" s="167"/>
      <c r="E289" s="168"/>
      <c r="F289" s="168">
        <v>61223.17</v>
      </c>
      <c r="G289" s="168">
        <f>F289</f>
        <v>61223.17</v>
      </c>
    </row>
    <row r="290" spans="2:7" x14ac:dyDescent="0.25">
      <c r="B290" t="s">
        <v>320</v>
      </c>
      <c r="C290" s="169">
        <v>181783.53</v>
      </c>
      <c r="D290" s="167">
        <f t="shared" si="32"/>
        <v>181783.53</v>
      </c>
      <c r="E290" s="168">
        <f t="shared" si="33"/>
        <v>9089.1764999999996</v>
      </c>
    </row>
    <row r="291" spans="2:7" x14ac:dyDescent="0.25">
      <c r="B291" t="s">
        <v>58</v>
      </c>
      <c r="C291" s="169">
        <v>628140.95021007676</v>
      </c>
      <c r="D291" s="167">
        <f t="shared" si="32"/>
        <v>628140.95021007676</v>
      </c>
      <c r="E291" s="168">
        <f t="shared" si="33"/>
        <v>31407.047510503839</v>
      </c>
    </row>
    <row r="292" spans="2:7" x14ac:dyDescent="0.25">
      <c r="B292" t="s">
        <v>56</v>
      </c>
      <c r="C292" s="169">
        <v>953522.03301583952</v>
      </c>
      <c r="D292" s="167">
        <f t="shared" si="32"/>
        <v>953522.03301583952</v>
      </c>
      <c r="E292" s="168">
        <f t="shared" si="33"/>
        <v>47676.101650791978</v>
      </c>
    </row>
    <row r="293" spans="2:7" x14ac:dyDescent="0.25">
      <c r="B293" t="s">
        <v>488</v>
      </c>
      <c r="C293" s="169">
        <v>110886.61</v>
      </c>
      <c r="D293" s="167">
        <f>C293</f>
        <v>110886.61</v>
      </c>
      <c r="E293" s="168">
        <f t="shared" si="33"/>
        <v>5544.3305</v>
      </c>
    </row>
    <row r="294" spans="2:7" x14ac:dyDescent="0.25">
      <c r="B294" t="s">
        <v>39</v>
      </c>
      <c r="C294" s="169">
        <v>4440896.447703924</v>
      </c>
      <c r="D294" s="167">
        <f>C294-F294</f>
        <v>4440896.447703924</v>
      </c>
      <c r="E294" s="168">
        <f t="shared" si="33"/>
        <v>222044.82238519622</v>
      </c>
    </row>
    <row r="295" spans="2:7" x14ac:dyDescent="0.25">
      <c r="B295" t="s">
        <v>97</v>
      </c>
      <c r="C295" s="169">
        <v>670004.51876552822</v>
      </c>
      <c r="D295" s="167">
        <f t="shared" si="32"/>
        <v>670004.51876552822</v>
      </c>
      <c r="E295" s="168">
        <f t="shared" si="33"/>
        <v>33500.22593827641</v>
      </c>
    </row>
    <row r="296" spans="2:7" x14ac:dyDescent="0.25">
      <c r="B296" t="s">
        <v>228</v>
      </c>
      <c r="C296" s="169">
        <v>258810.55788617692</v>
      </c>
      <c r="D296" s="167">
        <f t="shared" si="32"/>
        <v>258810.55788617692</v>
      </c>
      <c r="E296" s="168">
        <f t="shared" si="33"/>
        <v>12940.527894308847</v>
      </c>
    </row>
    <row r="297" spans="2:7" x14ac:dyDescent="0.25">
      <c r="B297" s="166"/>
      <c r="C297" s="221"/>
      <c r="D297" s="221"/>
      <c r="E297" s="168"/>
    </row>
    <row r="298" spans="2:7" x14ac:dyDescent="0.25">
      <c r="B298" s="222" t="s">
        <v>476</v>
      </c>
      <c r="C298" s="165">
        <f>SUM(C2:C297)</f>
        <v>399359259.42701989</v>
      </c>
    </row>
  </sheetData>
  <sheetProtection algorithmName="SHA-512" hashValue="YpihgGdF9IMqZaBFlZi5GLl/q/wN/Aq0uUjqftgnhZspOlr7exWqydPE3dD1jQaHWbxEegE3gANlaJQPlUsR3w==" saltValue="Geb3xPuFGFz9+ImNP3ONQQ==" spinCount="100000" sheet="1" objects="1" scenarios="1" selectLockedCells="1" selectUnlockedCells="1"/>
  <autoFilter ref="B1:J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D7B0CB-ECF0-438A-9EA6-9710E3CEFFFA}">
  <ds:schemaRefs>
    <ds:schemaRef ds:uri="54031767-dd6d-417c-ab73-583408f47564"/>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815300f-9bc2-46c5-83e2-2c3e624abb24"/>
    <ds:schemaRef ds:uri="http://www.w3.org/XML/1998/namespace"/>
    <ds:schemaRef ds:uri="http://purl.org/dc/dcmitype/"/>
  </ds:schemaRefs>
</ds:datastoreItem>
</file>

<file path=customXml/itemProps2.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CD4904-E14F-41EE-9E7B-65B4BE2D1E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2021-09-21T21:20:53Z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